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11 BARON [MAIRIE DE BARON]\Documents LBC\"/>
    </mc:Choice>
  </mc:AlternateContent>
  <xr:revisionPtr revIDLastSave="0" documentId="13_ncr:1_{FC427F2D-DEE4-4E48-A380-1F71B6CD9E34}" xr6:coauthVersionLast="47" xr6:coauthVersionMax="47" xr10:uidLastSave="{00000000-0000-0000-0000-000000000000}"/>
  <bookViews>
    <workbookView xWindow="-108" yWindow="-108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EC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HG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FS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S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DH164" i="2"/>
  <c r="FS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B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EB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FR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8" i="2" l="1" a="1"/>
  <c r="BC68" i="2" s="1"/>
  <c r="BC117" i="2" a="1"/>
  <c r="BC117" i="2" s="1"/>
  <c r="BC58" i="2" a="1"/>
  <c r="BC58" i="2" s="1"/>
  <c r="BC65" i="2" a="1"/>
  <c r="BC65" i="2" s="1"/>
  <c r="BC114" i="2" a="1"/>
  <c r="BC114" i="2" s="1"/>
  <c r="BC82" i="2" a="1"/>
  <c r="BC82" i="2" s="1"/>
  <c r="AH92" i="2" a="1"/>
  <c r="AH92" i="2" s="1"/>
  <c r="AH62" i="2" a="1"/>
  <c r="AH62" i="2" s="1"/>
  <c r="AH19" i="2" a="1"/>
  <c r="AH19" i="2" s="1"/>
  <c r="AH90" i="2" a="1"/>
  <c r="AH90" i="2" s="1"/>
  <c r="AH163" i="2" a="1"/>
  <c r="AH163" i="2" s="1"/>
  <c r="AH199" i="2" a="1"/>
  <c r="AH19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82" i="2" l="1"/>
  <c r="CD60" i="2"/>
  <c r="CD154" i="2"/>
  <c r="CD76" i="2"/>
  <c r="CD87" i="2"/>
  <c r="CD167" i="2"/>
  <c r="CD77" i="2"/>
  <c r="CD44" i="2"/>
  <c r="CD78" i="2"/>
  <c r="CD47" i="2"/>
  <c r="CD46" i="2"/>
  <c r="CD7" i="2"/>
  <c r="CD42" i="2"/>
  <c r="CD141" i="2"/>
  <c r="CD91" i="2"/>
  <c r="CD37" i="2"/>
  <c r="CD163" i="2"/>
  <c r="CD36" i="2"/>
  <c r="CD73" i="2"/>
  <c r="CD138" i="2"/>
  <c r="CD199" i="2"/>
  <c r="CD125" i="2"/>
  <c r="CD58" i="2"/>
  <c r="CD83" i="2"/>
  <c r="CD95" i="2"/>
  <c r="CD166" i="2"/>
  <c r="CD201" i="2"/>
  <c r="CD67" i="2"/>
  <c r="CD56" i="2"/>
  <c r="CD189" i="2"/>
  <c r="CD160" i="2"/>
  <c r="CD66" i="2"/>
  <c r="CD157" i="2"/>
  <c r="CD90" i="2"/>
  <c r="CD89" i="2"/>
  <c r="CD161" i="2"/>
  <c r="CD150" i="2"/>
  <c r="CD129" i="2"/>
  <c r="CD159" i="2"/>
  <c r="CD71" i="2"/>
  <c r="CD108" i="2"/>
  <c r="CD5" i="2"/>
  <c r="CD127" i="2"/>
  <c r="CD172" i="2"/>
  <c r="CD178" i="2"/>
  <c r="CD17" i="2"/>
  <c r="CD145" i="2"/>
  <c r="CD20" i="2"/>
  <c r="CD119" i="2"/>
  <c r="CD121" i="2"/>
  <c r="CD50" i="2"/>
  <c r="CD45" i="2"/>
  <c r="CD123" i="2"/>
  <c r="CD106" i="2"/>
  <c r="CD27" i="2"/>
  <c r="CD94" i="2"/>
  <c r="CD170" i="2"/>
  <c r="CD176" i="2"/>
  <c r="CD41" i="2"/>
  <c r="CD133" i="2"/>
  <c r="CD51" i="2"/>
  <c r="CD98" i="2"/>
  <c r="CD202" i="2"/>
  <c r="CD187" i="2"/>
  <c r="CD14" i="2"/>
  <c r="CD29" i="2"/>
  <c r="CD155" i="2"/>
  <c r="CD11" i="2"/>
  <c r="CD96" i="2"/>
  <c r="CD139" i="2"/>
  <c r="CD21" i="2"/>
  <c r="CD164" i="2"/>
  <c r="CD149" i="2"/>
  <c r="CD136" i="2"/>
  <c r="CD183" i="2"/>
  <c r="CD70" i="2"/>
  <c r="CD200" i="2"/>
  <c r="CD9" i="2"/>
  <c r="CD84" i="2"/>
  <c r="CD177" i="2"/>
  <c r="CD195" i="2"/>
  <c r="CD55" i="2"/>
  <c r="CD92" i="2"/>
  <c r="CD135" i="2"/>
  <c r="CD63" i="2"/>
  <c r="CD43" i="2"/>
  <c r="CD8" i="2"/>
  <c r="CD104" i="2"/>
  <c r="CD53" i="2"/>
  <c r="CD151" i="2"/>
  <c r="CD122" i="2"/>
  <c r="CD48" i="2"/>
  <c r="CD34" i="2"/>
  <c r="CD57" i="2"/>
  <c r="CD25" i="2"/>
  <c r="CD12" i="2"/>
  <c r="CD198" i="2"/>
  <c r="CD30" i="2"/>
  <c r="CD19" i="2"/>
  <c r="CD148" i="2"/>
  <c r="CD115" i="2"/>
  <c r="CD62" i="2"/>
  <c r="CD103" i="2"/>
  <c r="CD69" i="2"/>
  <c r="CD97" i="2"/>
  <c r="CD132" i="2"/>
  <c r="CD162" i="2"/>
  <c r="CD181" i="2"/>
  <c r="CD24" i="2"/>
  <c r="CD86" i="2"/>
  <c r="CD39" i="2"/>
  <c r="CD72" i="2"/>
  <c r="CD102" i="2"/>
  <c r="CD165" i="2"/>
  <c r="CD168" i="2"/>
  <c r="CD35" i="2"/>
  <c r="CD4" i="2"/>
  <c r="CD26" i="2"/>
  <c r="CD173" i="2"/>
  <c r="CD52" i="2"/>
  <c r="CD128" i="2"/>
  <c r="CD110" i="2"/>
  <c r="CD13" i="2"/>
  <c r="CD109" i="2"/>
  <c r="CD59" i="2"/>
  <c r="CD99" i="2"/>
  <c r="CD184" i="2"/>
  <c r="CD193" i="2"/>
  <c r="CD28" i="2"/>
  <c r="CD85" i="2"/>
  <c r="CD152" i="2"/>
  <c r="CD118" i="2"/>
  <c r="CD68" i="2"/>
  <c r="CD158" i="2"/>
  <c r="CD147" i="2"/>
  <c r="CD196" i="2"/>
  <c r="CD61" i="2"/>
  <c r="CD175" i="2"/>
  <c r="CD140" i="2"/>
  <c r="CD79" i="2"/>
  <c r="CD144" i="2"/>
  <c r="CD105" i="2"/>
  <c r="CD191" i="2"/>
  <c r="CD203" i="2"/>
  <c r="CD101" i="2"/>
  <c r="CD188" i="2"/>
  <c r="CD3" i="2"/>
  <c r="C9" i="4" s="1"/>
  <c r="E9" i="4" s="1"/>
  <c r="F9" i="4" s="1"/>
  <c r="G9" i="4" s="1"/>
  <c r="L9" i="4" s="1"/>
  <c r="CD80" i="2"/>
  <c r="CD23" i="2"/>
  <c r="CD16" i="2"/>
  <c r="CD190" i="2"/>
  <c r="CD117" i="2"/>
  <c r="CD10" i="2"/>
  <c r="CD197" i="2"/>
  <c r="CD134" i="2"/>
  <c r="CD156" i="2"/>
  <c r="CD131" i="2"/>
  <c r="CD33" i="2"/>
  <c r="CD186" i="2"/>
  <c r="CD124" i="2"/>
  <c r="CD126" i="2"/>
  <c r="CD40" i="2"/>
  <c r="CD143" i="2"/>
  <c r="CD153" i="2"/>
  <c r="CD88" i="2"/>
  <c r="CD142" i="2"/>
  <c r="CD192" i="2"/>
  <c r="CD194" i="2"/>
  <c r="CD74" i="2"/>
  <c r="CD75" i="2"/>
  <c r="CD54" i="2"/>
  <c r="CD22" i="2"/>
  <c r="CD81" i="2"/>
  <c r="CD32" i="2"/>
  <c r="CD146" i="2"/>
  <c r="CD116" i="2"/>
  <c r="CD114" i="2"/>
  <c r="CD31" i="2"/>
  <c r="CD64" i="2"/>
  <c r="CD82" i="2"/>
  <c r="CD113" i="2"/>
  <c r="CD111" i="2"/>
  <c r="CD169" i="2"/>
  <c r="CD179" i="2"/>
  <c r="CD65" i="2"/>
  <c r="CD107" i="2"/>
  <c r="CD185" i="2"/>
  <c r="CD180" i="2"/>
  <c r="CD38" i="2"/>
  <c r="CD174" i="2"/>
  <c r="CD120" i="2"/>
  <c r="CD93" i="2"/>
  <c r="CD112" i="2"/>
  <c r="CD171" i="2"/>
  <c r="CD130" i="2"/>
  <c r="CD49" i="2"/>
  <c r="CD137" i="2"/>
  <c r="CD15" i="2"/>
  <c r="CD6" i="2"/>
  <c r="CD18" i="2"/>
  <c r="CD1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70" i="2" l="1"/>
  <c r="BI20" i="2"/>
  <c r="BI91" i="2"/>
  <c r="BI188" i="2"/>
  <c r="BI126" i="2"/>
  <c r="BI45" i="2"/>
  <c r="BI120" i="2"/>
  <c r="BI77" i="2"/>
  <c r="BI60" i="2"/>
  <c r="BI84" i="2"/>
  <c r="BI125" i="2"/>
  <c r="BI134" i="2"/>
  <c r="BI99" i="2"/>
  <c r="BI58" i="2"/>
  <c r="BI116" i="2"/>
  <c r="BI57" i="2"/>
  <c r="BI22" i="2"/>
  <c r="BI176" i="2"/>
  <c r="BI68" i="2"/>
  <c r="BI154" i="2"/>
  <c r="BI7" i="2"/>
  <c r="BI129" i="2"/>
  <c r="BI164" i="2"/>
  <c r="BI144" i="2"/>
  <c r="BI111" i="2"/>
  <c r="BI49" i="2"/>
  <c r="BI107" i="2"/>
  <c r="BI185" i="2"/>
  <c r="BI44" i="2"/>
  <c r="BI23" i="2"/>
  <c r="BI61" i="2"/>
  <c r="BI138" i="2"/>
  <c r="BI187" i="2"/>
  <c r="BI146" i="2"/>
  <c r="BI168" i="2"/>
  <c r="BI65" i="2"/>
  <c r="BI89" i="2"/>
  <c r="BI145" i="2"/>
  <c r="BI48" i="2"/>
  <c r="BI11" i="2"/>
  <c r="BI180" i="2"/>
  <c r="BI196" i="2"/>
  <c r="BI178" i="2"/>
  <c r="BI118" i="2"/>
  <c r="BI121" i="2"/>
  <c r="BI186" i="2"/>
  <c r="BI31" i="2"/>
  <c r="BI92" i="2"/>
  <c r="BI25" i="2"/>
  <c r="BI47" i="2"/>
  <c r="BI139" i="2"/>
  <c r="BI181" i="2"/>
  <c r="BI16" i="2"/>
  <c r="BI127" i="2"/>
  <c r="BI199" i="2"/>
  <c r="BI64" i="2"/>
  <c r="BI18" i="2"/>
  <c r="BI67" i="2"/>
  <c r="BI21" i="2"/>
  <c r="BI34" i="2"/>
  <c r="BI184" i="2"/>
  <c r="BI56" i="2"/>
  <c r="BI50" i="2"/>
  <c r="BI192" i="2"/>
  <c r="BI70" i="2"/>
  <c r="BI72" i="2"/>
  <c r="BI167" i="2"/>
  <c r="BI106" i="2"/>
  <c r="BI171" i="2"/>
  <c r="BI100" i="2"/>
  <c r="BI76" i="2"/>
  <c r="BI59" i="2"/>
  <c r="BI39" i="2"/>
  <c r="BI28" i="2"/>
  <c r="BI155" i="2"/>
  <c r="BI81" i="2"/>
  <c r="BI104" i="2"/>
  <c r="BI142" i="2"/>
  <c r="BI166" i="2"/>
  <c r="BI148" i="2"/>
  <c r="BI14" i="2"/>
  <c r="BI53" i="2"/>
  <c r="BI51" i="2"/>
  <c r="BI195" i="2"/>
  <c r="BI115" i="2"/>
  <c r="BI66" i="2"/>
  <c r="BI157" i="2"/>
  <c r="BI112" i="2"/>
  <c r="BI32" i="2"/>
  <c r="BI29" i="2"/>
  <c r="BI6" i="2"/>
  <c r="BI55" i="2"/>
  <c r="BI15" i="2"/>
  <c r="BI63" i="2"/>
  <c r="BI198" i="2"/>
  <c r="BI117" i="2"/>
  <c r="BI203" i="2"/>
  <c r="BI37" i="2"/>
  <c r="BI41" i="2"/>
  <c r="BI42" i="2"/>
  <c r="BI94" i="2"/>
  <c r="BI110" i="2"/>
  <c r="BI9" i="2"/>
  <c r="BI5" i="2"/>
  <c r="BI24" i="2"/>
  <c r="BI197" i="2"/>
  <c r="BI101" i="2"/>
  <c r="BI174" i="2"/>
  <c r="BI87" i="2"/>
  <c r="BI161" i="2"/>
  <c r="BI190" i="2"/>
  <c r="BI95" i="2"/>
  <c r="BI141" i="2"/>
  <c r="BI200" i="2"/>
  <c r="BI98" i="2"/>
  <c r="BI128" i="2"/>
  <c r="BI169" i="2"/>
  <c r="BI12" i="2"/>
  <c r="BI162" i="2"/>
  <c r="BI147" i="2"/>
  <c r="BI36" i="2"/>
  <c r="BI93" i="2"/>
  <c r="BI83" i="2"/>
  <c r="BI88" i="2"/>
  <c r="BI90" i="2"/>
  <c r="BI3" i="2"/>
  <c r="C8" i="4" s="1"/>
  <c r="E8" i="4" s="1"/>
  <c r="F8" i="4" s="1"/>
  <c r="G8" i="4" s="1"/>
  <c r="L8" i="4" s="1"/>
  <c r="BI75" i="2"/>
  <c r="BI189" i="2"/>
  <c r="BI105" i="2"/>
  <c r="BI74" i="2"/>
  <c r="BI109" i="2"/>
  <c r="BI163" i="2"/>
  <c r="BI96" i="2"/>
  <c r="BI135" i="2"/>
  <c r="BI149" i="2"/>
  <c r="BI173" i="2"/>
  <c r="BI179" i="2"/>
  <c r="BI159" i="2"/>
  <c r="BI133" i="2"/>
  <c r="BI52" i="2"/>
  <c r="BI73" i="2"/>
  <c r="BI191" i="2"/>
  <c r="BI4" i="2"/>
  <c r="BI103" i="2"/>
  <c r="BI177" i="2"/>
  <c r="BI71" i="2"/>
  <c r="BI79" i="2"/>
  <c r="BI143" i="2"/>
  <c r="BI172" i="2"/>
  <c r="BI85" i="2"/>
  <c r="BI153" i="2"/>
  <c r="BI13" i="2"/>
  <c r="BI182" i="2"/>
  <c r="BI152" i="2"/>
  <c r="BI202" i="2"/>
  <c r="BI69" i="2"/>
  <c r="BI86" i="2"/>
  <c r="BI114" i="2"/>
  <c r="BI123" i="2"/>
  <c r="BI158" i="2"/>
  <c r="BI131" i="2"/>
  <c r="BI80" i="2"/>
  <c r="BI102" i="2"/>
  <c r="BI183" i="2"/>
  <c r="BI156" i="2"/>
  <c r="BI194" i="2"/>
  <c r="BI26" i="2"/>
  <c r="BI27" i="2"/>
  <c r="BI137" i="2"/>
  <c r="BI160" i="2"/>
  <c r="BI130" i="2"/>
  <c r="BI193" i="2"/>
  <c r="BI136" i="2"/>
  <c r="BI175" i="2"/>
  <c r="BI150" i="2"/>
  <c r="BI140" i="2"/>
  <c r="BI124" i="2"/>
  <c r="BI108" i="2"/>
  <c r="BI122" i="2"/>
  <c r="BI54" i="2"/>
  <c r="BI43" i="2"/>
  <c r="BI113" i="2"/>
  <c r="BI40" i="2"/>
  <c r="BI17" i="2"/>
  <c r="BI132" i="2"/>
  <c r="BI38" i="2"/>
  <c r="BI19" i="2"/>
  <c r="BI97" i="2"/>
  <c r="BI8" i="2"/>
  <c r="BI151" i="2"/>
  <c r="BI119" i="2"/>
  <c r="BI46" i="2"/>
  <c r="BI30" i="2"/>
  <c r="BI82" i="2"/>
  <c r="BI33" i="2"/>
  <c r="BI62" i="2"/>
  <c r="BI10" i="2"/>
  <c r="BI201" i="2"/>
  <c r="BI78" i="2"/>
  <c r="BI165" i="2"/>
  <c r="BI3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<sst xmlns="http://schemas.openxmlformats.org/spreadsheetml/2006/main" count="1173" uniqueCount="324">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</sst>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2.4488960670421935</c:v>
                </c:pt>
                <c:pt idx="2">
                  <c:v>4.0033128464271108</c:v>
                </c:pt>
                <c:pt idx="3">
                  <c:v>6.5492599189084544</c:v>
                </c:pt>
                <c:pt idx="4">
                  <c:v>10.722122460673669</c:v>
                </c:pt>
                <c:pt idx="5">
                  <c:v>17.566174582758997</c:v>
                </c:pt>
                <c:pt idx="6">
                  <c:v>31.242965355495695</c:v>
                </c:pt>
                <c:pt idx="7">
                  <c:v>44.748901499004056</c:v>
                </c:pt>
                <c:pt idx="8">
                  <c:v>58.144365675142602</c:v>
                </c:pt>
                <c:pt idx="9">
                  <c:v>71.458733436446508</c:v>
                </c:pt>
                <c:pt idx="10">
                  <c:v>84.709351217070676</c:v>
                </c:pt>
                <c:pt idx="11">
                  <c:v>106.04816960306967</c:v>
                </c:pt>
                <c:pt idx="12">
                  <c:v>127.28069089784834</c:v>
                </c:pt>
                <c:pt idx="13">
                  <c:v>148.42721434577155</c:v>
                </c:pt>
                <c:pt idx="14">
                  <c:v>169.50174277183706</c:v>
                </c:pt>
                <c:pt idx="15">
                  <c:v>190.51449720014855</c:v>
                </c:pt>
                <c:pt idx="16">
                  <c:v>217.37772233554065</c:v>
                </c:pt>
                <c:pt idx="17">
                  <c:v>244.16457371060901</c:v>
                </c:pt>
                <c:pt idx="18">
                  <c:v>270.88460812316788</c:v>
                </c:pt>
                <c:pt idx="19">
                  <c:v>297.5453405707205</c:v>
                </c:pt>
                <c:pt idx="20">
                  <c:v>324.15282846697659</c:v>
                </c:pt>
                <c:pt idx="21">
                  <c:v>353.71776789054064</c:v>
                </c:pt>
                <c:pt idx="22">
                  <c:v>383.22857029849928</c:v>
                </c:pt>
                <c:pt idx="23">
                  <c:v>412.68998599561019</c:v>
                </c:pt>
                <c:pt idx="24">
                  <c:v>442.10603207500463</c:v>
                </c:pt>
                <c:pt idx="25">
                  <c:v>471.48014784844509</c:v>
                </c:pt>
                <c:pt idx="26">
                  <c:v>1.0345173963676741E-12</c:v>
                </c:pt>
                <c:pt idx="27">
                  <c:v>1.0345173963676741E-12</c:v>
                </c:pt>
                <c:pt idx="28">
                  <c:v>1.0345173963676741E-12</c:v>
                </c:pt>
                <c:pt idx="29">
                  <c:v>1.0345173963676741E-12</c:v>
                </c:pt>
                <c:pt idx="30">
                  <c:v>1.0345173963676741E-12</c:v>
                </c:pt>
                <c:pt idx="31">
                  <c:v>1.0345173963676741E-12</c:v>
                </c:pt>
                <c:pt idx="32">
                  <c:v>1.0345173963676741E-12</c:v>
                </c:pt>
                <c:pt idx="33">
                  <c:v>1.0345173963676741E-12</c:v>
                </c:pt>
                <c:pt idx="34">
                  <c:v>1.0345173963676741E-12</c:v>
                </c:pt>
                <c:pt idx="35">
                  <c:v>1.0345173963676741E-12</c:v>
                </c:pt>
                <c:pt idx="36">
                  <c:v>1.0345173963676741E-12</c:v>
                </c:pt>
                <c:pt idx="37">
                  <c:v>1.0345173963676741E-12</c:v>
                </c:pt>
                <c:pt idx="38">
                  <c:v>1.0345173963676741E-12</c:v>
                </c:pt>
                <c:pt idx="39">
                  <c:v>1.0345173963676741E-12</c:v>
                </c:pt>
                <c:pt idx="40">
                  <c:v>1.0345173963676741E-12</c:v>
                </c:pt>
                <c:pt idx="41">
                  <c:v>1.0345173963676741E-12</c:v>
                </c:pt>
                <c:pt idx="42">
                  <c:v>1.0345173963676741E-12</c:v>
                </c:pt>
                <c:pt idx="43">
                  <c:v>1.0345173963676741E-12</c:v>
                </c:pt>
                <c:pt idx="44">
                  <c:v>1.0345173963676741E-12</c:v>
                </c:pt>
                <c:pt idx="45">
                  <c:v>1.0345173963676741E-12</c:v>
                </c:pt>
                <c:pt idx="46">
                  <c:v>1.0345173963676741E-12</c:v>
                </c:pt>
                <c:pt idx="47">
                  <c:v>1.0345173963676741E-12</c:v>
                </c:pt>
                <c:pt idx="48">
                  <c:v>1.0345173963676741E-12</c:v>
                </c:pt>
                <c:pt idx="49">
                  <c:v>1.0345173963676741E-12</c:v>
                </c:pt>
                <c:pt idx="50">
                  <c:v>1.0345173963676741E-12</c:v>
                </c:pt>
                <c:pt idx="51">
                  <c:v>1.0345173963676741E-12</c:v>
                </c:pt>
                <c:pt idx="52">
                  <c:v>1.0345173963676741E-12</c:v>
                </c:pt>
                <c:pt idx="53">
                  <c:v>1.0345173963676741E-12</c:v>
                </c:pt>
                <c:pt idx="54">
                  <c:v>1.0345173963676741E-12</c:v>
                </c:pt>
                <c:pt idx="55">
                  <c:v>1.0345173963676741E-12</c:v>
                </c:pt>
                <c:pt idx="56">
                  <c:v>1.0345173963676741E-12</c:v>
                </c:pt>
                <c:pt idx="57">
                  <c:v>1.0345173963676741E-12</c:v>
                </c:pt>
                <c:pt idx="58">
                  <c:v>1.0345173963676741E-12</c:v>
                </c:pt>
                <c:pt idx="59">
                  <c:v>1.0345173963676741E-12</c:v>
                </c:pt>
                <c:pt idx="60">
                  <c:v>1.0345173963676741E-12</c:v>
                </c:pt>
                <c:pt idx="61">
                  <c:v>1.0345173963676741E-12</c:v>
                </c:pt>
                <c:pt idx="62">
                  <c:v>1.0345173963676741E-12</c:v>
                </c:pt>
                <c:pt idx="63">
                  <c:v>1.0345173963676741E-12</c:v>
                </c:pt>
                <c:pt idx="64">
                  <c:v>1.0345173963676741E-12</c:v>
                </c:pt>
                <c:pt idx="65">
                  <c:v>1.0345173963676741E-12</c:v>
                </c:pt>
                <c:pt idx="66">
                  <c:v>1.0345173963676741E-12</c:v>
                </c:pt>
                <c:pt idx="67">
                  <c:v>1.0345173963676741E-12</c:v>
                </c:pt>
                <c:pt idx="68">
                  <c:v>1.0345173963676741E-12</c:v>
                </c:pt>
                <c:pt idx="69">
                  <c:v>1.0345173963676741E-12</c:v>
                </c:pt>
                <c:pt idx="70">
                  <c:v>1.0345173963676741E-12</c:v>
                </c:pt>
                <c:pt idx="71">
                  <c:v>1.0345173963676741E-12</c:v>
                </c:pt>
                <c:pt idx="72">
                  <c:v>1.0345173963676741E-12</c:v>
                </c:pt>
                <c:pt idx="73">
                  <c:v>1.0345173963676741E-12</c:v>
                </c:pt>
                <c:pt idx="74">
                  <c:v>1.0345173963676741E-12</c:v>
                </c:pt>
                <c:pt idx="75">
                  <c:v>1.0345173963676741E-12</c:v>
                </c:pt>
                <c:pt idx="76">
                  <c:v>1.0345173963676741E-12</c:v>
                </c:pt>
                <c:pt idx="77">
                  <c:v>1.0345173963676741E-12</c:v>
                </c:pt>
                <c:pt idx="78">
                  <c:v>1.0345173963676741E-12</c:v>
                </c:pt>
                <c:pt idx="79">
                  <c:v>1.0345173963676741E-12</c:v>
                </c:pt>
                <c:pt idx="80">
                  <c:v>1.0345173963676741E-12</c:v>
                </c:pt>
                <c:pt idx="81">
                  <c:v>1.0345173963676741E-12</c:v>
                </c:pt>
                <c:pt idx="82">
                  <c:v>1.0345173963676741E-12</c:v>
                </c:pt>
                <c:pt idx="83">
                  <c:v>1.0345173963676741E-12</c:v>
                </c:pt>
                <c:pt idx="84">
                  <c:v>1.0345173963676741E-12</c:v>
                </c:pt>
                <c:pt idx="85">
                  <c:v>1.0345173963676741E-12</c:v>
                </c:pt>
                <c:pt idx="86">
                  <c:v>1.0345173963676741E-12</c:v>
                </c:pt>
                <c:pt idx="87">
                  <c:v>1.0345173963676741E-12</c:v>
                </c:pt>
                <c:pt idx="88">
                  <c:v>1.0345173963676741E-12</c:v>
                </c:pt>
                <c:pt idx="89">
                  <c:v>1.0345173963676741E-12</c:v>
                </c:pt>
                <c:pt idx="90">
                  <c:v>1.0345173963676741E-12</c:v>
                </c:pt>
                <c:pt idx="91">
                  <c:v>1.0345173963676741E-12</c:v>
                </c:pt>
                <c:pt idx="92">
                  <c:v>1.0345173963676741E-12</c:v>
                </c:pt>
                <c:pt idx="93">
                  <c:v>1.0345173963676741E-12</c:v>
                </c:pt>
                <c:pt idx="94">
                  <c:v>1.0345173963676741E-12</c:v>
                </c:pt>
                <c:pt idx="95">
                  <c:v>1.0345173963676741E-12</c:v>
                </c:pt>
                <c:pt idx="96">
                  <c:v>1.0345173963676741E-12</c:v>
                </c:pt>
                <c:pt idx="97">
                  <c:v>1.0345173963676741E-12</c:v>
                </c:pt>
                <c:pt idx="98">
                  <c:v>1.0345173963676741E-12</c:v>
                </c:pt>
                <c:pt idx="99">
                  <c:v>1.0345173963676741E-12</c:v>
                </c:pt>
                <c:pt idx="100">
                  <c:v>1.0345173963676741E-12</c:v>
                </c:pt>
                <c:pt idx="101">
                  <c:v>1.0345173963676741E-12</c:v>
                </c:pt>
                <c:pt idx="102">
                  <c:v>1.0345173963676741E-12</c:v>
                </c:pt>
                <c:pt idx="103">
                  <c:v>1.0345173963676741E-12</c:v>
                </c:pt>
                <c:pt idx="104">
                  <c:v>1.0345173963676741E-12</c:v>
                </c:pt>
                <c:pt idx="105">
                  <c:v>1.0345173963676741E-12</c:v>
                </c:pt>
                <c:pt idx="106">
                  <c:v>1.0345173963676741E-12</c:v>
                </c:pt>
                <c:pt idx="107">
                  <c:v>1.0345173963676741E-12</c:v>
                </c:pt>
                <c:pt idx="108">
                  <c:v>1.0345173963676741E-12</c:v>
                </c:pt>
                <c:pt idx="109">
                  <c:v>1.0345173963676741E-12</c:v>
                </c:pt>
                <c:pt idx="110">
                  <c:v>1.0345173963676741E-12</c:v>
                </c:pt>
                <c:pt idx="111">
                  <c:v>1.0345173963676741E-12</c:v>
                </c:pt>
                <c:pt idx="112">
                  <c:v>1.0345173963676741E-12</c:v>
                </c:pt>
                <c:pt idx="113">
                  <c:v>1.0345173963676741E-12</c:v>
                </c:pt>
                <c:pt idx="114">
                  <c:v>1.0345173963676741E-12</c:v>
                </c:pt>
                <c:pt idx="115">
                  <c:v>1.0345173963676741E-12</c:v>
                </c:pt>
                <c:pt idx="116">
                  <c:v>1.0345173963676741E-12</c:v>
                </c:pt>
                <c:pt idx="117">
                  <c:v>1.0345173963676741E-12</c:v>
                </c:pt>
                <c:pt idx="118">
                  <c:v>1.0345173963676741E-12</c:v>
                </c:pt>
                <c:pt idx="119">
                  <c:v>1.0345173963676741E-12</c:v>
                </c:pt>
                <c:pt idx="120">
                  <c:v>1.0345173963676741E-12</c:v>
                </c:pt>
                <c:pt idx="121">
                  <c:v>1.0345173963676741E-12</c:v>
                </c:pt>
                <c:pt idx="122">
                  <c:v>1.0345173963676741E-12</c:v>
                </c:pt>
                <c:pt idx="123">
                  <c:v>1.0345173963676741E-12</c:v>
                </c:pt>
                <c:pt idx="124">
                  <c:v>1.0345173963676741E-12</c:v>
                </c:pt>
                <c:pt idx="125">
                  <c:v>1.0345173963676741E-12</c:v>
                </c:pt>
                <c:pt idx="126">
                  <c:v>1.0345173963676741E-12</c:v>
                </c:pt>
                <c:pt idx="127">
                  <c:v>1.0345173963676741E-12</c:v>
                </c:pt>
                <c:pt idx="128">
                  <c:v>1.0345173963676741E-12</c:v>
                </c:pt>
                <c:pt idx="129">
                  <c:v>1.0345173963676741E-12</c:v>
                </c:pt>
                <c:pt idx="130">
                  <c:v>1.0345173963676741E-12</c:v>
                </c:pt>
                <c:pt idx="131">
                  <c:v>1.0345173963676741E-12</c:v>
                </c:pt>
                <c:pt idx="132">
                  <c:v>1.0345173963676741E-12</c:v>
                </c:pt>
                <c:pt idx="133">
                  <c:v>1.0345173963676741E-12</c:v>
                </c:pt>
                <c:pt idx="134">
                  <c:v>1.0345173963676741E-12</c:v>
                </c:pt>
                <c:pt idx="135">
                  <c:v>1.0345173963676741E-12</c:v>
                </c:pt>
                <c:pt idx="136">
                  <c:v>1.0345173963676741E-12</c:v>
                </c:pt>
                <c:pt idx="137">
                  <c:v>1.0345173963676741E-12</c:v>
                </c:pt>
                <c:pt idx="138">
                  <c:v>1.0345173963676741E-12</c:v>
                </c:pt>
                <c:pt idx="139">
                  <c:v>1.0345173963676741E-12</c:v>
                </c:pt>
                <c:pt idx="140">
                  <c:v>1.0345173963676741E-12</c:v>
                </c:pt>
                <c:pt idx="141">
                  <c:v>1.0345173963676741E-12</c:v>
                </c:pt>
                <c:pt idx="142">
                  <c:v>1.0345173963676741E-12</c:v>
                </c:pt>
                <c:pt idx="143">
                  <c:v>1.0345173963676741E-12</c:v>
                </c:pt>
                <c:pt idx="144">
                  <c:v>1.0345173963676741E-12</c:v>
                </c:pt>
                <c:pt idx="145">
                  <c:v>1.0345173963676741E-12</c:v>
                </c:pt>
                <c:pt idx="146">
                  <c:v>1.0345173963676741E-12</c:v>
                </c:pt>
                <c:pt idx="147">
                  <c:v>1.0345173963676741E-12</c:v>
                </c:pt>
                <c:pt idx="148">
                  <c:v>1.0345173963676741E-12</c:v>
                </c:pt>
                <c:pt idx="149">
                  <c:v>1.0345173963676741E-12</c:v>
                </c:pt>
                <c:pt idx="150">
                  <c:v>1.0345173963676741E-12</c:v>
                </c:pt>
                <c:pt idx="151">
                  <c:v>1.0345173963676741E-12</c:v>
                </c:pt>
                <c:pt idx="152">
                  <c:v>1.0345173963676741E-12</c:v>
                </c:pt>
                <c:pt idx="153">
                  <c:v>1.0345173963676741E-12</c:v>
                </c:pt>
                <c:pt idx="154">
                  <c:v>1.0345173963676741E-12</c:v>
                </c:pt>
                <c:pt idx="155">
                  <c:v>1.0345173963676741E-12</c:v>
                </c:pt>
                <c:pt idx="156">
                  <c:v>1.0345173963676741E-12</c:v>
                </c:pt>
                <c:pt idx="157">
                  <c:v>1.0345173963676741E-12</c:v>
                </c:pt>
                <c:pt idx="158">
                  <c:v>1.0345173963676741E-12</c:v>
                </c:pt>
                <c:pt idx="159">
                  <c:v>1.0345173963676741E-12</c:v>
                </c:pt>
                <c:pt idx="160">
                  <c:v>1.0345173963676741E-12</c:v>
                </c:pt>
                <c:pt idx="161">
                  <c:v>1.0345173963676741E-12</c:v>
                </c:pt>
                <c:pt idx="162">
                  <c:v>1.0345173963676741E-12</c:v>
                </c:pt>
                <c:pt idx="163">
                  <c:v>1.0345173963676741E-12</c:v>
                </c:pt>
                <c:pt idx="164">
                  <c:v>1.0345173963676741E-12</c:v>
                </c:pt>
                <c:pt idx="165">
                  <c:v>1.0345173963676741E-12</c:v>
                </c:pt>
                <c:pt idx="166">
                  <c:v>1.0345173963676741E-12</c:v>
                </c:pt>
                <c:pt idx="167">
                  <c:v>1.0345173963676741E-12</c:v>
                </c:pt>
                <c:pt idx="168">
                  <c:v>1.0345173963676741E-12</c:v>
                </c:pt>
                <c:pt idx="169">
                  <c:v>1.0345173963676741E-12</c:v>
                </c:pt>
                <c:pt idx="170">
                  <c:v>1.0345173963676741E-12</c:v>
                </c:pt>
                <c:pt idx="171">
                  <c:v>1.0345173963676741E-12</c:v>
                </c:pt>
                <c:pt idx="172">
                  <c:v>1.0345173963676741E-12</c:v>
                </c:pt>
                <c:pt idx="173">
                  <c:v>1.0345173963676741E-12</c:v>
                </c:pt>
                <c:pt idx="174">
                  <c:v>1.0345173963676741E-12</c:v>
                </c:pt>
                <c:pt idx="175">
                  <c:v>1.0345173963676741E-12</c:v>
                </c:pt>
                <c:pt idx="176">
                  <c:v>1.0345173963676741E-12</c:v>
                </c:pt>
                <c:pt idx="177">
                  <c:v>1.0345173963676741E-12</c:v>
                </c:pt>
                <c:pt idx="178">
                  <c:v>1.0345173963676741E-12</c:v>
                </c:pt>
                <c:pt idx="179">
                  <c:v>1.0345173963676741E-12</c:v>
                </c:pt>
                <c:pt idx="180">
                  <c:v>1.0345173963676741E-12</c:v>
                </c:pt>
                <c:pt idx="181">
                  <c:v>1.0345173963676741E-12</c:v>
                </c:pt>
                <c:pt idx="182">
                  <c:v>1.0345173963676741E-12</c:v>
                </c:pt>
                <c:pt idx="183">
                  <c:v>1.0345173963676741E-12</c:v>
                </c:pt>
                <c:pt idx="184">
                  <c:v>1.0345173963676741E-12</c:v>
                </c:pt>
                <c:pt idx="185">
                  <c:v>1.0345173963676741E-12</c:v>
                </c:pt>
                <c:pt idx="186">
                  <c:v>1.0345173963676741E-12</c:v>
                </c:pt>
                <c:pt idx="187">
                  <c:v>1.0345173963676741E-12</c:v>
                </c:pt>
                <c:pt idx="188">
                  <c:v>1.0345173963676741E-12</c:v>
                </c:pt>
                <c:pt idx="189">
                  <c:v>1.0345173963676741E-12</c:v>
                </c:pt>
                <c:pt idx="190">
                  <c:v>1.0345173963676741E-12</c:v>
                </c:pt>
                <c:pt idx="191">
                  <c:v>1.0345173963676741E-12</c:v>
                </c:pt>
                <c:pt idx="192">
                  <c:v>1.0345173963676741E-12</c:v>
                </c:pt>
                <c:pt idx="193">
                  <c:v>1.0345173963676741E-12</c:v>
                </c:pt>
                <c:pt idx="194">
                  <c:v>1.0345173963676741E-12</c:v>
                </c:pt>
                <c:pt idx="195">
                  <c:v>1.0345173963676741E-12</c:v>
                </c:pt>
                <c:pt idx="196">
                  <c:v>1.0345173963676741E-12</c:v>
                </c:pt>
                <c:pt idx="197">
                  <c:v>1.0345173963676741E-12</c:v>
                </c:pt>
                <c:pt idx="198">
                  <c:v>1.0345173963676741E-12</c:v>
                </c:pt>
                <c:pt idx="199">
                  <c:v>1.0345173963676741E-12</c:v>
                </c:pt>
                <c:pt idx="200">
                  <c:v>1.0345173963676741E-12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194.36550298334649</c:v>
                </c:pt>
                <c:pt idx="32">
                  <c:v>214.38589248354251</c:v>
                </c:pt>
                <c:pt idx="33">
                  <c:v>234.36323716840602</c:v>
                </c:pt>
                <c:pt idx="34">
                  <c:v>254.30172220416441</c:v>
                </c:pt>
                <c:pt idx="35">
                  <c:v>274.20482243650338</c:v>
                </c:pt>
                <c:pt idx="36">
                  <c:v>294.07546687495898</c:v>
                </c:pt>
                <c:pt idx="37">
                  <c:v>313.91615631143912</c:v>
                </c:pt>
                <c:pt idx="38">
                  <c:v>333.72904960580678</c:v>
                </c:pt>
                <c:pt idx="39">
                  <c:v>353.51602838820548</c:v>
                </c:pt>
                <c:pt idx="40">
                  <c:v>373.27874650728057</c:v>
                </c:pt>
                <c:pt idx="41">
                  <c:v>292.63136713800856</c:v>
                </c:pt>
                <c:pt idx="42">
                  <c:v>312.83467185841931</c:v>
                </c:pt>
                <c:pt idx="43">
                  <c:v>333.00904545770453</c:v>
                </c:pt>
                <c:pt idx="44">
                  <c:v>353.15648638435545</c:v>
                </c:pt>
                <c:pt idx="45">
                  <c:v>373.27874650728046</c:v>
                </c:pt>
                <c:pt idx="46">
                  <c:v>393.37737346788646</c:v>
                </c:pt>
                <c:pt idx="47">
                  <c:v>413.45374392164439</c:v>
                </c:pt>
                <c:pt idx="48">
                  <c:v>433.50908998495447</c:v>
                </c:pt>
                <c:pt idx="49">
                  <c:v>453.54452053248133</c:v>
                </c:pt>
                <c:pt idx="50">
                  <c:v>473.56103853531016</c:v>
                </c:pt>
                <c:pt idx="51">
                  <c:v>390.86628899650503</c:v>
                </c:pt>
                <c:pt idx="52">
                  <c:v>408.43666822000955</c:v>
                </c:pt>
                <c:pt idx="53">
                  <c:v>425.99072614453195</c:v>
                </c:pt>
                <c:pt idx="54">
                  <c:v>443.52922971069125</c:v>
                </c:pt>
                <c:pt idx="55">
                  <c:v>461.05288028198476</c:v>
                </c:pt>
                <c:pt idx="56">
                  <c:v>478.56232158259263</c:v>
                </c:pt>
                <c:pt idx="57">
                  <c:v>496.0581464132178</c:v>
                </c:pt>
                <c:pt idx="58">
                  <c:v>513.54090237038565</c:v>
                </c:pt>
                <c:pt idx="59">
                  <c:v>531.01109674664531</c:v>
                </c:pt>
                <c:pt idx="60">
                  <c:v>548.46920075259288</c:v>
                </c:pt>
                <c:pt idx="61">
                  <c:v>463.73380248274316</c:v>
                </c:pt>
                <c:pt idx="62">
                  <c:v>478.91951340591186</c:v>
                </c:pt>
                <c:pt idx="63">
                  <c:v>494.09499021774013</c:v>
                </c:pt>
                <c:pt idx="64">
                  <c:v>509.26059140461649</c:v>
                </c:pt>
                <c:pt idx="65">
                  <c:v>524.41665236850611</c:v>
                </c:pt>
                <c:pt idx="66">
                  <c:v>539.56348755148167</c:v>
                </c:pt>
                <c:pt idx="67">
                  <c:v>554.70139230936422</c:v>
                </c:pt>
                <c:pt idx="68">
                  <c:v>569.83064457027274</c:v>
                </c:pt>
                <c:pt idx="69">
                  <c:v>584.95150630794706</c:v>
                </c:pt>
                <c:pt idx="70">
                  <c:v>600.06422485487678</c:v>
                </c:pt>
                <c:pt idx="71">
                  <c:v>513.54090237038565</c:v>
                </c:pt>
                <c:pt idx="72">
                  <c:v>526.73381719865961</c:v>
                </c:pt>
                <c:pt idx="73">
                  <c:v>539.91977501567953</c:v>
                </c:pt>
                <c:pt idx="74">
                  <c:v>553.09896961944332</c:v>
                </c:pt>
                <c:pt idx="75">
                  <c:v>566.27158482196944</c:v>
                </c:pt>
                <c:pt idx="76">
                  <c:v>579.43779518903796</c:v>
                </c:pt>
                <c:pt idx="77">
                  <c:v>592.59776670922179</c:v>
                </c:pt>
                <c:pt idx="78">
                  <c:v>605.75165740042166</c:v>
                </c:pt>
                <c:pt idx="79">
                  <c:v>618.89961786100014</c:v>
                </c:pt>
                <c:pt idx="80">
                  <c:v>632.0417917716685</c:v>
                </c:pt>
                <c:pt idx="81">
                  <c:v>544.19484035365758</c:v>
                </c:pt>
                <c:pt idx="82">
                  <c:v>555.94765399766129</c:v>
                </c:pt>
                <c:pt idx="83">
                  <c:v>567.69526466939328</c:v>
                </c:pt>
                <c:pt idx="84">
                  <c:v>579.43779518903796</c:v>
                </c:pt>
                <c:pt idx="85">
                  <c:v>591.17536299398307</c:v>
                </c:pt>
                <c:pt idx="86">
                  <c:v>602.90808047917312</c:v>
                </c:pt>
                <c:pt idx="87">
                  <c:v>614.63605530959683</c:v>
                </c:pt>
                <c:pt idx="88">
                  <c:v>626.35939070769689</c:v>
                </c:pt>
                <c:pt idx="89">
                  <c:v>638.07818571814698</c:v>
                </c:pt>
                <c:pt idx="90">
                  <c:v>649.79253545217807</c:v>
                </c:pt>
                <c:pt idx="91">
                  <c:v>560.7541165002707</c:v>
                </c:pt>
                <c:pt idx="92">
                  <c:v>571.25413823451788</c:v>
                </c:pt>
                <c:pt idx="93">
                  <c:v>581.75012922929784</c:v>
                </c:pt>
                <c:pt idx="94">
                  <c:v>592.24217245006037</c:v>
                </c:pt>
                <c:pt idx="95">
                  <c:v>602.73034768336277</c:v>
                </c:pt>
                <c:pt idx="96">
                  <c:v>613.2147317130424</c:v>
                </c:pt>
                <c:pt idx="97">
                  <c:v>623.69539848371835</c:v>
                </c:pt>
                <c:pt idx="98">
                  <c:v>634.17241925273436</c:v>
                </c:pt>
                <c:pt idx="99">
                  <c:v>644.64586273154202</c:v>
                </c:pt>
                <c:pt idx="100">
                  <c:v>655.11579521742192</c:v>
                </c:pt>
                <c:pt idx="101">
                  <c:v>566.62751179237432</c:v>
                </c:pt>
                <c:pt idx="102">
                  <c:v>575.87998196277465</c:v>
                </c:pt>
                <c:pt idx="103">
                  <c:v>585.12934986312894</c:v>
                </c:pt>
                <c:pt idx="104">
                  <c:v>594.37567144551679</c:v>
                </c:pt>
                <c:pt idx="105">
                  <c:v>603.61900077928829</c:v>
                </c:pt>
                <c:pt idx="106">
                  <c:v>612.85939014289318</c:v>
                </c:pt>
                <c:pt idx="107">
                  <c:v>622.09689010988507</c:v>
                </c:pt>
                <c:pt idx="108">
                  <c:v>631.33154962955348</c:v>
                </c:pt>
                <c:pt idx="109">
                  <c:v>640.56341610259108</c:v>
                </c:pt>
                <c:pt idx="110">
                  <c:v>649.79253545217739</c:v>
                </c:pt>
                <c:pt idx="111">
                  <c:v>567.16139348415504</c:v>
                </c:pt>
                <c:pt idx="112">
                  <c:v>575.16836435383277</c:v>
                </c:pt>
                <c:pt idx="113">
                  <c:v>583.17300871029261</c:v>
                </c:pt>
                <c:pt idx="114">
                  <c:v>591.17536299398284</c:v>
                </c:pt>
                <c:pt idx="115">
                  <c:v>599.17546257825927</c:v>
                </c:pt>
                <c:pt idx="116">
                  <c:v>607.17334181477145</c:v>
                </c:pt>
                <c:pt idx="117">
                  <c:v>615.1690340763322</c:v>
                </c:pt>
                <c:pt idx="118">
                  <c:v>623.16257179744446</c:v>
                </c:pt>
                <c:pt idx="119">
                  <c:v>631.15398651263843</c:v>
                </c:pt>
                <c:pt idx="120">
                  <c:v>639.1433088927696</c:v>
                </c:pt>
                <c:pt idx="121">
                  <c:v>562.89004481391976</c:v>
                </c:pt>
                <c:pt idx="122">
                  <c:v>570.18652494495871</c:v>
                </c:pt>
                <c:pt idx="123">
                  <c:v>577.48105450943058</c:v>
                </c:pt>
                <c:pt idx="124">
                  <c:v>584.77366162583417</c:v>
                </c:pt>
                <c:pt idx="125">
                  <c:v>592.06437365402064</c:v>
                </c:pt>
                <c:pt idx="126">
                  <c:v>599.35321722495371</c:v>
                </c:pt>
                <c:pt idx="127">
                  <c:v>606.64021826894884</c:v>
                </c:pt>
                <c:pt idx="128">
                  <c:v>613.9254020424836</c:v>
                </c:pt>
                <c:pt idx="129">
                  <c:v>621.2087931536704</c:v>
                </c:pt>
                <c:pt idx="130">
                  <c:v>628.49041558647207</c:v>
                </c:pt>
                <c:pt idx="131">
                  <c:v>557.01583171739901</c:v>
                </c:pt>
                <c:pt idx="132">
                  <c:v>563.77996485783626</c:v>
                </c:pt>
                <c:pt idx="133">
                  <c:v>570.5424006783586</c:v>
                </c:pt>
                <c:pt idx="134">
                  <c:v>577.30316213955939</c:v>
                </c:pt>
                <c:pt idx="135">
                  <c:v>584.06227162025073</c:v>
                </c:pt>
                <c:pt idx="136">
                  <c:v>590.81975093891413</c:v>
                </c:pt>
                <c:pt idx="137">
                  <c:v>597.57562137411867</c:v>
                </c:pt>
                <c:pt idx="138">
                  <c:v>604.32990368396679</c:v>
                </c:pt>
                <c:pt idx="139">
                  <c:v>611.08261812462547</c:v>
                </c:pt>
                <c:pt idx="140">
                  <c:v>617.8337844679985</c:v>
                </c:pt>
                <c:pt idx="141">
                  <c:v>550.96225460584606</c:v>
                </c:pt>
                <c:pt idx="142">
                  <c:v>557.01583171739912</c:v>
                </c:pt>
                <c:pt idx="143">
                  <c:v>563.06803117603829</c:v>
                </c:pt>
                <c:pt idx="144">
                  <c:v>569.11886988378967</c:v>
                </c:pt>
                <c:pt idx="145">
                  <c:v>575.16836435383323</c:v>
                </c:pt>
                <c:pt idx="146">
                  <c:v>581.2165307235349</c:v>
                </c:pt>
                <c:pt idx="147">
                  <c:v>587.26338476690717</c:v>
                </c:pt>
                <c:pt idx="148">
                  <c:v>593.3089419065285</c:v>
                </c:pt>
                <c:pt idx="149">
                  <c:v>599.35321722495371</c:v>
                </c:pt>
                <c:pt idx="150">
                  <c:v>605.39622547563852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3.2780288779377198</c:v>
                </c:pt>
                <c:pt idx="2">
                  <c:v>3.7264392321800863</c:v>
                </c:pt>
                <c:pt idx="3">
                  <c:v>4.2364041844719669</c:v>
                </c:pt>
                <c:pt idx="4">
                  <c:v>4.8164014243543303</c:v>
                </c:pt>
                <c:pt idx="5">
                  <c:v>5.4760798472445096</c:v>
                </c:pt>
                <c:pt idx="6">
                  <c:v>6.2264218223645775</c:v>
                </c:pt>
                <c:pt idx="7">
                  <c:v>7.0799280020750386</c:v>
                </c:pt>
                <c:pt idx="8">
                  <c:v>8.0508278115674656</c:v>
                </c:pt>
                <c:pt idx="9">
                  <c:v>9.1553191959503053</c:v>
                </c:pt>
                <c:pt idx="10">
                  <c:v>10.411841701106281</c:v>
                </c:pt>
                <c:pt idx="11">
                  <c:v>11.84138753389057</c:v>
                </c:pt>
                <c:pt idx="12">
                  <c:v>13.467855896064064</c:v>
                </c:pt>
                <c:pt idx="13">
                  <c:v>15.31845662597685</c:v>
                </c:pt>
                <c:pt idx="14">
                  <c:v>17.424170025162166</c:v>
                </c:pt>
                <c:pt idx="15">
                  <c:v>19.820270708185493</c:v>
                </c:pt>
                <c:pt idx="16">
                  <c:v>22.546924409872233</c:v>
                </c:pt>
                <c:pt idx="17">
                  <c:v>25.649867933288316</c:v>
                </c:pt>
                <c:pt idx="18">
                  <c:v>29.181183846104531</c:v>
                </c:pt>
                <c:pt idx="19">
                  <c:v>33.200183156791915</c:v>
                </c:pt>
                <c:pt idx="20">
                  <c:v>37.774411053482368</c:v>
                </c:pt>
                <c:pt idx="21">
                  <c:v>42.980792899228625</c:v>
                </c:pt>
                <c:pt idx="22">
                  <c:v>48.906940084246365</c:v>
                </c:pt>
                <c:pt idx="23">
                  <c:v>55.652638080077843</c:v>
                </c:pt>
                <c:pt idx="24">
                  <c:v>63.331542169880898</c:v>
                </c:pt>
                <c:pt idx="25">
                  <c:v>72.073109897291332</c:v>
                </c:pt>
                <c:pt idx="26">
                  <c:v>82.024803345202045</c:v>
                </c:pt>
                <c:pt idx="27">
                  <c:v>93.354598995704521</c:v>
                </c:pt>
                <c:pt idx="28">
                  <c:v>106.25384821359454</c:v>
                </c:pt>
                <c:pt idx="29">
                  <c:v>120.94053742980232</c:v>
                </c:pt>
                <c:pt idx="30">
                  <c:v>137.66300398229683</c:v>
                </c:pt>
                <c:pt idx="31">
                  <c:v>150.56283505758577</c:v>
                </c:pt>
                <c:pt idx="32">
                  <c:v>163.43632399978199</c:v>
                </c:pt>
                <c:pt idx="33">
                  <c:v>176.28583963282654</c:v>
                </c:pt>
                <c:pt idx="34">
                  <c:v>189.11337673305502</c:v>
                </c:pt>
                <c:pt idx="35">
                  <c:v>201.92063702336625</c:v>
                </c:pt>
                <c:pt idx="36">
                  <c:v>214.70908849243642</c:v>
                </c:pt>
                <c:pt idx="37">
                  <c:v>227.48000981239929</c:v>
                </c:pt>
                <c:pt idx="38">
                  <c:v>240.234524242437</c:v>
                </c:pt>
                <c:pt idx="39">
                  <c:v>252.97362594481328</c:v>
                </c:pt>
                <c:pt idx="40">
                  <c:v>265.6982007159458</c:v>
                </c:pt>
                <c:pt idx="41">
                  <c:v>213.23441535885948</c:v>
                </c:pt>
                <c:pt idx="42">
                  <c:v>226.98913066751979</c:v>
                </c:pt>
                <c:pt idx="43">
                  <c:v>240.72476870476396</c:v>
                </c:pt>
                <c:pt idx="44">
                  <c:v>254.44257166922989</c:v>
                </c:pt>
                <c:pt idx="45">
                  <c:v>268.14363680502908</c:v>
                </c:pt>
                <c:pt idx="46">
                  <c:v>281.82894001768102</c:v>
                </c:pt>
                <c:pt idx="47">
                  <c:v>295.49935465856692</c:v>
                </c:pt>
                <c:pt idx="48">
                  <c:v>309.15566664872</c:v>
                </c:pt>
                <c:pt idx="49">
                  <c:v>322.79858678882687</c:v>
                </c:pt>
                <c:pt idx="50">
                  <c:v>336.42876087816649</c:v>
                </c:pt>
                <c:pt idx="51">
                  <c:v>281.82894001768102</c:v>
                </c:pt>
                <c:pt idx="52">
                  <c:v>295.49935465856686</c:v>
                </c:pt>
                <c:pt idx="53">
                  <c:v>309.15566664872</c:v>
                </c:pt>
                <c:pt idx="54">
                  <c:v>322.79858678882687</c:v>
                </c:pt>
                <c:pt idx="55">
                  <c:v>336.42876087816643</c:v>
                </c:pt>
                <c:pt idx="56">
                  <c:v>350.04677810724957</c:v>
                </c:pt>
                <c:pt idx="57">
                  <c:v>363.65317807573314</c:v>
                </c:pt>
                <c:pt idx="58">
                  <c:v>377.24845670484405</c:v>
                </c:pt>
                <c:pt idx="59">
                  <c:v>390.83307125282545</c:v>
                </c:pt>
                <c:pt idx="60">
                  <c:v>404.40744459656588</c:v>
                </c:pt>
                <c:pt idx="61">
                  <c:v>349.07445398592768</c:v>
                </c:pt>
                <c:pt idx="62">
                  <c:v>361.71009867648309</c:v>
                </c:pt>
                <c:pt idx="63">
                  <c:v>374.33609548540238</c:v>
                </c:pt>
                <c:pt idx="64">
                  <c:v>386.95281571968462</c:v>
                </c:pt>
                <c:pt idx="65">
                  <c:v>399.56060449432607</c:v>
                </c:pt>
                <c:pt idx="66">
                  <c:v>412.15978336556719</c:v>
                </c:pt>
                <c:pt idx="67">
                  <c:v>424.750652625329</c:v>
                </c:pt>
                <c:pt idx="68">
                  <c:v>437.33349330938836</c:v>
                </c:pt>
                <c:pt idx="69">
                  <c:v>449.90856896238455</c:v>
                </c:pt>
                <c:pt idx="70">
                  <c:v>462.4761271952114</c:v>
                </c:pt>
                <c:pt idx="71">
                  <c:v>406.1035410238224</c:v>
                </c:pt>
                <c:pt idx="72">
                  <c:v>417.48768701918169</c:v>
                </c:pt>
                <c:pt idx="73">
                  <c:v>428.86514377416484</c:v>
                </c:pt>
                <c:pt idx="74">
                  <c:v>440.23611378614208</c:v>
                </c:pt>
                <c:pt idx="75">
                  <c:v>451.60078823713394</c:v>
                </c:pt>
                <c:pt idx="76">
                  <c:v>462.95934790100279</c:v>
                </c:pt>
                <c:pt idx="77">
                  <c:v>474.31196395697413</c:v>
                </c:pt>
                <c:pt idx="78">
                  <c:v>485.65879872121445</c:v>
                </c:pt>
                <c:pt idx="79">
                  <c:v>497.00000630648219</c:v>
                </c:pt>
                <c:pt idx="80">
                  <c:v>508.33573321843375</c:v>
                </c:pt>
                <c:pt idx="81">
                  <c:v>451.11731088004348</c:v>
                </c:pt>
                <c:pt idx="82">
                  <c:v>461.50965344860646</c:v>
                </c:pt>
                <c:pt idx="83">
                  <c:v>471.89700327269384</c:v>
                </c:pt>
                <c:pt idx="84">
                  <c:v>482.27948576072487</c:v>
                </c:pt>
                <c:pt idx="85">
                  <c:v>492.65722048045922</c:v>
                </c:pt>
                <c:pt idx="86">
                  <c:v>503.03032155094456</c:v>
                </c:pt>
                <c:pt idx="87">
                  <c:v>513.39889800045569</c:v>
                </c:pt>
                <c:pt idx="88">
                  <c:v>523.76305409401255</c:v>
                </c:pt>
                <c:pt idx="89">
                  <c:v>534.12288963362619</c:v>
                </c:pt>
                <c:pt idx="90">
                  <c:v>544.47850023404055</c:v>
                </c:pt>
                <c:pt idx="91">
                  <c:v>485.9001590679502</c:v>
                </c:pt>
                <c:pt idx="92">
                  <c:v>494.82871437010789</c:v>
                </c:pt>
                <c:pt idx="93">
                  <c:v>503.75385619703314</c:v>
                </c:pt>
                <c:pt idx="94">
                  <c:v>512.67565356716671</c:v>
                </c:pt>
                <c:pt idx="95">
                  <c:v>521.59417290035901</c:v>
                </c:pt>
                <c:pt idx="96">
                  <c:v>530.50947815942595</c:v>
                </c:pt>
                <c:pt idx="97">
                  <c:v>539.42163098169533</c:v>
                </c:pt>
                <c:pt idx="98">
                  <c:v>548.33069080140456</c:v>
                </c:pt>
                <c:pt idx="99">
                  <c:v>557.23671496373186</c:v>
                </c:pt>
                <c:pt idx="100">
                  <c:v>566.13975883115825</c:v>
                </c:pt>
                <c:pt idx="101">
                  <c:v>506.40662874127889</c:v>
                </c:pt>
                <c:pt idx="102">
                  <c:v>514.12212091947993</c:v>
                </c:pt>
                <c:pt idx="103">
                  <c:v>521.83516907361548</c:v>
                </c:pt>
                <c:pt idx="104">
                  <c:v>529.54581443344182</c:v>
                </c:pt>
                <c:pt idx="105">
                  <c:v>537.25409692975529</c:v>
                </c:pt>
                <c:pt idx="106">
                  <c:v>544.96005525377211</c:v>
                </c:pt>
                <c:pt idx="107">
                  <c:v>552.66372691297317</c:v>
                </c:pt>
                <c:pt idx="108">
                  <c:v>560.36514828367297</c:v>
                </c:pt>
                <c:pt idx="109">
                  <c:v>568.06435466054984</c:v>
                </c:pt>
                <c:pt idx="110">
                  <c:v>575.76138030334857</c:v>
                </c:pt>
                <c:pt idx="111">
                  <c:v>517.01479814281254</c:v>
                </c:pt>
                <c:pt idx="112">
                  <c:v>523.28109688258075</c:v>
                </c:pt>
                <c:pt idx="113">
                  <c:v>529.54581443344148</c:v>
                </c:pt>
                <c:pt idx="114">
                  <c:v>535.8089721483542</c:v>
                </c:pt>
                <c:pt idx="115">
                  <c:v>542.07059084014793</c:v>
                </c:pt>
                <c:pt idx="116">
                  <c:v>548.3306908014041</c:v>
                </c:pt>
                <c:pt idx="117">
                  <c:v>554.58929182337999</c:v>
                </c:pt>
                <c:pt idx="118">
                  <c:v>560.84641321403888</c:v>
                </c:pt>
                <c:pt idx="119">
                  <c:v>567.10207381522684</c:v>
                </c:pt>
                <c:pt idx="120">
                  <c:v>573.35629201905874</c:v>
                </c:pt>
                <c:pt idx="121">
                  <c:v>518.4610085628093</c:v>
                </c:pt>
                <c:pt idx="122">
                  <c:v>523.76305409401198</c:v>
                </c:pt>
                <c:pt idx="123">
                  <c:v>529.06396873094093</c:v>
                </c:pt>
                <c:pt idx="124">
                  <c:v>534.36376540932724</c:v>
                </c:pt>
                <c:pt idx="125">
                  <c:v>539.66245678723953</c:v>
                </c:pt>
                <c:pt idx="126">
                  <c:v>544.96005525377177</c:v>
                </c:pt>
                <c:pt idx="127">
                  <c:v>550.25657293737493</c:v>
                </c:pt>
                <c:pt idx="128">
                  <c:v>555.55202171385361</c:v>
                </c:pt>
                <c:pt idx="129">
                  <c:v>560.84641321403853</c:v>
                </c:pt>
                <c:pt idx="130">
                  <c:v>566.13975883115756</c:v>
                </c:pt>
                <c:pt idx="131">
                  <c:v>519.90713388491372</c:v>
                </c:pt>
                <c:pt idx="132">
                  <c:v>524.24500195940539</c:v>
                </c:pt>
                <c:pt idx="133">
                  <c:v>528.58211378930298</c:v>
                </c:pt>
                <c:pt idx="134">
                  <c:v>532.91847645941141</c:v>
                </c:pt>
                <c:pt idx="135">
                  <c:v>537.25409692975484</c:v>
                </c:pt>
                <c:pt idx="136">
                  <c:v>541.58898203878653</c:v>
                </c:pt>
                <c:pt idx="137">
                  <c:v>545.92313850648964</c:v>
                </c:pt>
                <c:pt idx="138">
                  <c:v>550.25657293737493</c:v>
                </c:pt>
                <c:pt idx="139">
                  <c:v>554.58929182337999</c:v>
                </c:pt>
                <c:pt idx="140">
                  <c:v>558.92130154667086</c:v>
                </c:pt>
                <c:pt idx="141">
                  <c:v>521.1121735097696</c:v>
                </c:pt>
                <c:pt idx="142">
                  <c:v>524.24500195940573</c:v>
                </c:pt>
                <c:pt idx="143">
                  <c:v>527.37743595079053</c:v>
                </c:pt>
                <c:pt idx="144">
                  <c:v>530.50947815942561</c:v>
                </c:pt>
                <c:pt idx="145">
                  <c:v>533.64113122661763</c:v>
                </c:pt>
                <c:pt idx="146">
                  <c:v>536.77239776011834</c:v>
                </c:pt>
                <c:pt idx="147">
                  <c:v>539.90328033474827</c:v>
                </c:pt>
                <c:pt idx="148">
                  <c:v>543.03378149300568</c:v>
                </c:pt>
                <c:pt idx="149">
                  <c:v>546.16390374566026</c:v>
                </c:pt>
                <c:pt idx="150">
                  <c:v>549.29364957233327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2.931056707464792</c:v>
                </c:pt>
                <c:pt idx="2">
                  <c:v>3.3318551269659973</c:v>
                </c:pt>
                <c:pt idx="3">
                  <c:v>3.7876530450000145</c:v>
                </c:pt>
                <c:pt idx="4">
                  <c:v>4.3060228524036299</c:v>
                </c:pt>
                <c:pt idx="5">
                  <c:v>4.8955827570937345</c:v>
                </c:pt>
                <c:pt idx="6">
                  <c:v>5.5661416385453704</c:v>
                </c:pt>
                <c:pt idx="7">
                  <c:v>6.3288640194289352</c:v>
                </c:pt>
                <c:pt idx="8">
                  <c:v>7.1964579551056138</c:v>
                </c:pt>
                <c:pt idx="9">
                  <c:v>8.1833890324675558</c:v>
                </c:pt>
                <c:pt idx="10">
                  <c:v>9.3061241150356775</c:v>
                </c:pt>
                <c:pt idx="11">
                  <c:v>10.583408978946904</c:v>
                </c:pt>
                <c:pt idx="12">
                  <c:v>12.036584563201684</c:v>
                </c:pt>
                <c:pt idx="13">
                  <c:v>13.689947217254156</c:v>
                </c:pt>
                <c:pt idx="14">
                  <c:v>15.571159081060619</c:v>
                </c:pt>
                <c:pt idx="15">
                  <c:v>17.711715589999486</c:v>
                </c:pt>
                <c:pt idx="16">
                  <c:v>20.147478074397963</c:v>
                </c:pt>
                <c:pt idx="17">
                  <c:v>22.91928053757951</c:v>
                </c:pt>
                <c:pt idx="18">
                  <c:v>26.073620966579735</c:v>
                </c:pt>
                <c:pt idx="19">
                  <c:v>29.663448977859549</c:v>
                </c:pt>
                <c:pt idx="20">
                  <c:v>33.749063251445868</c:v>
                </c:pt>
                <c:pt idx="21">
                  <c:v>38.399134089428649</c:v>
                </c:pt>
                <c:pt idx="22">
                  <c:v>43.691868581124886</c:v>
                </c:pt>
                <c:pt idx="23">
                  <c:v>49.716338304531341</c:v>
                </c:pt>
                <c:pt idx="24">
                  <c:v>56.573992284189721</c:v>
                </c:pt>
                <c:pt idx="25">
                  <c:v>64.38038110747955</c:v>
                </c:pt>
                <c:pt idx="26">
                  <c:v>73.267121729618438</c:v>
                </c:pt>
                <c:pt idx="27">
                  <c:v>83.384136634998526</c:v>
                </c:pt>
                <c:pt idx="28">
                  <c:v>94.902205740463899</c:v>
                </c:pt>
                <c:pt idx="29">
                  <c:v>108.01587480633737</c:v>
                </c:pt>
                <c:pt idx="30">
                  <c:v>122.94677025652992</c:v>
                </c:pt>
                <c:pt idx="31">
                  <c:v>134.46424353098067</c:v>
                </c:pt>
                <c:pt idx="32">
                  <c:v>145.95794243077449</c:v>
                </c:pt>
                <c:pt idx="33">
                  <c:v>157.43000487343215</c:v>
                </c:pt>
                <c:pt idx="34">
                  <c:v>168.8822311899971</c:v>
                </c:pt>
                <c:pt idx="35">
                  <c:v>180.31615722411632</c:v>
                </c:pt>
                <c:pt idx="36">
                  <c:v>191.73310786898125</c:v>
                </c:pt>
                <c:pt idx="37">
                  <c:v>203.1342371552947</c:v>
                </c:pt>
                <c:pt idx="38">
                  <c:v>214.52055885003378</c:v>
                </c:pt>
                <c:pt idx="39">
                  <c:v>225.89297020726841</c:v>
                </c:pt>
                <c:pt idx="40">
                  <c:v>237.25227067842596</c:v>
                </c:pt>
                <c:pt idx="41">
                  <c:v>190.41659540288188</c:v>
                </c:pt>
                <c:pt idx="42">
                  <c:v>202.69601208813614</c:v>
                </c:pt>
                <c:pt idx="43">
                  <c:v>214.95821110174333</c:v>
                </c:pt>
                <c:pt idx="44">
                  <c:v>227.20431355624609</c:v>
                </c:pt>
                <c:pt idx="45">
                  <c:v>239.43530973942802</c:v>
                </c:pt>
                <c:pt idx="46">
                  <c:v>251.65208042823193</c:v>
                </c:pt>
                <c:pt idx="47">
                  <c:v>263.85541384215662</c:v>
                </c:pt>
                <c:pt idx="48">
                  <c:v>276.046019292822</c:v>
                </c:pt>
                <c:pt idx="49">
                  <c:v>288.22453829402542</c:v>
                </c:pt>
                <c:pt idx="50">
                  <c:v>300.39155369431415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312.54759725153411</c:v>
                </c:pt>
                <c:pt idx="57">
                  <c:v>324.69315596665706</c:v>
                </c:pt>
                <c:pt idx="58">
                  <c:v>336.8286774198769</c:v>
                </c:pt>
                <c:pt idx="59">
                  <c:v>348.95457429716561</c:v>
                </c:pt>
                <c:pt idx="60">
                  <c:v>361.07122825453922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367.9910179007436</c:v>
                </c:pt>
                <c:pt idx="67">
                  <c:v>379.22964610478328</c:v>
                </c:pt>
                <c:pt idx="68">
                  <c:v>390.46102833652321</c:v>
                </c:pt>
                <c:pt idx="69">
                  <c:v>401.68540245099808</c:v>
                </c:pt>
                <c:pt idx="70">
                  <c:v>412.90299192267565</c:v>
                </c:pt>
                <c:pt idx="71">
                  <c:v>362.58517801603216</c:v>
                </c:pt>
                <c:pt idx="72">
                  <c:v>372.74672234268377</c:v>
                </c:pt>
                <c:pt idx="73">
                  <c:v>382.90222947765045</c:v>
                </c:pt>
                <c:pt idx="74">
                  <c:v>393.05188217941776</c:v>
                </c:pt>
                <c:pt idx="75">
                  <c:v>403.19585299411011</c:v>
                </c:pt>
                <c:pt idx="76">
                  <c:v>413.33430507425288</c:v>
                </c:pt>
                <c:pt idx="77">
                  <c:v>423.46739291299292</c:v>
                </c:pt>
                <c:pt idx="78">
                  <c:v>433.59526300436511</c:v>
                </c:pt>
                <c:pt idx="79">
                  <c:v>443.71805443864088</c:v>
                </c:pt>
                <c:pt idx="80">
                  <c:v>453.83589944051045</c:v>
                </c:pt>
                <c:pt idx="81">
                  <c:v>402.76430820889414</c:v>
                </c:pt>
                <c:pt idx="82">
                  <c:v>412.04033643642782</c:v>
                </c:pt>
                <c:pt idx="83">
                  <c:v>421.3118585984385</c:v>
                </c:pt>
                <c:pt idx="84">
                  <c:v>430.5789878788791</c:v>
                </c:pt>
                <c:pt idx="85">
                  <c:v>439.84183219037368</c:v>
                </c:pt>
                <c:pt idx="86">
                  <c:v>449.10049452796039</c:v>
                </c:pt>
                <c:pt idx="87">
                  <c:v>458.35507329213868</c:v>
                </c:pt>
                <c:pt idx="88">
                  <c:v>467.60566258446192</c:v>
                </c:pt>
                <c:pt idx="89">
                  <c:v>476.85235247851648</c:v>
                </c:pt>
                <c:pt idx="90">
                  <c:v>486.09522926878526</c:v>
                </c:pt>
                <c:pt idx="91">
                  <c:v>433.81069394390437</c:v>
                </c:pt>
                <c:pt idx="92">
                  <c:v>441.7800344482207</c:v>
                </c:pt>
                <c:pt idx="93">
                  <c:v>449.74629421345008</c:v>
                </c:pt>
                <c:pt idx="94">
                  <c:v>457.70953553030586</c:v>
                </c:pt>
                <c:pt idx="95">
                  <c:v>465.66981834421478</c:v>
                </c:pt>
                <c:pt idx="96">
                  <c:v>473.62720038307413</c:v>
                </c:pt>
                <c:pt idx="97">
                  <c:v>481.58173727597494</c:v>
                </c:pt>
                <c:pt idx="98">
                  <c:v>489.53348266366919</c:v>
                </c:pt>
                <c:pt idx="99">
                  <c:v>497.48248830148515</c:v>
                </c:pt>
                <c:pt idx="100">
                  <c:v>505.42880415532272</c:v>
                </c:pt>
                <c:pt idx="101">
                  <c:v>452.1140568774706</c:v>
                </c:pt>
                <c:pt idx="102">
                  <c:v>459.00059163685773</c:v>
                </c:pt>
                <c:pt idx="103">
                  <c:v>465.88492060890059</c:v>
                </c:pt>
                <c:pt idx="104">
                  <c:v>472.76708100439191</c:v>
                </c:pt>
                <c:pt idx="105">
                  <c:v>479.647108861785</c:v>
                </c:pt>
                <c:pt idx="106">
                  <c:v>486.52503910078264</c:v>
                </c:pt>
                <c:pt idx="107">
                  <c:v>493.40090557274016</c:v>
                </c:pt>
                <c:pt idx="108">
                  <c:v>500.27474110810925</c:v>
                </c:pt>
                <c:pt idx="109">
                  <c:v>507.1465775611403</c:v>
                </c:pt>
                <c:pt idx="110">
                  <c:v>514.01644585203292</c:v>
                </c:pt>
                <c:pt idx="111">
                  <c:v>461.58247146723374</c:v>
                </c:pt>
                <c:pt idx="112">
                  <c:v>467.17548976530105</c:v>
                </c:pt>
                <c:pt idx="113">
                  <c:v>472.76708100439186</c:v>
                </c:pt>
                <c:pt idx="114">
                  <c:v>478.35726445603774</c:v>
                </c:pt>
                <c:pt idx="115">
                  <c:v>483.94605890429148</c:v>
                </c:pt>
                <c:pt idx="116">
                  <c:v>489.53348266366879</c:v>
                </c:pt>
                <c:pt idx="117">
                  <c:v>495.11955359623045</c:v>
                </c:pt>
                <c:pt idx="118">
                  <c:v>500.70428912785206</c:v>
                </c:pt>
                <c:pt idx="119">
                  <c:v>506.28770626372915</c:v>
                </c:pt>
                <c:pt idx="120">
                  <c:v>511.86982160316376</c:v>
                </c:pt>
                <c:pt idx="121">
                  <c:v>462.87329568652257</c:v>
                </c:pt>
                <c:pt idx="122">
                  <c:v>467.60566258446141</c:v>
                </c:pt>
                <c:pt idx="123">
                  <c:v>472.33700882457924</c:v>
                </c:pt>
                <c:pt idx="124">
                  <c:v>477.06734608166806</c:v>
                </c:pt>
                <c:pt idx="125">
                  <c:v>481.79668577992283</c:v>
                </c:pt>
                <c:pt idx="126">
                  <c:v>486.52503910078241</c:v>
                </c:pt>
                <c:pt idx="127">
                  <c:v>491.25241699045029</c:v>
                </c:pt>
                <c:pt idx="128">
                  <c:v>495.97883016711029</c:v>
                </c:pt>
                <c:pt idx="129">
                  <c:v>500.70428912785178</c:v>
                </c:pt>
                <c:pt idx="130">
                  <c:v>505.4288041553221</c:v>
                </c:pt>
                <c:pt idx="131">
                  <c:v>464.16404310302636</c:v>
                </c:pt>
                <c:pt idx="132">
                  <c:v>468.03582696860985</c:v>
                </c:pt>
                <c:pt idx="133">
                  <c:v>471.9069283062351</c:v>
                </c:pt>
                <c:pt idx="134">
                  <c:v>475.77735351010006</c:v>
                </c:pt>
                <c:pt idx="135">
                  <c:v>479.6471088617846</c:v>
                </c:pt>
                <c:pt idx="136">
                  <c:v>483.51620053314883</c:v>
                </c:pt>
                <c:pt idx="137">
                  <c:v>487.3846345891302</c:v>
                </c:pt>
                <c:pt idx="138">
                  <c:v>491.25241699045051</c:v>
                </c:pt>
                <c:pt idx="139">
                  <c:v>495.11955359623039</c:v>
                </c:pt>
                <c:pt idx="140">
                  <c:v>498.98605016652004</c:v>
                </c:pt>
                <c:pt idx="141">
                  <c:v>465.23960745740425</c:v>
                </c:pt>
                <c:pt idx="142">
                  <c:v>468.03582696861002</c:v>
                </c:pt>
                <c:pt idx="143">
                  <c:v>470.83169047226619</c:v>
                </c:pt>
                <c:pt idx="144">
                  <c:v>473.62720038307378</c:v>
                </c:pt>
                <c:pt idx="145">
                  <c:v>476.42235908487243</c:v>
                </c:pt>
                <c:pt idx="146">
                  <c:v>479.21716893121703</c:v>
                </c:pt>
                <c:pt idx="147">
                  <c:v>482.01163224594205</c:v>
                </c:pt>
                <c:pt idx="148">
                  <c:v>484.80575132371001</c:v>
                </c:pt>
                <c:pt idx="149">
                  <c:v>487.59952843054754</c:v>
                </c:pt>
                <c:pt idx="150">
                  <c:v>490.39296580436917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5" t="s">
        <v>291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2:13" ht="15" customHeight="1" x14ac:dyDescent="0.3"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</row>
    <row r="14" spans="2:13" ht="15" customHeight="1" x14ac:dyDescent="0.3"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</row>
    <row r="15" spans="2:13" ht="18.75" customHeight="1" x14ac:dyDescent="0.3"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</row>
    <row r="16" spans="2:13" ht="18.75" customHeight="1" x14ac:dyDescent="0.3"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</row>
    <row r="18" spans="2:13" ht="12" customHeight="1" x14ac:dyDescent="0.3">
      <c r="B18" s="255" t="s">
        <v>292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</row>
    <row r="19" spans="2:13" ht="12" customHeight="1" x14ac:dyDescent="0.3"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</row>
    <row r="20" spans="2:13" ht="12" customHeight="1" x14ac:dyDescent="0.3"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2:13" ht="12" customHeight="1" x14ac:dyDescent="0.3"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</row>
    <row r="22" spans="2:13" ht="12" customHeight="1" x14ac:dyDescent="0.3"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</row>
    <row r="23" spans="2:13" ht="12" customHeight="1" x14ac:dyDescent="0.3"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</row>
    <row r="24" spans="2:13" ht="12" customHeight="1" x14ac:dyDescent="0.3"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</row>
    <row r="25" spans="2:13" ht="12" customHeight="1" x14ac:dyDescent="0.3"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</row>
    <row r="26" spans="2:13" ht="12" customHeight="1" x14ac:dyDescent="0.3"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7" spans="2:13" ht="12" customHeight="1" x14ac:dyDescent="0.3"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2:13" ht="12" customHeight="1" x14ac:dyDescent="0.3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2:13" ht="12" customHeight="1" x14ac:dyDescent="0.3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</row>
    <row r="30" spans="2:13" ht="12" customHeight="1" x14ac:dyDescent="0.3"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</row>
    <row r="31" spans="2:13" ht="12" customHeight="1" x14ac:dyDescent="0.3"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80" zoomScaleNormal="80" zoomScaleSheetLayoutView="40" workbookViewId="0">
      <selection activeCell="C12" sqref="C1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6" t="s">
        <v>190</v>
      </c>
      <c r="D1" s="256"/>
      <c r="E1" s="25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1" t="s">
        <v>192</v>
      </c>
      <c r="C3" s="262"/>
      <c r="D3" s="262"/>
      <c r="E3" s="262"/>
      <c r="F3" s="263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6" t="s">
        <v>231</v>
      </c>
      <c r="B5" s="266"/>
      <c r="C5" s="24">
        <v>3.9</v>
      </c>
      <c r="D5" s="267" t="s">
        <v>229</v>
      </c>
      <c r="E5" s="268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5" t="s">
        <v>226</v>
      </c>
      <c r="B7" s="265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32</v>
      </c>
      <c r="C9" s="32">
        <v>0.54</v>
      </c>
      <c r="D9" s="33">
        <f t="shared" ref="D9:D18" si="0">C9*$C$5</f>
        <v>2.1059999999999999</v>
      </c>
      <c r="E9" s="34">
        <v>25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</v>
      </c>
      <c r="C10" s="32">
        <v>0.41</v>
      </c>
      <c r="D10" s="33">
        <f t="shared" si="0"/>
        <v>1.599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</v>
      </c>
      <c r="C11" s="32">
        <v>0.02</v>
      </c>
      <c r="D11" s="33">
        <f t="shared" si="0"/>
        <v>7.8E-2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12</v>
      </c>
      <c r="C12" s="32">
        <v>2.5000000000000001E-2</v>
      </c>
      <c r="D12" s="33">
        <f t="shared" si="0"/>
        <v>9.7500000000000003E-2</v>
      </c>
      <c r="E12" s="34">
        <v>150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0.995</v>
      </c>
      <c r="D19" s="38">
        <f>SUM(D9:D18)</f>
        <v>3.8805000000000001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4" t="s">
        <v>232</v>
      </c>
      <c r="B22" s="26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5" t="s">
        <v>227</v>
      </c>
      <c r="B30" s="265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non cultivé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5</v>
      </c>
      <c r="B36" s="60">
        <v>12.8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2.56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10</v>
      </c>
      <c r="B37" s="60">
        <v>64.7</v>
      </c>
      <c r="C37" s="60">
        <v>2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10.38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15</v>
      </c>
      <c r="B38" s="60">
        <v>148.69999999999999</v>
      </c>
      <c r="C38" s="60">
        <v>3</v>
      </c>
      <c r="D38" s="60">
        <v>0</v>
      </c>
      <c r="E38" s="51"/>
      <c r="F38" s="51"/>
      <c r="G38" s="51"/>
      <c r="H38" s="51"/>
      <c r="I38" s="53">
        <f t="shared" si="1"/>
        <v>16.799999999999997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20</v>
      </c>
      <c r="B39" s="60">
        <v>256.39999999999998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21.54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25</v>
      </c>
      <c r="B40" s="60">
        <v>376.3</v>
      </c>
      <c r="C40" s="60">
        <v>5</v>
      </c>
      <c r="D40" s="60">
        <f>B40</f>
        <v>376.3</v>
      </c>
      <c r="E40" s="51">
        <v>0.8</v>
      </c>
      <c r="F40" s="51"/>
      <c r="G40" s="51">
        <v>0.1</v>
      </c>
      <c r="H40" s="51">
        <v>0.1</v>
      </c>
      <c r="I40" s="49">
        <f t="shared" si="1"/>
        <v>23.980000000000008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pédonculé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149</v>
      </c>
      <c r="C63" s="60">
        <v>2</v>
      </c>
      <c r="D63" s="60">
        <v>56</v>
      </c>
      <c r="E63" s="51"/>
      <c r="F63" s="51"/>
      <c r="G63" s="51"/>
      <c r="H63" s="51">
        <v>1</v>
      </c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203</v>
      </c>
      <c r="C64" s="60">
        <v>3</v>
      </c>
      <c r="D64" s="60">
        <v>56</v>
      </c>
      <c r="E64" s="51"/>
      <c r="F64" s="51"/>
      <c r="G64" s="51"/>
      <c r="H64" s="51">
        <v>1</v>
      </c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259</v>
      </c>
      <c r="C65" s="60">
        <v>4</v>
      </c>
      <c r="D65" s="60">
        <v>56</v>
      </c>
      <c r="E65" s="51">
        <v>0.85</v>
      </c>
      <c r="F65" s="51"/>
      <c r="G65" s="51"/>
      <c r="H65" s="51">
        <v>0.15</v>
      </c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301</v>
      </c>
      <c r="C66" s="60">
        <v>5</v>
      </c>
      <c r="D66" s="60">
        <v>56</v>
      </c>
      <c r="E66" s="51">
        <v>0.85</v>
      </c>
      <c r="F66" s="51"/>
      <c r="G66" s="51"/>
      <c r="H66" s="51">
        <v>0.15</v>
      </c>
      <c r="I66" s="49">
        <f t="shared" ref="I66:I81" si="2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330</v>
      </c>
      <c r="C67" s="60">
        <v>6</v>
      </c>
      <c r="D67" s="60">
        <v>56</v>
      </c>
      <c r="E67" s="51">
        <v>0.85</v>
      </c>
      <c r="F67" s="51"/>
      <c r="G67" s="51"/>
      <c r="H67" s="51">
        <v>0.15</v>
      </c>
      <c r="I67" s="49">
        <f t="shared" si="2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348</v>
      </c>
      <c r="C68" s="60">
        <v>7</v>
      </c>
      <c r="D68" s="60">
        <v>56</v>
      </c>
      <c r="E68" s="51">
        <v>0.85</v>
      </c>
      <c r="F68" s="51"/>
      <c r="G68" s="51"/>
      <c r="H68" s="51">
        <v>0.15</v>
      </c>
      <c r="I68" s="49">
        <f t="shared" si="2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358</v>
      </c>
      <c r="C69" s="50">
        <v>8</v>
      </c>
      <c r="D69" s="50">
        <v>56</v>
      </c>
      <c r="E69" s="51">
        <v>0.85</v>
      </c>
      <c r="F69" s="51"/>
      <c r="G69" s="51"/>
      <c r="H69" s="51">
        <v>0.15</v>
      </c>
      <c r="I69" s="49">
        <f t="shared" si="2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361</v>
      </c>
      <c r="C70" s="50">
        <v>9</v>
      </c>
      <c r="D70" s="50">
        <v>55</v>
      </c>
      <c r="E70" s="51">
        <v>0.85</v>
      </c>
      <c r="F70" s="51"/>
      <c r="G70" s="51"/>
      <c r="H70" s="51">
        <v>0.15</v>
      </c>
      <c r="I70" s="49">
        <f t="shared" si="2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v>358</v>
      </c>
      <c r="C71" s="50">
        <v>10</v>
      </c>
      <c r="D71" s="50">
        <v>51</v>
      </c>
      <c r="E71" s="51">
        <v>0.85</v>
      </c>
      <c r="F71" s="51"/>
      <c r="G71" s="51"/>
      <c r="H71" s="51">
        <v>0.15</v>
      </c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v>352</v>
      </c>
      <c r="C72" s="50">
        <v>11</v>
      </c>
      <c r="D72" s="50">
        <v>47</v>
      </c>
      <c r="E72" s="51">
        <v>0.85</v>
      </c>
      <c r="F72" s="51"/>
      <c r="G72" s="51"/>
      <c r="H72" s="51">
        <v>0.15</v>
      </c>
      <c r="I72" s="49">
        <f t="shared" si="2"/>
        <v>4.5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v>346</v>
      </c>
      <c r="C73" s="50">
        <v>12</v>
      </c>
      <c r="D73" s="50">
        <v>44</v>
      </c>
      <c r="E73" s="51">
        <v>0.85</v>
      </c>
      <c r="F73" s="51"/>
      <c r="G73" s="51"/>
      <c r="H73" s="51">
        <v>0.15</v>
      </c>
      <c r="I73" s="49">
        <f t="shared" si="2"/>
        <v>4.0999999999999996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v>340</v>
      </c>
      <c r="C74" s="50">
        <v>13</v>
      </c>
      <c r="D74" s="50">
        <v>41</v>
      </c>
      <c r="E74" s="51">
        <v>0.85</v>
      </c>
      <c r="F74" s="51"/>
      <c r="G74" s="51"/>
      <c r="H74" s="51">
        <v>0.15</v>
      </c>
      <c r="I74" s="49">
        <f t="shared" si="2"/>
        <v>3.8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v>333</v>
      </c>
      <c r="C75" s="50">
        <v>14</v>
      </c>
      <c r="D75" s="50">
        <v>333</v>
      </c>
      <c r="E75" s="51">
        <v>0.85</v>
      </c>
      <c r="F75" s="51"/>
      <c r="G75" s="51"/>
      <c r="H75" s="51">
        <v>0.15</v>
      </c>
      <c r="I75" s="49">
        <f t="shared" si="2"/>
        <v>3.4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vert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30</v>
      </c>
      <c r="B88" s="60">
        <v>54</v>
      </c>
      <c r="C88" s="60">
        <v>1</v>
      </c>
      <c r="D88" s="60">
        <v>0</v>
      </c>
      <c r="E88" s="51"/>
      <c r="F88" s="51"/>
      <c r="G88" s="51"/>
      <c r="H88" s="51">
        <v>1</v>
      </c>
      <c r="I88" s="53">
        <f>IFERROR(B88/A88,"")</f>
        <v>1.8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40</v>
      </c>
      <c r="B89" s="60">
        <v>106</v>
      </c>
      <c r="C89" s="60">
        <v>2</v>
      </c>
      <c r="D89" s="60">
        <v>27</v>
      </c>
      <c r="E89" s="51"/>
      <c r="F89" s="51"/>
      <c r="G89" s="51"/>
      <c r="H89" s="51">
        <v>1</v>
      </c>
      <c r="I89" s="53">
        <f t="shared" ref="I89:I107" si="3">IF(A89&lt;&gt;0,(B89-(B88-D88))/(A89-A88),"")</f>
        <v>5.2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50</v>
      </c>
      <c r="B90" s="60">
        <v>135</v>
      </c>
      <c r="C90" s="60">
        <v>3</v>
      </c>
      <c r="D90" s="60">
        <v>28</v>
      </c>
      <c r="E90" s="51"/>
      <c r="F90" s="51"/>
      <c r="G90" s="51"/>
      <c r="H90" s="51">
        <v>1</v>
      </c>
      <c r="I90" s="53">
        <f t="shared" si="3"/>
        <v>5.6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60</v>
      </c>
      <c r="B91" s="60">
        <v>163</v>
      </c>
      <c r="C91" s="60">
        <v>4</v>
      </c>
      <c r="D91" s="60">
        <v>28</v>
      </c>
      <c r="E91" s="51">
        <v>0.85</v>
      </c>
      <c r="F91" s="51"/>
      <c r="G91" s="51"/>
      <c r="H91" s="51">
        <v>0.15</v>
      </c>
      <c r="I91" s="53">
        <f t="shared" si="3"/>
        <v>5.6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70</v>
      </c>
      <c r="B92" s="60">
        <v>187</v>
      </c>
      <c r="C92" s="60">
        <v>5</v>
      </c>
      <c r="D92" s="60">
        <v>28</v>
      </c>
      <c r="E92" s="51">
        <v>0.85</v>
      </c>
      <c r="F92" s="51"/>
      <c r="G92" s="51"/>
      <c r="H92" s="51">
        <v>0.15</v>
      </c>
      <c r="I92" s="53">
        <f t="shared" si="3"/>
        <v>5.2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80</v>
      </c>
      <c r="B93" s="60">
        <v>206</v>
      </c>
      <c r="C93" s="60">
        <v>6</v>
      </c>
      <c r="D93" s="60">
        <v>28</v>
      </c>
      <c r="E93" s="51">
        <v>0.85</v>
      </c>
      <c r="F93" s="51"/>
      <c r="G93" s="51"/>
      <c r="H93" s="51">
        <v>0.15</v>
      </c>
      <c r="I93" s="53">
        <f t="shared" si="3"/>
        <v>4.7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90</v>
      </c>
      <c r="B94" s="60">
        <v>221</v>
      </c>
      <c r="C94" s="60">
        <v>7</v>
      </c>
      <c r="D94" s="60">
        <v>28</v>
      </c>
      <c r="E94" s="51">
        <v>0.85</v>
      </c>
      <c r="F94" s="51"/>
      <c r="G94" s="51"/>
      <c r="H94" s="51">
        <v>0.15</v>
      </c>
      <c r="I94" s="53">
        <f t="shared" si="3"/>
        <v>4.3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100</v>
      </c>
      <c r="B95" s="60">
        <v>230</v>
      </c>
      <c r="C95" s="60">
        <v>8</v>
      </c>
      <c r="D95" s="60">
        <v>28</v>
      </c>
      <c r="E95" s="51">
        <v>0.85</v>
      </c>
      <c r="F95" s="51"/>
      <c r="G95" s="51"/>
      <c r="H95" s="51">
        <v>0.15</v>
      </c>
      <c r="I95" s="53">
        <f t="shared" si="3"/>
        <v>3.7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110</v>
      </c>
      <c r="B96" s="60">
        <v>234</v>
      </c>
      <c r="C96" s="60">
        <v>9</v>
      </c>
      <c r="D96" s="60">
        <v>27</v>
      </c>
      <c r="E96" s="51">
        <v>0.85</v>
      </c>
      <c r="F96" s="51"/>
      <c r="G96" s="51"/>
      <c r="H96" s="51">
        <v>0.15</v>
      </c>
      <c r="I96" s="53">
        <f t="shared" si="3"/>
        <v>3.2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120</v>
      </c>
      <c r="B97" s="60">
        <v>233</v>
      </c>
      <c r="C97" s="60">
        <v>10</v>
      </c>
      <c r="D97" s="60">
        <v>25</v>
      </c>
      <c r="E97" s="51">
        <v>0.85</v>
      </c>
      <c r="F97" s="51"/>
      <c r="G97" s="51"/>
      <c r="H97" s="51">
        <v>0.15</v>
      </c>
      <c r="I97" s="53">
        <f t="shared" si="3"/>
        <v>2.6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130</v>
      </c>
      <c r="B98" s="60">
        <v>230</v>
      </c>
      <c r="C98" s="60">
        <v>11</v>
      </c>
      <c r="D98" s="60">
        <v>21</v>
      </c>
      <c r="E98" s="51">
        <v>0.85</v>
      </c>
      <c r="F98" s="51"/>
      <c r="G98" s="51"/>
      <c r="H98" s="51">
        <v>0.15</v>
      </c>
      <c r="I98" s="53">
        <f t="shared" si="3"/>
        <v>2.2000000000000002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140</v>
      </c>
      <c r="B99" s="60">
        <v>227</v>
      </c>
      <c r="C99" s="60">
        <v>12</v>
      </c>
      <c r="D99" s="60">
        <v>17</v>
      </c>
      <c r="E99" s="51">
        <v>0.85</v>
      </c>
      <c r="F99" s="51"/>
      <c r="G99" s="51"/>
      <c r="H99" s="51">
        <v>0.15</v>
      </c>
      <c r="I99" s="53">
        <f t="shared" si="3"/>
        <v>1.8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150</v>
      </c>
      <c r="B100" s="60">
        <v>223</v>
      </c>
      <c r="C100" s="60">
        <v>13</v>
      </c>
      <c r="D100" s="60">
        <v>223</v>
      </c>
      <c r="E100" s="51">
        <v>0.85</v>
      </c>
      <c r="F100" s="51"/>
      <c r="G100" s="51"/>
      <c r="H100" s="51">
        <v>0.15</v>
      </c>
      <c r="I100" s="53">
        <f t="shared" si="3"/>
        <v>1.3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51"/>
      <c r="F101" s="51"/>
      <c r="G101" s="51"/>
      <c r="H101" s="51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pubescent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30</v>
      </c>
      <c r="B114" s="60">
        <v>54</v>
      </c>
      <c r="C114" s="50">
        <v>1</v>
      </c>
      <c r="D114" s="60">
        <v>0</v>
      </c>
      <c r="E114" s="51"/>
      <c r="F114" s="51"/>
      <c r="G114" s="51"/>
      <c r="H114" s="51">
        <v>1</v>
      </c>
      <c r="I114" s="53">
        <f>IFERROR(B114/A114,"")</f>
        <v>1.8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40</v>
      </c>
      <c r="B115" s="60">
        <v>106</v>
      </c>
      <c r="C115" s="50">
        <v>2</v>
      </c>
      <c r="D115" s="60">
        <v>27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5.2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50</v>
      </c>
      <c r="B116" s="60">
        <v>135</v>
      </c>
      <c r="C116" s="50">
        <v>3</v>
      </c>
      <c r="D116" s="60">
        <v>28</v>
      </c>
      <c r="E116" s="51"/>
      <c r="F116" s="51"/>
      <c r="G116" s="51"/>
      <c r="H116" s="51">
        <v>1</v>
      </c>
      <c r="I116" s="53">
        <f t="shared" si="4"/>
        <v>5.6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60</v>
      </c>
      <c r="B117" s="60">
        <v>163</v>
      </c>
      <c r="C117" s="50">
        <v>4</v>
      </c>
      <c r="D117" s="60">
        <v>28</v>
      </c>
      <c r="E117" s="51">
        <v>0.85</v>
      </c>
      <c r="F117" s="51"/>
      <c r="G117" s="51"/>
      <c r="H117" s="51">
        <v>0.15</v>
      </c>
      <c r="I117" s="53">
        <f t="shared" si="4"/>
        <v>5.6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70</v>
      </c>
      <c r="B118" s="60">
        <v>187</v>
      </c>
      <c r="C118" s="50">
        <v>5</v>
      </c>
      <c r="D118" s="60">
        <v>28</v>
      </c>
      <c r="E118" s="51">
        <v>0.85</v>
      </c>
      <c r="F118" s="51"/>
      <c r="G118" s="51"/>
      <c r="H118" s="51">
        <v>0.15</v>
      </c>
      <c r="I118" s="53">
        <f t="shared" si="4"/>
        <v>5.2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80</v>
      </c>
      <c r="B119" s="60">
        <v>206</v>
      </c>
      <c r="C119" s="50">
        <v>6</v>
      </c>
      <c r="D119" s="60">
        <v>28</v>
      </c>
      <c r="E119" s="51">
        <v>0.85</v>
      </c>
      <c r="F119" s="51"/>
      <c r="G119" s="51"/>
      <c r="H119" s="51">
        <v>0.15</v>
      </c>
      <c r="I119" s="53">
        <f t="shared" si="4"/>
        <v>4.7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90</v>
      </c>
      <c r="B120" s="60">
        <v>221</v>
      </c>
      <c r="C120" s="60">
        <v>7</v>
      </c>
      <c r="D120" s="60">
        <v>28</v>
      </c>
      <c r="E120" s="51">
        <v>0.85</v>
      </c>
      <c r="F120" s="51"/>
      <c r="G120" s="51"/>
      <c r="H120" s="51">
        <v>0.15</v>
      </c>
      <c r="I120" s="53">
        <f t="shared" si="4"/>
        <v>4.3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100</v>
      </c>
      <c r="B121" s="60">
        <v>230</v>
      </c>
      <c r="C121" s="60">
        <v>8</v>
      </c>
      <c r="D121" s="60">
        <v>28</v>
      </c>
      <c r="E121" s="51">
        <v>0.85</v>
      </c>
      <c r="F121" s="51"/>
      <c r="G121" s="51"/>
      <c r="H121" s="51">
        <v>0.15</v>
      </c>
      <c r="I121" s="53">
        <f t="shared" si="4"/>
        <v>3.7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110</v>
      </c>
      <c r="B122" s="60">
        <v>234</v>
      </c>
      <c r="C122" s="60">
        <v>9</v>
      </c>
      <c r="D122" s="60">
        <v>27</v>
      </c>
      <c r="E122" s="51">
        <v>0.85</v>
      </c>
      <c r="F122" s="51"/>
      <c r="G122" s="51"/>
      <c r="H122" s="51">
        <v>0.15</v>
      </c>
      <c r="I122" s="53">
        <f t="shared" si="4"/>
        <v>3.2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120</v>
      </c>
      <c r="B123" s="60">
        <v>233</v>
      </c>
      <c r="C123" s="60">
        <v>10</v>
      </c>
      <c r="D123" s="60">
        <v>25</v>
      </c>
      <c r="E123" s="51">
        <v>0.85</v>
      </c>
      <c r="F123" s="51"/>
      <c r="G123" s="51"/>
      <c r="H123" s="51">
        <v>0.15</v>
      </c>
      <c r="I123" s="53">
        <f t="shared" si="4"/>
        <v>2.6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130</v>
      </c>
      <c r="B124" s="60">
        <v>230</v>
      </c>
      <c r="C124" s="60">
        <v>11</v>
      </c>
      <c r="D124" s="60">
        <v>21</v>
      </c>
      <c r="E124" s="51">
        <v>0.85</v>
      </c>
      <c r="F124" s="51"/>
      <c r="G124" s="51"/>
      <c r="H124" s="51">
        <v>0.15</v>
      </c>
      <c r="I124" s="53">
        <f t="shared" si="4"/>
        <v>2.2000000000000002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140</v>
      </c>
      <c r="B125" s="60">
        <v>227</v>
      </c>
      <c r="C125" s="60">
        <v>12</v>
      </c>
      <c r="D125" s="60">
        <v>17</v>
      </c>
      <c r="E125" s="51">
        <v>0.85</v>
      </c>
      <c r="F125" s="51"/>
      <c r="G125" s="51"/>
      <c r="H125" s="51">
        <v>0.15</v>
      </c>
      <c r="I125" s="53">
        <f t="shared" si="4"/>
        <v>1.8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150</v>
      </c>
      <c r="B126" s="60">
        <v>223</v>
      </c>
      <c r="C126" s="60">
        <v>13</v>
      </c>
      <c r="D126" s="60">
        <v>223</v>
      </c>
      <c r="E126" s="51">
        <v>0.85</v>
      </c>
      <c r="F126" s="51"/>
      <c r="G126" s="51"/>
      <c r="H126" s="51">
        <v>0.15</v>
      </c>
      <c r="I126" s="53">
        <f t="shared" si="4"/>
        <v>1.3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51"/>
      <c r="F127" s="51"/>
      <c r="G127" s="51"/>
      <c r="H127" s="51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33" fitToHeight="0" orientation="portrait" r:id="rId1"/>
  <rowBreaks count="1" manualBreakCount="1">
    <brk id="82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9" sqref="G2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0" t="s">
        <v>191</v>
      </c>
      <c r="C2" s="271"/>
      <c r="D2" s="271"/>
      <c r="E2" s="271"/>
      <c r="F2" s="271"/>
      <c r="G2" s="27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69"/>
      <c r="C4" s="269"/>
      <c r="D4" s="269"/>
      <c r="E4" s="269"/>
      <c r="F4" s="269"/>
      <c r="G4" s="26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1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6" t="s">
        <v>176</v>
      </c>
      <c r="C1" s="277"/>
      <c r="D1" s="277"/>
      <c r="E1" s="277"/>
      <c r="F1" s="277"/>
      <c r="G1" s="277"/>
      <c r="H1" s="278"/>
      <c r="I1" s="273" t="str">
        <f>IF('Données projet'!$B$9="","",'Données projet'!$B$9)</f>
        <v>Peuplier non cultivé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4" t="str">
        <f>IF('Données projet'!$B$10="","",'Données projet'!$B$10)</f>
        <v>Chêne pédonculé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 t="str">
        <f>IF('Données projet'!$B$11="","",'Données projet'!$B$11)</f>
        <v>Chêne vert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 t="str">
        <f>IF('Données projet'!$B$12="","",'Données projet'!$B$12)</f>
        <v>Chêne pubescent</v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 t="str">
        <f>IF('Données projet'!$B$13="","",'Données projet'!$B$13)</f>
        <v/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 t="str">
        <f>IF('Données projet'!$B$14="","",'Données projet'!$B$14)</f>
        <v/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 t="str">
        <f>IF('Données projet'!$B$15="","",'Données projet'!$B$15)</f>
        <v/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 t="str">
        <f>IF('Données projet'!$B$16="","",'Données projet'!$B$16)</f>
        <v/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 t="str">
        <f>IF('Données projet'!$B$17="","",'Données projet'!$B$17)</f>
        <v/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 t="str">
        <f>IF('Données projet'!$B$18="","",'Données projet'!$B$18)</f>
        <v/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162.0530649500439</v>
      </c>
      <c r="T3" s="59">
        <f>IF('Données projet'!E9&gt;30,$R$33-$H$33,LOOKUP('Données projet'!$E$9,$A$3:$A$203,R3:R203)-LOOKUP('Données projet'!$E$9,$A$3:$A$203,$H$3:$H$203))</f>
        <v>450.88267959505049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328.34986205643321</v>
      </c>
      <c r="AO3" s="59">
        <f>IF('Données projet'!E10&gt;30,$AM$33-$H$33,LOOKUP('Données projet'!$E$10,$A$3:$A$203,AM3:AM203)-LOOKUP('Données projet'!$E$10,$A$3:$A$203,$H$3:$H$203))</f>
        <v>251.60894449147008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250.68173853329841</v>
      </c>
      <c r="BJ3" s="59">
        <f>IF('Données projet'!E11&gt;30,$BH$33-$H$33,LOOKUP('Données projet'!$E$11,$A$3:$A$203,BH3:BH203)-LOOKUP('Données projet'!$E$11,$A$3:$A$203,$H$3:$H$203))</f>
        <v>113.25940301904359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211.44496956344943</v>
      </c>
      <c r="CE3" s="59">
        <f>IF('Données projet'!E12&gt;30,$CC$33-$H$33,LOOKUP('Données projet'!$E$12,$A$3:$A$203,CC3:CC203)-LOOKUP('Données projet'!$E$12,$A$3:$A$203,$H$3:$H$203))</f>
        <v>98.543169293276662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6">
        <f t="shared" ref="H4:H67" si="1">(B4+E4+F4)*44/12+(C4+D4)*0.475*44/12</f>
        <v>258.93888080135036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2.56</v>
      </c>
      <c r="N4" s="13">
        <f>IF('Données projet'!$A$36&gt;35,N3+M4-V3,IF(A4&lt;'Données projet'!$A$36,$K$205^A4,IF(A4='Données projet'!$A$36,'Données projet'!$B$36,N3+M4-V3)))</f>
        <v>1.6651064148037464</v>
      </c>
      <c r="O4" s="13">
        <f>N4*VLOOKUP('Données projet'!$B$9,Paramètres!$A$1:$I$89,3,0)*VLOOKUP('Données projet'!$B$9,Paramètres!$A$1:$I$89,5,0)</f>
        <v>0.96109942262472237</v>
      </c>
      <c r="P4" s="13">
        <f>EXP(-1.0587+0.8836*LN(O4)+0.284)</f>
        <v>0.44496530486361846</v>
      </c>
      <c r="Q4" s="20">
        <f t="shared" ref="Q4:Q34" si="2">(O4+P4)*0.475*44/12</f>
        <v>2.4488960670421935</v>
      </c>
      <c r="R4" s="59">
        <f t="shared" si="0"/>
        <v>260.33778495593106</v>
      </c>
      <c r="S4" s="59">
        <f ca="1">AVERAGE(OFFSET($R$3,0,0,'Données projet'!$E$9+1,1))-AVERAGE(OFFSET($H$3,0,0,'Données projet'!$E$9+1,1))</f>
        <v>162.0530649500439</v>
      </c>
      <c r="T4" s="59">
        <f>$T$3</f>
        <v>450.88267959505049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1.0439615443779955</v>
      </c>
      <c r="AK4" s="13">
        <f>EXP(-1.0587+0.8836*LN(AJ4)+0.284)</f>
        <v>0.478698084995758</v>
      </c>
      <c r="AL4" s="20">
        <f t="shared" ref="AL4:AL67" si="4">(AJ4+AK4)*0.475*44/12</f>
        <v>2.6519655211592874</v>
      </c>
      <c r="AM4" s="59">
        <f t="shared" ref="AM4:AM67" si="5">AL4+(AD4+AE4)*44/12</f>
        <v>260.54085441004815</v>
      </c>
      <c r="AN4" s="59">
        <f ca="1">AVERAGE(OFFSET($AM$3,0,0,'Données projet'!$E$10+1,1))-AVERAGE(OFFSET($H$3,0,0,'Données projet'!$E$10+1,1))</f>
        <v>328.34986205643321</v>
      </c>
      <c r="AO4" s="59">
        <f>$AO$3</f>
        <v>251.60894449147008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1.8</v>
      </c>
      <c r="BD4" s="12">
        <f>IF('Données projet'!$A$88&gt;35,BD3+BC4-BL3,IF(A4&lt;'Données projet'!$A$88,$BA$205^A4,IF(A4='Données projet'!$A$88,'Données projet'!$B$88,BD3+BC4-BL3)))</f>
        <v>1.1422113165588705</v>
      </c>
      <c r="BE4" s="13">
        <f>BD4*VLOOKUP('Données projet'!$B$11,Paramètres!$A$1:$I$89,3,0)*VLOOKUP('Données projet'!$B$11,Paramètres!$A$1:$I$89,5,0)</f>
        <v>1.3007502472972419</v>
      </c>
      <c r="BF4" s="13">
        <f>EXP(-1.0587+0.8836*LN(BE4)+0.284)</f>
        <v>0.58137159649475068</v>
      </c>
      <c r="BG4" s="20">
        <f t="shared" ref="BG4:BG67" si="7">(BE4+BF4)*0.475*44/12</f>
        <v>3.2780288779377198</v>
      </c>
      <c r="BH4" s="59">
        <f t="shared" ref="BH4:BH67" si="8">BG4+(AY4+AZ4)*44/12</f>
        <v>261.1669177668266</v>
      </c>
      <c r="BI4" s="59">
        <f ca="1">AVERAGE(OFFSET($BH$3,0,0,'Données projet'!$E$11+1,1))-AVERAGE(OFFSET($H$3,0,0,'Données projet'!$E$11+1,1))</f>
        <v>250.68173853329841</v>
      </c>
      <c r="BJ4" s="59">
        <f>$BJ$3</f>
        <v>113.25940301904359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1.8</v>
      </c>
      <c r="BY4" s="12">
        <f>IF('Données projet'!$A$114&gt;35,BY3+BX4-CG3,IF(A4&lt;'Données projet'!$A$114,$BV$205^A4,IF(A4='Données projet'!$A$114,'Données projet'!$B$114,BY3+BX4-CG3)))</f>
        <v>1.1422113165588705</v>
      </c>
      <c r="BZ4" s="13">
        <f>BY4*VLOOKUP('Données projet'!$B$12,Paramètres!$A$1:$I$89,3,0)*VLOOKUP('Données projet'!$B$12,Paramètres!$A$1:$I$89,5,0)</f>
        <v>1.1582022749906948</v>
      </c>
      <c r="CA4" s="13">
        <f>EXP(-1.0587+0.8836*LN(BZ4)+0.284)</f>
        <v>0.52470109771636297</v>
      </c>
      <c r="CB4" s="20">
        <f t="shared" ref="CB4:CB67" si="10">(BZ4+CA4)*0.475*44/12</f>
        <v>2.931056707464792</v>
      </c>
      <c r="CC4" s="59">
        <f t="shared" ref="CC4:CC67" si="11">CB4+(BT4+BU4)*44/12</f>
        <v>260.81994559635365</v>
      </c>
      <c r="CD4" s="59">
        <f ca="1">AVERAGE(OFFSET($CC$3,0,0,'Données projet'!$E$12+1,1))-AVERAGE(OFFSET($H$3,0,0,'Données projet'!$E$12+1,1))</f>
        <v>211.44496956344943</v>
      </c>
      <c r="CE4" s="59">
        <f>$CE$3</f>
        <v>98.543169293276662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6">
        <f t="shared" si="1"/>
        <v>261.0989294343297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2.56</v>
      </c>
      <c r="N5" s="13">
        <f>IF('Données projet'!$A$36&gt;35,N4+M5-V4,IF(A5&lt;'Données projet'!$A$36,$K$205^A5,IF(A5='Données projet'!$A$36,'Données projet'!$B$36,N4+M5-V4)))</f>
        <v>2.7725793726205863</v>
      </c>
      <c r="O5" s="13">
        <f>N5*VLOOKUP('Données projet'!$B$9,Paramètres!$A$1:$I$89,3,0)*VLOOKUP('Données projet'!$B$9,Paramètres!$A$1:$I$89,5,0)</f>
        <v>1.6003328138766022</v>
      </c>
      <c r="P5" s="13">
        <f t="shared" ref="P5:P68" si="33">EXP(-1.0587+0.8836*LN(O5)+0.284)</f>
        <v>0.69822001660786337</v>
      </c>
      <c r="Q5" s="20">
        <f t="shared" si="2"/>
        <v>4.0033128464271108</v>
      </c>
      <c r="R5" s="59">
        <f t="shared" si="0"/>
        <v>263.11442395753824</v>
      </c>
      <c r="S5" s="59">
        <f ca="1">AVERAGE(OFFSET($R$3,0,0,'Données projet'!$E$9+1,1))-AVERAGE(OFFSET($H$3,0,0,'Données projet'!$E$9+1,1))</f>
        <v>162.0530649500439</v>
      </c>
      <c r="T5" s="59">
        <f t="shared" ref="T5:T68" si="34">$T$3</f>
        <v>450.88267959505049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1.2937508382479692</v>
      </c>
      <c r="AK5" s="13">
        <f t="shared" ref="AK5:AK68" si="35">EXP(-1.0587+0.8836*LN(AJ5)+0.284)</f>
        <v>0.57860648124254321</v>
      </c>
      <c r="AL5" s="20">
        <f t="shared" si="4"/>
        <v>3.2610223314459752</v>
      </c>
      <c r="AM5" s="59">
        <f t="shared" si="5"/>
        <v>262.37213344255713</v>
      </c>
      <c r="AN5" s="59">
        <f ca="1">AVERAGE(OFFSET($AM$3,0,0,'Données projet'!$E$10+1,1))-AVERAGE(OFFSET($H$3,0,0,'Données projet'!$E$10+1,1))</f>
        <v>328.34986205643321</v>
      </c>
      <c r="AO5" s="59">
        <f t="shared" ref="AO5:AO68" si="36">$AO$3</f>
        <v>251.60894449147008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1.8</v>
      </c>
      <c r="BD5" s="12">
        <f>IF('Données projet'!$A$88&gt;35,BD4+BC5-BL4,IF(A5&lt;'Données projet'!$A$88,$BA$205^A5,IF(A5='Données projet'!$A$88,'Données projet'!$B$88,BD4+BC5-BL4)))</f>
        <v>1.3046466916751485</v>
      </c>
      <c r="BE5" s="13">
        <f>BD5*VLOOKUP('Données projet'!$B$11,Paramètres!$A$1:$I$89,3,0)*VLOOKUP('Données projet'!$B$11,Paramètres!$A$1:$I$89,5,0)</f>
        <v>1.4857316524796591</v>
      </c>
      <c r="BF5" s="13">
        <f t="shared" ref="BF5:BF68" si="37">EXP(-1.0587+0.8836*LN(BE5)+0.284)</f>
        <v>0.65385068178641903</v>
      </c>
      <c r="BG5" s="20">
        <f t="shared" si="7"/>
        <v>3.7264392321800863</v>
      </c>
      <c r="BH5" s="59">
        <f t="shared" si="8"/>
        <v>262.83755034329124</v>
      </c>
      <c r="BI5" s="59">
        <f ca="1">AVERAGE(OFFSET($BH$3,0,0,'Données projet'!$E$11+1,1))-AVERAGE(OFFSET($H$3,0,0,'Données projet'!$E$11+1,1))</f>
        <v>250.68173853329841</v>
      </c>
      <c r="BJ5" s="59">
        <f t="shared" ref="BJ5:BJ68" si="38">$BJ$3</f>
        <v>113.25940301904359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1.8</v>
      </c>
      <c r="BY5" s="12">
        <f>IF('Données projet'!$A$114&gt;35,BY4+BX5-CG4,IF(A5&lt;'Données projet'!$A$114,$BV$205^A5,IF(A5='Données projet'!$A$114,'Données projet'!$B$114,BY4+BX5-CG4)))</f>
        <v>1.3046466916751485</v>
      </c>
      <c r="BZ5" s="13">
        <f>BY5*VLOOKUP('Données projet'!$B$12,Paramètres!$A$1:$I$89,3,0)*VLOOKUP('Données projet'!$B$12,Paramètres!$A$1:$I$89,5,0)</f>
        <v>1.3229117453586006</v>
      </c>
      <c r="CA5" s="13">
        <f t="shared" ref="CA5:CA68" si="39">EXP(-1.0587+0.8836*LN(BZ5)+0.284)</f>
        <v>0.59011512179890979</v>
      </c>
      <c r="CB5" s="20">
        <f t="shared" si="10"/>
        <v>3.3318551269659973</v>
      </c>
      <c r="CC5" s="59">
        <f t="shared" si="11"/>
        <v>262.44296623807713</v>
      </c>
      <c r="CD5" s="59">
        <f ca="1">AVERAGE(OFFSET($CC$3,0,0,'Données projet'!$E$12+1,1))-AVERAGE(OFFSET($H$3,0,0,'Données projet'!$E$12+1,1))</f>
        <v>211.44496956344943</v>
      </c>
      <c r="CE5" s="59">
        <f t="shared" ref="CE5:CE68" si="40">$CE$3</f>
        <v>98.543169293276662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6">
        <f t="shared" si="1"/>
        <v>263.22275424061456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2.56</v>
      </c>
      <c r="N6" s="13">
        <f>IF('Données projet'!$A$36&gt;35,N5+M6-V5,IF(A6&lt;'Données projet'!$A$36,$K$205^A6,IF(A6='Données projet'!$A$36,'Données projet'!$B$36,N5+M6-V5)))</f>
        <v>4.6166396989030849</v>
      </c>
      <c r="O6" s="13">
        <f>N6*VLOOKUP('Données projet'!$B$9,Paramètres!$A$1:$I$89,3,0)*VLOOKUP('Données projet'!$B$9,Paramètres!$A$1:$I$89,5,0)</f>
        <v>2.6647244342068608</v>
      </c>
      <c r="P6" s="13">
        <f t="shared" si="33"/>
        <v>1.0956161890898595</v>
      </c>
      <c r="Q6" s="20">
        <f t="shared" si="2"/>
        <v>6.5492599189084544</v>
      </c>
      <c r="R6" s="59">
        <f t="shared" si="0"/>
        <v>266.88259325224175</v>
      </c>
      <c r="S6" s="59">
        <f ca="1">AVERAGE(OFFSET($R$3,0,0,'Données projet'!$E$9+1,1))-AVERAGE(OFFSET($H$3,0,0,'Données projet'!$E$9+1,1))</f>
        <v>162.0530649500439</v>
      </c>
      <c r="T6" s="59">
        <f t="shared" si="34"/>
        <v>450.88267959505049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1.6033073636487132</v>
      </c>
      <c r="AK6" s="13">
        <f t="shared" si="35"/>
        <v>0.69936661672428513</v>
      </c>
      <c r="AL6" s="20">
        <f t="shared" si="4"/>
        <v>4.0104905158163051</v>
      </c>
      <c r="AM6" s="59">
        <f t="shared" si="5"/>
        <v>264.3438238491496</v>
      </c>
      <c r="AN6" s="59">
        <f ca="1">AVERAGE(OFFSET($AM$3,0,0,'Données projet'!$E$10+1,1))-AVERAGE(OFFSET($H$3,0,0,'Données projet'!$E$10+1,1))</f>
        <v>328.34986205643321</v>
      </c>
      <c r="AO6" s="59">
        <f t="shared" si="36"/>
        <v>251.60894449147008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1.8</v>
      </c>
      <c r="BD6" s="12">
        <f>IF('Données projet'!$A$88&gt;35,BD5+BC6-BL5,IF(A6&lt;'Données projet'!$A$88,$BA$205^A6,IF(A6='Données projet'!$A$88,'Données projet'!$B$88,BD5+BC6-BL5)))</f>
        <v>1.4901822153424462</v>
      </c>
      <c r="BE6" s="13">
        <f>BD6*VLOOKUP('Données projet'!$B$11,Paramètres!$A$1:$I$89,3,0)*VLOOKUP('Données projet'!$B$11,Paramètres!$A$1:$I$89,5,0)</f>
        <v>1.6970195068319778</v>
      </c>
      <c r="BF6" s="13">
        <f t="shared" si="37"/>
        <v>0.73536567085527593</v>
      </c>
      <c r="BG6" s="20">
        <f t="shared" si="7"/>
        <v>4.2364041844719669</v>
      </c>
      <c r="BH6" s="59">
        <f t="shared" si="8"/>
        <v>264.56973751780527</v>
      </c>
      <c r="BI6" s="59">
        <f ca="1">AVERAGE(OFFSET($BH$3,0,0,'Données projet'!$E$11+1,1))-AVERAGE(OFFSET($H$3,0,0,'Données projet'!$E$11+1,1))</f>
        <v>250.68173853329841</v>
      </c>
      <c r="BJ6" s="59">
        <f t="shared" si="38"/>
        <v>113.25940301904359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1.8</v>
      </c>
      <c r="BY6" s="12">
        <f>IF('Données projet'!$A$114&gt;35,BY5+BX6-CG5,IF(A6&lt;'Données projet'!$A$114,$BV$205^A6,IF(A6='Données projet'!$A$114,'Données projet'!$B$114,BY5+BX6-CG5)))</f>
        <v>1.4901822153424462</v>
      </c>
      <c r="BZ6" s="13">
        <f>BY6*VLOOKUP('Données projet'!$B$12,Paramètres!$A$1:$I$89,3,0)*VLOOKUP('Données projet'!$B$12,Paramètres!$A$1:$I$89,5,0)</f>
        <v>1.5110447663572406</v>
      </c>
      <c r="CA6" s="13">
        <f t="shared" si="39"/>
        <v>0.66368425469539916</v>
      </c>
      <c r="CB6" s="20">
        <f t="shared" si="10"/>
        <v>3.7876530450000145</v>
      </c>
      <c r="CC6" s="59">
        <f t="shared" si="11"/>
        <v>264.12098637833333</v>
      </c>
      <c r="CD6" s="59">
        <f ca="1">AVERAGE(OFFSET($CC$3,0,0,'Données projet'!$E$12+1,1))-AVERAGE(OFFSET($H$3,0,0,'Données projet'!$E$12+1,1))</f>
        <v>211.44496956344943</v>
      </c>
      <c r="CE6" s="59">
        <f t="shared" si="40"/>
        <v>98.543169293276662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6">
        <f t="shared" si="1"/>
        <v>265.32424983728947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2.56</v>
      </c>
      <c r="N7" s="13">
        <f>IF('Données projet'!$A$36&gt;35,N6+M7-V6,IF(A7&lt;'Données projet'!$A$36,$K$205^A7,IF(A7='Données projet'!$A$36,'Données projet'!$B$36,N6+M7-V6)))</f>
        <v>7.6871963774811638</v>
      </c>
      <c r="O7" s="13">
        <f>N7*VLOOKUP('Données projet'!$B$9,Paramètres!$A$1:$I$89,3,0)*VLOOKUP('Données projet'!$B$9,Paramètres!$A$1:$I$89,5,0)</f>
        <v>4.4370497490821279</v>
      </c>
      <c r="P7" s="13">
        <f t="shared" si="33"/>
        <v>1.7191928120702176</v>
      </c>
      <c r="Q7" s="20">
        <f t="shared" si="2"/>
        <v>10.722122460673669</v>
      </c>
      <c r="R7" s="59">
        <f t="shared" si="0"/>
        <v>272.27767801622923</v>
      </c>
      <c r="S7" s="59">
        <f ca="1">AVERAGE(OFFSET($R$3,0,0,'Données projet'!$E$9+1,1))-AVERAGE(OFFSET($H$3,0,0,'Données projet'!$E$9+1,1))</f>
        <v>162.0530649500439</v>
      </c>
      <c r="T7" s="59">
        <f t="shared" si="34"/>
        <v>450.88267959505049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1.9869316612859962</v>
      </c>
      <c r="AK7" s="13">
        <f t="shared" si="35"/>
        <v>0.84533042826968274</v>
      </c>
      <c r="AL7" s="20">
        <f t="shared" si="4"/>
        <v>4.9328564726428068</v>
      </c>
      <c r="AM7" s="59">
        <f t="shared" si="5"/>
        <v>266.48841202819835</v>
      </c>
      <c r="AN7" s="59">
        <f ca="1">AVERAGE(OFFSET($AM$3,0,0,'Données projet'!$E$10+1,1))-AVERAGE(OFFSET($H$3,0,0,'Données projet'!$E$10+1,1))</f>
        <v>328.34986205643321</v>
      </c>
      <c r="AO7" s="59">
        <f t="shared" si="36"/>
        <v>251.60894449147008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1.8</v>
      </c>
      <c r="BD7" s="12">
        <f>IF('Données projet'!$A$88&gt;35,BD6+BC7-BL6,IF(A7&lt;'Données projet'!$A$88,$BA$205^A7,IF(A7='Données projet'!$A$88,'Données projet'!$B$88,BD6+BC7-BL6)))</f>
        <v>1.70210299009891</v>
      </c>
      <c r="BE7" s="13">
        <f>BD7*VLOOKUP('Données projet'!$B$11,Paramètres!$A$1:$I$89,3,0)*VLOOKUP('Données projet'!$B$11,Paramètres!$A$1:$I$89,5,0)</f>
        <v>1.9383548851246386</v>
      </c>
      <c r="BF7" s="13">
        <f t="shared" si="37"/>
        <v>0.82704306187306331</v>
      </c>
      <c r="BG7" s="20">
        <f t="shared" si="7"/>
        <v>4.8164014243543303</v>
      </c>
      <c r="BH7" s="59">
        <f t="shared" si="8"/>
        <v>266.3719569799099</v>
      </c>
      <c r="BI7" s="59">
        <f ca="1">AVERAGE(OFFSET($BH$3,0,0,'Données projet'!$E$11+1,1))-AVERAGE(OFFSET($H$3,0,0,'Données projet'!$E$11+1,1))</f>
        <v>250.68173853329841</v>
      </c>
      <c r="BJ7" s="59">
        <f t="shared" si="38"/>
        <v>113.25940301904359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1.8</v>
      </c>
      <c r="BY7" s="12">
        <f>IF('Données projet'!$A$114&gt;35,BY6+BX7-CG6,IF(A7&lt;'Données projet'!$A$114,$BV$205^A7,IF(A7='Données projet'!$A$114,'Données projet'!$B$114,BY6+BX7-CG6)))</f>
        <v>1.70210299009891</v>
      </c>
      <c r="BZ7" s="13">
        <f>BY7*VLOOKUP('Données projet'!$B$12,Paramètres!$A$1:$I$89,3,0)*VLOOKUP('Données projet'!$B$12,Paramètres!$A$1:$I$89,5,0)</f>
        <v>1.7259324319602949</v>
      </c>
      <c r="CA7" s="13">
        <f t="shared" si="39"/>
        <v>0.74642518664465995</v>
      </c>
      <c r="CB7" s="20">
        <f t="shared" si="10"/>
        <v>4.3060228524036299</v>
      </c>
      <c r="CC7" s="59">
        <f t="shared" si="11"/>
        <v>265.8615784079592</v>
      </c>
      <c r="CD7" s="59">
        <f ca="1">AVERAGE(OFFSET($CC$3,0,0,'Données projet'!$E$12+1,1))-AVERAGE(OFFSET($H$3,0,0,'Données projet'!$E$12+1,1))</f>
        <v>211.44496956344943</v>
      </c>
      <c r="CE7" s="59">
        <f t="shared" si="40"/>
        <v>98.543169293276662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6">
        <f t="shared" si="1"/>
        <v>267.40971372031277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12.8</v>
      </c>
      <c r="L8" s="12">
        <f>VLOOKUP(A8,'Données projet'!$A$35:$I$55,9,0)</f>
        <v>2.56</v>
      </c>
      <c r="M8" s="12">
        <f t="array" ref="M8">INDEX(L:L,MIN(IF(ISNUMBER(L8:L204),ROW(L8:L204),"")))</f>
        <v>2.56</v>
      </c>
      <c r="N8" s="13">
        <f>IF('Données projet'!$A$36&gt;35,N7+M8-V7,IF(A8&lt;'Données projet'!$A$36,$K$205^A8,IF(A8='Données projet'!$A$36,'Données projet'!$B$36,N7+M8-V7)))</f>
        <v>12.8</v>
      </c>
      <c r="O8" s="13">
        <f>N8*VLOOKUP('Données projet'!$B$9,Paramètres!$A$1:$I$89,3,0)*VLOOKUP('Données projet'!$B$9,Paramètres!$A$1:$I$89,5,0)</f>
        <v>7.3881600000000001</v>
      </c>
      <c r="P8" s="13">
        <f t="shared" si="33"/>
        <v>2.6976818656989447</v>
      </c>
      <c r="Q8" s="20">
        <f t="shared" si="2"/>
        <v>17.566174582758997</v>
      </c>
      <c r="R8" s="59">
        <f t="shared" si="0"/>
        <v>280.34395236053678</v>
      </c>
      <c r="S8" s="59">
        <f ca="1">AVERAGE(OFFSET($R$3,0,0,'Données projet'!$E$9+1,1))-AVERAGE(OFFSET($H$3,0,0,'Données projet'!$E$9+1,1))</f>
        <v>162.0530649500439</v>
      </c>
      <c r="T8" s="59">
        <f t="shared" si="34"/>
        <v>450.88267959505049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2.462345970666743</v>
      </c>
      <c r="AK8" s="13">
        <f t="shared" si="35"/>
        <v>1.021758139251189</v>
      </c>
      <c r="AL8" s="20">
        <f t="shared" si="4"/>
        <v>6.068147991440398</v>
      </c>
      <c r="AM8" s="59">
        <f t="shared" si="5"/>
        <v>268.84592576921818</v>
      </c>
      <c r="AN8" s="59">
        <f ca="1">AVERAGE(OFFSET($AM$3,0,0,'Données projet'!$E$10+1,1))-AVERAGE(OFFSET($H$3,0,0,'Données projet'!$E$10+1,1))</f>
        <v>328.34986205643321</v>
      </c>
      <c r="AO8" s="59">
        <f t="shared" si="36"/>
        <v>251.60894449147008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1.8</v>
      </c>
      <c r="BD8" s="12">
        <f>IF('Données projet'!$A$88&gt;35,BD7+BC8-BL7,IF(A8&lt;'Données projet'!$A$88,$BA$205^A8,IF(A8='Données projet'!$A$88,'Données projet'!$B$88,BD7+BC8-BL7)))</f>
        <v>1.9441612972396662</v>
      </c>
      <c r="BE8" s="13">
        <f>BD8*VLOOKUP('Données projet'!$B$11,Paramètres!$A$1:$I$89,3,0)*VLOOKUP('Données projet'!$B$11,Paramètres!$A$1:$I$89,5,0)</f>
        <v>2.2140108852965321</v>
      </c>
      <c r="BF8" s="13">
        <f t="shared" si="37"/>
        <v>0.93014979254720564</v>
      </c>
      <c r="BG8" s="20">
        <f t="shared" si="7"/>
        <v>5.4760798472445096</v>
      </c>
      <c r="BH8" s="59">
        <f t="shared" si="8"/>
        <v>268.25385762502231</v>
      </c>
      <c r="BI8" s="59">
        <f ca="1">AVERAGE(OFFSET($BH$3,0,0,'Données projet'!$E$11+1,1))-AVERAGE(OFFSET($H$3,0,0,'Données projet'!$E$11+1,1))</f>
        <v>250.68173853329841</v>
      </c>
      <c r="BJ8" s="59">
        <f t="shared" si="38"/>
        <v>113.25940301904359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1.8</v>
      </c>
      <c r="BY8" s="12">
        <f>IF('Données projet'!$A$114&gt;35,BY7+BX8-CG7,IF(A8&lt;'Données projet'!$A$114,$BV$205^A8,IF(A8='Données projet'!$A$114,'Données projet'!$B$114,BY7+BX8-CG7)))</f>
        <v>1.9441612972396662</v>
      </c>
      <c r="BZ8" s="13">
        <f>BY8*VLOOKUP('Données projet'!$B$12,Paramètres!$A$1:$I$89,3,0)*VLOOKUP('Données projet'!$B$12,Paramètres!$A$1:$I$89,5,0)</f>
        <v>1.9713795554010218</v>
      </c>
      <c r="CA8" s="13">
        <f t="shared" si="39"/>
        <v>0.83948135776284494</v>
      </c>
      <c r="CB8" s="20">
        <f t="shared" si="10"/>
        <v>4.8955827570937345</v>
      </c>
      <c r="CC8" s="59">
        <f t="shared" si="11"/>
        <v>267.67336053487151</v>
      </c>
      <c r="CD8" s="59">
        <f ca="1">AVERAGE(OFFSET($CC$3,0,0,'Données projet'!$E$12+1,1))-AVERAGE(OFFSET($H$3,0,0,'Données projet'!$E$12+1,1))</f>
        <v>211.44496956344943</v>
      </c>
      <c r="CE8" s="59">
        <f t="shared" si="40"/>
        <v>98.543169293276662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6">
        <f t="shared" si="1"/>
        <v>269.48273824430697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10.38</v>
      </c>
      <c r="N9" s="13">
        <f>IF('Données projet'!$A$36&gt;35,N8+M9-V8,IF(A9&lt;'Données projet'!$A$36,$K$205^A9,IF(A9='Données projet'!$A$36,'Données projet'!$B$36,N8+M9-V8)))</f>
        <v>23.18</v>
      </c>
      <c r="O9" s="13">
        <f>N9*VLOOKUP('Données projet'!$B$9,Paramètres!$A$1:$I$89,3,0)*VLOOKUP('Données projet'!$B$9,Paramètres!$A$1:$I$89,5,0)</f>
        <v>13.379496</v>
      </c>
      <c r="P9" s="13">
        <f t="shared" si="33"/>
        <v>4.5590487017200152</v>
      </c>
      <c r="Q9" s="20">
        <f t="shared" si="2"/>
        <v>31.242965355495695</v>
      </c>
      <c r="R9" s="59">
        <f t="shared" si="0"/>
        <v>295.2429653554957</v>
      </c>
      <c r="S9" s="59">
        <f ca="1">AVERAGE(OFFSET($R$3,0,0,'Données projet'!$E$9+1,1))-AVERAGE(OFFSET($H$3,0,0,'Données projet'!$E$9+1,1))</f>
        <v>162.0530649500439</v>
      </c>
      <c r="T9" s="59">
        <f t="shared" si="34"/>
        <v>450.88267959505049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3.0515129419874016</v>
      </c>
      <c r="AK9" s="13">
        <f t="shared" si="35"/>
        <v>1.2350078267772846</v>
      </c>
      <c r="AL9" s="20">
        <f t="shared" si="4"/>
        <v>7.4656903389318279</v>
      </c>
      <c r="AM9" s="59">
        <f t="shared" si="5"/>
        <v>271.46569033893184</v>
      </c>
      <c r="AN9" s="59">
        <f ca="1">AVERAGE(OFFSET($AM$3,0,0,'Données projet'!$E$10+1,1))-AVERAGE(OFFSET($H$3,0,0,'Données projet'!$E$10+1,1))</f>
        <v>328.34986205643321</v>
      </c>
      <c r="AO9" s="59">
        <f t="shared" si="36"/>
        <v>251.60894449147008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1.8</v>
      </c>
      <c r="BD9" s="12">
        <f>IF('Données projet'!$A$88&gt;35,BD8+BC9-BL8,IF(A9&lt;'Données projet'!$A$88,$BA$205^A9,IF(A9='Données projet'!$A$88,'Données projet'!$B$88,BD8+BC9-BL8)))</f>
        <v>2.2206430349229209</v>
      </c>
      <c r="BE9" s="13">
        <f>BD9*VLOOKUP('Données projet'!$B$11,Paramètres!$A$1:$I$89,3,0)*VLOOKUP('Données projet'!$B$11,Paramètres!$A$1:$I$89,5,0)</f>
        <v>2.5288682881702225</v>
      </c>
      <c r="BF9" s="13">
        <f t="shared" si="37"/>
        <v>1.0461107485941279</v>
      </c>
      <c r="BG9" s="20">
        <f t="shared" si="7"/>
        <v>6.2264218223645775</v>
      </c>
      <c r="BH9" s="59">
        <f t="shared" si="8"/>
        <v>270.22642182236456</v>
      </c>
      <c r="BI9" s="59">
        <f ca="1">AVERAGE(OFFSET($BH$3,0,0,'Données projet'!$E$11+1,1))-AVERAGE(OFFSET($H$3,0,0,'Données projet'!$E$11+1,1))</f>
        <v>250.68173853329841</v>
      </c>
      <c r="BJ9" s="59">
        <f t="shared" si="38"/>
        <v>113.25940301904359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1.8</v>
      </c>
      <c r="BY9" s="12">
        <f>IF('Données projet'!$A$114&gt;35,BY8+BX9-CG8,IF(A9&lt;'Données projet'!$A$114,$BV$205^A9,IF(A9='Données projet'!$A$114,'Données projet'!$B$114,BY8+BX9-CG8)))</f>
        <v>2.2206430349229209</v>
      </c>
      <c r="BZ9" s="13">
        <f>BY9*VLOOKUP('Données projet'!$B$12,Paramètres!$A$1:$I$89,3,0)*VLOOKUP('Données projet'!$B$12,Paramètres!$A$1:$I$89,5,0)</f>
        <v>2.2517320374118417</v>
      </c>
      <c r="CA9" s="13">
        <f t="shared" si="39"/>
        <v>0.94413875983908857</v>
      </c>
      <c r="CB9" s="20">
        <f t="shared" si="10"/>
        <v>5.5661416385453704</v>
      </c>
      <c r="CC9" s="59">
        <f t="shared" si="11"/>
        <v>269.56614163854539</v>
      </c>
      <c r="CD9" s="59">
        <f ca="1">AVERAGE(OFFSET($CC$3,0,0,'Données projet'!$E$12+1,1))-AVERAGE(OFFSET($H$3,0,0,'Données projet'!$E$12+1,1))</f>
        <v>211.44496956344943</v>
      </c>
      <c r="CE9" s="59">
        <f t="shared" si="40"/>
        <v>98.543169293276662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6">
        <f t="shared" si="1"/>
        <v>271.54563926139667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10.38</v>
      </c>
      <c r="N10" s="13">
        <f>IF('Données projet'!$A$36&gt;35,N9+M10-V9,IF(A10&lt;'Données projet'!$A$36,$K$205^A10,IF(A10='Données projet'!$A$36,'Données projet'!$B$36,N9+M10-V9)))</f>
        <v>33.56</v>
      </c>
      <c r="O10" s="13">
        <f>N10*VLOOKUP('Données projet'!$B$9,Paramètres!$A$1:$I$89,3,0)*VLOOKUP('Données projet'!$B$9,Paramètres!$A$1:$I$89,5,0)</f>
        <v>19.370832000000004</v>
      </c>
      <c r="P10" s="13">
        <f t="shared" si="33"/>
        <v>6.3223171860310314</v>
      </c>
      <c r="Q10" s="20">
        <f t="shared" si="2"/>
        <v>44.748901499004056</v>
      </c>
      <c r="R10" s="59">
        <f t="shared" si="0"/>
        <v>309.97112372122626</v>
      </c>
      <c r="S10" s="59">
        <f ca="1">AVERAGE(OFFSET($R$3,0,0,'Données projet'!$E$9+1,1))-AVERAGE(OFFSET($H$3,0,0,'Données projet'!$E$9+1,1))</f>
        <v>162.0530649500439</v>
      </c>
      <c r="T10" s="59">
        <f t="shared" si="34"/>
        <v>450.88267959505049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3.7816502416982529</v>
      </c>
      <c r="AK10" s="13">
        <f t="shared" si="35"/>
        <v>1.492764553183741</v>
      </c>
      <c r="AL10" s="20">
        <f t="shared" si="4"/>
        <v>9.1862724344194735</v>
      </c>
      <c r="AM10" s="59">
        <f t="shared" si="5"/>
        <v>274.40849465664172</v>
      </c>
      <c r="AN10" s="59">
        <f ca="1">AVERAGE(OFFSET($AM$3,0,0,'Données projet'!$E$10+1,1))-AVERAGE(OFFSET($H$3,0,0,'Données projet'!$E$10+1,1))</f>
        <v>328.34986205643321</v>
      </c>
      <c r="AO10" s="59">
        <f t="shared" si="36"/>
        <v>251.60894449147008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1.8</v>
      </c>
      <c r="BD10" s="12">
        <f>IF('Données projet'!$A$88&gt;35,BD9+BC10-BL9,IF(A10&lt;'Données projet'!$A$88,$BA$205^A10,IF(A10='Données projet'!$A$88,'Données projet'!$B$88,BD9+BC10-BL9)))</f>
        <v>2.5364436045265957</v>
      </c>
      <c r="BE10" s="13">
        <f>BD10*VLOOKUP('Données projet'!$B$11,Paramètres!$A$1:$I$89,3,0)*VLOOKUP('Données projet'!$B$11,Paramètres!$A$1:$I$89,5,0)</f>
        <v>2.888501976834887</v>
      </c>
      <c r="BF10" s="13">
        <f t="shared" si="37"/>
        <v>1.1765284549785322</v>
      </c>
      <c r="BG10" s="20">
        <f t="shared" si="7"/>
        <v>7.0799280020750386</v>
      </c>
      <c r="BH10" s="59">
        <f t="shared" si="8"/>
        <v>272.30215022429729</v>
      </c>
      <c r="BI10" s="59">
        <f ca="1">AVERAGE(OFFSET($BH$3,0,0,'Données projet'!$E$11+1,1))-AVERAGE(OFFSET($H$3,0,0,'Données projet'!$E$11+1,1))</f>
        <v>250.68173853329841</v>
      </c>
      <c r="BJ10" s="59">
        <f t="shared" si="38"/>
        <v>113.25940301904359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1.8</v>
      </c>
      <c r="BY10" s="12">
        <f>IF('Données projet'!$A$114&gt;35,BY9+BX10-CG9,IF(A10&lt;'Données projet'!$A$114,$BV$205^A10,IF(A10='Données projet'!$A$114,'Données projet'!$B$114,BY9+BX10-CG9)))</f>
        <v>2.5364436045265957</v>
      </c>
      <c r="BZ10" s="13">
        <f>BY10*VLOOKUP('Données projet'!$B$12,Paramètres!$A$1:$I$89,3,0)*VLOOKUP('Données projet'!$B$12,Paramètres!$A$1:$I$89,5,0)</f>
        <v>2.5719538149899681</v>
      </c>
      <c r="CA10" s="13">
        <f t="shared" si="39"/>
        <v>1.0618437081271246</v>
      </c>
      <c r="CB10" s="20">
        <f t="shared" si="10"/>
        <v>6.3288640194289352</v>
      </c>
      <c r="CC10" s="59">
        <f t="shared" si="11"/>
        <v>271.55108624165115</v>
      </c>
      <c r="CD10" s="59">
        <f ca="1">AVERAGE(OFFSET($CC$3,0,0,'Données projet'!$E$12+1,1))-AVERAGE(OFFSET($H$3,0,0,'Données projet'!$E$12+1,1))</f>
        <v>211.44496956344943</v>
      </c>
      <c r="CE10" s="59">
        <f t="shared" si="40"/>
        <v>98.543169293276662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6">
        <f t="shared" si="1"/>
        <v>273.60002985401661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10.38</v>
      </c>
      <c r="N11" s="13">
        <f>IF('Données projet'!$A$36&gt;35,N10+M11-V10,IF(A11&lt;'Données projet'!$A$36,$K$205^A11,IF(A11='Données projet'!$A$36,'Données projet'!$B$36,N10+M11-V10)))</f>
        <v>43.940000000000005</v>
      </c>
      <c r="O11" s="13">
        <f>N11*VLOOKUP('Données projet'!$B$9,Paramètres!$A$1:$I$89,3,0)*VLOOKUP('Données projet'!$B$9,Paramètres!$A$1:$I$89,5,0)</f>
        <v>25.362168000000004</v>
      </c>
      <c r="P11" s="13">
        <f t="shared" si="33"/>
        <v>8.0221567895555559</v>
      </c>
      <c r="Q11" s="20">
        <f t="shared" si="2"/>
        <v>58.144365675142602</v>
      </c>
      <c r="R11" s="59">
        <f t="shared" si="0"/>
        <v>324.58881011958704</v>
      </c>
      <c r="S11" s="59">
        <f ca="1">AVERAGE(OFFSET($R$3,0,0,'Données projet'!$E$9+1,1))-AVERAGE(OFFSET($H$3,0,0,'Données projet'!$E$9+1,1))</f>
        <v>162.0530649500439</v>
      </c>
      <c r="T11" s="59">
        <f t="shared" si="34"/>
        <v>450.88267959505049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4.6864879233389463</v>
      </c>
      <c r="AK11" s="13">
        <f t="shared" si="35"/>
        <v>1.8043173192324258</v>
      </c>
      <c r="AL11" s="20">
        <f t="shared" si="4"/>
        <v>11.304819130811806</v>
      </c>
      <c r="AM11" s="59">
        <f t="shared" si="5"/>
        <v>277.74926357525624</v>
      </c>
      <c r="AN11" s="59">
        <f ca="1">AVERAGE(OFFSET($AM$3,0,0,'Données projet'!$E$10+1,1))-AVERAGE(OFFSET($H$3,0,0,'Données projet'!$E$10+1,1))</f>
        <v>328.34986205643321</v>
      </c>
      <c r="AO11" s="59">
        <f t="shared" si="36"/>
        <v>251.60894449147008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1.8</v>
      </c>
      <c r="BD11" s="12">
        <f>IF('Données projet'!$A$88&gt;35,BD10+BC11-BL10,IF(A11&lt;'Données projet'!$A$88,$BA$205^A11,IF(A11='Données projet'!$A$88,'Données projet'!$B$88,BD10+BC11-BL10)))</f>
        <v>2.8971545889036499</v>
      </c>
      <c r="BE11" s="13">
        <f>BD11*VLOOKUP('Données projet'!$B$11,Paramètres!$A$1:$I$89,3,0)*VLOOKUP('Données projet'!$B$11,Paramètres!$A$1:$I$89,5,0)</f>
        <v>3.2992796458434768</v>
      </c>
      <c r="BF11" s="13">
        <f t="shared" si="37"/>
        <v>1.32320522204215</v>
      </c>
      <c r="BG11" s="20">
        <f t="shared" si="7"/>
        <v>8.0508278115674656</v>
      </c>
      <c r="BH11" s="59">
        <f t="shared" si="8"/>
        <v>274.4952722560119</v>
      </c>
      <c r="BI11" s="59">
        <f ca="1">AVERAGE(OFFSET($BH$3,0,0,'Données projet'!$E$11+1,1))-AVERAGE(OFFSET($H$3,0,0,'Données projet'!$E$11+1,1))</f>
        <v>250.68173853329841</v>
      </c>
      <c r="BJ11" s="59">
        <f t="shared" si="38"/>
        <v>113.25940301904359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1.8</v>
      </c>
      <c r="BY11" s="12">
        <f>IF('Données projet'!$A$114&gt;35,BY10+BX11-CG10,IF(A11&lt;'Données projet'!$A$114,$BV$205^A11,IF(A11='Données projet'!$A$114,'Données projet'!$B$114,BY10+BX11-CG10)))</f>
        <v>2.8971545889036499</v>
      </c>
      <c r="BZ11" s="13">
        <f>BY11*VLOOKUP('Données projet'!$B$12,Paramètres!$A$1:$I$89,3,0)*VLOOKUP('Données projet'!$B$12,Paramètres!$A$1:$I$89,5,0)</f>
        <v>2.9377147531483012</v>
      </c>
      <c r="CA11" s="13">
        <f t="shared" si="39"/>
        <v>1.1942228287305203</v>
      </c>
      <c r="CB11" s="20">
        <f t="shared" si="10"/>
        <v>7.1964579551056138</v>
      </c>
      <c r="CC11" s="59">
        <f t="shared" si="11"/>
        <v>273.64090239955004</v>
      </c>
      <c r="CD11" s="59">
        <f ca="1">AVERAGE(OFFSET($CC$3,0,0,'Données projet'!$E$12+1,1))-AVERAGE(OFFSET($H$3,0,0,'Données projet'!$E$12+1,1))</f>
        <v>211.44496956344943</v>
      </c>
      <c r="CE11" s="59">
        <f t="shared" si="40"/>
        <v>98.543169293276662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6">
        <f t="shared" si="1"/>
        <v>275.64709565827621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10.38</v>
      </c>
      <c r="N12" s="13">
        <f>IF('Données projet'!$A$36&gt;35,N11+M12-V11,IF(A12&lt;'Données projet'!$A$36,$K$205^A12,IF(A12='Données projet'!$A$36,'Données projet'!$B$36,N11+M12-V11)))</f>
        <v>54.320000000000007</v>
      </c>
      <c r="O12" s="13">
        <f>N12*VLOOKUP('Données projet'!$B$9,Paramètres!$A$1:$I$89,3,0)*VLOOKUP('Données projet'!$B$9,Paramètres!$A$1:$I$89,5,0)</f>
        <v>31.353504000000004</v>
      </c>
      <c r="P12" s="13">
        <f t="shared" si="33"/>
        <v>9.6754338582468034</v>
      </c>
      <c r="Q12" s="20">
        <f t="shared" si="2"/>
        <v>71.458733436446508</v>
      </c>
      <c r="R12" s="59">
        <f t="shared" si="0"/>
        <v>339.12540010311318</v>
      </c>
      <c r="S12" s="59">
        <f ca="1">AVERAGE(OFFSET($R$3,0,0,'Données projet'!$E$9+1,1))-AVERAGE(OFFSET($H$3,0,0,'Données projet'!$E$9+1,1))</f>
        <v>162.0530649500439</v>
      </c>
      <c r="T12" s="59">
        <f t="shared" si="34"/>
        <v>450.88267959505049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5.8078266502347455</v>
      </c>
      <c r="AK12" s="13">
        <f t="shared" si="35"/>
        <v>2.1808938198181922</v>
      </c>
      <c r="AL12" s="20">
        <f t="shared" si="4"/>
        <v>13.913688152008866</v>
      </c>
      <c r="AM12" s="59">
        <f t="shared" si="5"/>
        <v>281.58035481867557</v>
      </c>
      <c r="AN12" s="59">
        <f ca="1">AVERAGE(OFFSET($AM$3,0,0,'Données projet'!$E$10+1,1))-AVERAGE(OFFSET($H$3,0,0,'Données projet'!$E$10+1,1))</f>
        <v>328.34986205643321</v>
      </c>
      <c r="AO12" s="59">
        <f t="shared" si="36"/>
        <v>251.60894449147008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1.8</v>
      </c>
      <c r="BD12" s="12">
        <f>IF('Données projet'!$A$88&gt;35,BD11+BC12-BL11,IF(A12&lt;'Données projet'!$A$88,$BA$205^A12,IF(A12='Données projet'!$A$88,'Données projet'!$B$88,BD11+BC12-BL11)))</f>
        <v>3.3091627572662112</v>
      </c>
      <c r="BE12" s="13">
        <f>BD12*VLOOKUP('Données projet'!$B$11,Paramètres!$A$1:$I$89,3,0)*VLOOKUP('Données projet'!$B$11,Paramètres!$A$1:$I$89,5,0)</f>
        <v>3.7684745479747619</v>
      </c>
      <c r="BF12" s="13">
        <f t="shared" si="37"/>
        <v>1.4881680525708685</v>
      </c>
      <c r="BG12" s="20">
        <f t="shared" si="7"/>
        <v>9.1553191959503053</v>
      </c>
      <c r="BH12" s="59">
        <f t="shared" si="8"/>
        <v>276.821985862617</v>
      </c>
      <c r="BI12" s="59">
        <f ca="1">AVERAGE(OFFSET($BH$3,0,0,'Données projet'!$E$11+1,1))-AVERAGE(OFFSET($H$3,0,0,'Données projet'!$E$11+1,1))</f>
        <v>250.68173853329841</v>
      </c>
      <c r="BJ12" s="59">
        <f t="shared" si="38"/>
        <v>113.25940301904359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1.8</v>
      </c>
      <c r="BY12" s="12">
        <f>IF('Données projet'!$A$114&gt;35,BY11+BX12-CG11,IF(A12&lt;'Données projet'!$A$114,$BV$205^A12,IF(A12='Données projet'!$A$114,'Données projet'!$B$114,BY11+BX12-CG11)))</f>
        <v>3.3091627572662112</v>
      </c>
      <c r="BZ12" s="13">
        <f>BY12*VLOOKUP('Données projet'!$B$12,Paramètres!$A$1:$I$89,3,0)*VLOOKUP('Données projet'!$B$12,Paramètres!$A$1:$I$89,5,0)</f>
        <v>3.3554910358679386</v>
      </c>
      <c r="CA12" s="13">
        <f t="shared" si="39"/>
        <v>1.3431055377976437</v>
      </c>
      <c r="CB12" s="20">
        <f t="shared" si="10"/>
        <v>8.1833890324675558</v>
      </c>
      <c r="CC12" s="59">
        <f t="shared" si="11"/>
        <v>275.85005569913426</v>
      </c>
      <c r="CD12" s="59">
        <f ca="1">AVERAGE(OFFSET($CC$3,0,0,'Données projet'!$E$12+1,1))-AVERAGE(OFFSET($H$3,0,0,'Données projet'!$E$12+1,1))</f>
        <v>211.44496956344943</v>
      </c>
      <c r="CE12" s="59">
        <f t="shared" si="40"/>
        <v>98.543169293276662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6">
        <f t="shared" si="1"/>
        <v>277.68774337881695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64.7</v>
      </c>
      <c r="L13" s="12">
        <f>VLOOKUP(A13,'Données projet'!$A$35:$I$55,9,0)</f>
        <v>10.38</v>
      </c>
      <c r="M13" s="12">
        <f t="array" ref="M13">INDEX(L:L,MIN(IF(ISNUMBER(L13:L209),ROW(L13:L209),"")))</f>
        <v>10.38</v>
      </c>
      <c r="N13" s="13">
        <f>IF('Données projet'!$A$36&gt;35,N12+M13-V12,IF(A13&lt;'Données projet'!$A$36,$K$205^A13,IF(A13='Données projet'!$A$36,'Données projet'!$B$36,N12+M13-V12)))</f>
        <v>64.7</v>
      </c>
      <c r="O13" s="13">
        <f>N13*VLOOKUP('Données projet'!$B$9,Paramètres!$A$1:$I$89,3,0)*VLOOKUP('Données projet'!$B$9,Paramètres!$A$1:$I$89,5,0)</f>
        <v>37.344839999999998</v>
      </c>
      <c r="P13" s="13">
        <f t="shared" si="33"/>
        <v>11.292108067217622</v>
      </c>
      <c r="Q13" s="20">
        <f t="shared" si="2"/>
        <v>84.709351217070676</v>
      </c>
      <c r="R13" s="59">
        <f t="shared" si="0"/>
        <v>353.59824010595952</v>
      </c>
      <c r="S13" s="59">
        <f ca="1">AVERAGE(OFFSET($R$3,0,0,'Données projet'!$E$9+1,1))-AVERAGE(OFFSET($H$3,0,0,'Données projet'!$E$9+1,1))</f>
        <v>162.0530649500439</v>
      </c>
      <c r="T13" s="59">
        <f t="shared" si="34"/>
        <v>450.88267959505049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7.1974687550554899</v>
      </c>
      <c r="AK13" s="13">
        <f t="shared" si="35"/>
        <v>2.6360650660630816</v>
      </c>
      <c r="AL13" s="20">
        <f t="shared" si="4"/>
        <v>17.126738071781514</v>
      </c>
      <c r="AM13" s="59">
        <f t="shared" si="5"/>
        <v>286.01562696067037</v>
      </c>
      <c r="AN13" s="59">
        <f ca="1">AVERAGE(OFFSET($AM$3,0,0,'Données projet'!$E$10+1,1))-AVERAGE(OFFSET($H$3,0,0,'Données projet'!$E$10+1,1))</f>
        <v>328.34986205643321</v>
      </c>
      <c r="AO13" s="59">
        <f t="shared" si="36"/>
        <v>251.60894449147008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1.8</v>
      </c>
      <c r="BD13" s="12">
        <f>IF('Données projet'!$A$88&gt;35,BD12+BC13-BL12,IF(A13&lt;'Données projet'!$A$88,$BA$205^A13,IF(A13='Données projet'!$A$88,'Données projet'!$B$88,BD12+BC13-BL12)))</f>
        <v>3.7797631496846216</v>
      </c>
      <c r="BE13" s="13">
        <f>BD13*VLOOKUP('Données projet'!$B$11,Paramètres!$A$1:$I$89,3,0)*VLOOKUP('Données projet'!$B$11,Paramètres!$A$1:$I$89,5,0)</f>
        <v>4.3043942748608472</v>
      </c>
      <c r="BF13" s="13">
        <f t="shared" si="37"/>
        <v>1.6736966540040037</v>
      </c>
      <c r="BG13" s="20">
        <f t="shared" si="7"/>
        <v>10.411841701106281</v>
      </c>
      <c r="BH13" s="59">
        <f t="shared" si="8"/>
        <v>279.30073058999511</v>
      </c>
      <c r="BI13" s="59">
        <f ca="1">AVERAGE(OFFSET($BH$3,0,0,'Données projet'!$E$11+1,1))-AVERAGE(OFFSET($H$3,0,0,'Données projet'!$E$11+1,1))</f>
        <v>250.68173853329841</v>
      </c>
      <c r="BJ13" s="59">
        <f t="shared" si="38"/>
        <v>113.25940301904359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1.8</v>
      </c>
      <c r="BY13" s="12">
        <f>IF('Données projet'!$A$114&gt;35,BY12+BX13-CG12,IF(A13&lt;'Données projet'!$A$114,$BV$205^A13,IF(A13='Données projet'!$A$114,'Données projet'!$B$114,BY12+BX13-CG12)))</f>
        <v>3.7797631496846216</v>
      </c>
      <c r="BZ13" s="13">
        <f>BY13*VLOOKUP('Données projet'!$B$12,Paramètres!$A$1:$I$89,3,0)*VLOOKUP('Données projet'!$B$12,Paramètres!$A$1:$I$89,5,0)</f>
        <v>3.8326798337802064</v>
      </c>
      <c r="CA13" s="13">
        <f t="shared" si="39"/>
        <v>1.5105493231780782</v>
      </c>
      <c r="CB13" s="20">
        <f t="shared" si="10"/>
        <v>9.3061241150356775</v>
      </c>
      <c r="CC13" s="59">
        <f t="shared" si="11"/>
        <v>278.19501300392454</v>
      </c>
      <c r="CD13" s="59">
        <f ca="1">AVERAGE(OFFSET($CC$3,0,0,'Données projet'!$E$12+1,1))-AVERAGE(OFFSET($H$3,0,0,'Données projet'!$E$12+1,1))</f>
        <v>211.44496956344943</v>
      </c>
      <c r="CE13" s="59">
        <f t="shared" si="40"/>
        <v>98.543169293276662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6">
        <f t="shared" si="1"/>
        <v>279.72268788563707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16.799999999999997</v>
      </c>
      <c r="N14" s="13">
        <f>IF('Données projet'!$A$36&gt;35,N13+M14-V13,IF(A14&lt;'Données projet'!$A$36,$K$205^A14,IF(A14='Données projet'!$A$36,'Données projet'!$B$36,N13+M14-V13)))</f>
        <v>81.5</v>
      </c>
      <c r="O14" s="13">
        <f>N14*VLOOKUP('Données projet'!$B$9,Paramètres!$A$1:$I$89,3,0)*VLOOKUP('Données projet'!$B$9,Paramètres!$A$1:$I$89,5,0)</f>
        <v>47.041800000000002</v>
      </c>
      <c r="P14" s="13">
        <f t="shared" si="33"/>
        <v>13.847101207504126</v>
      </c>
      <c r="Q14" s="20">
        <f t="shared" si="2"/>
        <v>106.04816960306967</v>
      </c>
      <c r="R14" s="59">
        <f t="shared" si="0"/>
        <v>376.1592807141808</v>
      </c>
      <c r="S14" s="59">
        <f ca="1">AVERAGE(OFFSET($R$3,0,0,'Données projet'!$E$9+1,1))-AVERAGE(OFFSET($H$3,0,0,'Données projet'!$E$9+1,1))</f>
        <v>162.0530649500439</v>
      </c>
      <c r="T14" s="59">
        <f t="shared" si="34"/>
        <v>450.88267959505049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8.9196113451330703</v>
      </c>
      <c r="AK14" s="13">
        <f t="shared" si="35"/>
        <v>3.186234455512118</v>
      </c>
      <c r="AL14" s="20">
        <f t="shared" si="4"/>
        <v>21.084348102790369</v>
      </c>
      <c r="AM14" s="59">
        <f t="shared" si="5"/>
        <v>291.19545921390153</v>
      </c>
      <c r="AN14" s="59">
        <f ca="1">AVERAGE(OFFSET($AM$3,0,0,'Données projet'!$E$10+1,1))-AVERAGE(OFFSET($H$3,0,0,'Données projet'!$E$10+1,1))</f>
        <v>328.34986205643321</v>
      </c>
      <c r="AO14" s="59">
        <f t="shared" si="36"/>
        <v>251.60894449147008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1.8</v>
      </c>
      <c r="BD14" s="12">
        <f>IF('Données projet'!$A$88&gt;35,BD13+BC14-BL13,IF(A14&lt;'Données projet'!$A$88,$BA$205^A14,IF(A14='Données projet'!$A$88,'Données projet'!$B$88,BD13+BC14-BL13)))</f>
        <v>4.3172882434819746</v>
      </c>
      <c r="BE14" s="13">
        <f>BD14*VLOOKUP('Données projet'!$B$11,Paramètres!$A$1:$I$89,3,0)*VLOOKUP('Données projet'!$B$11,Paramètres!$A$1:$I$89,5,0)</f>
        <v>4.916527851677273</v>
      </c>
      <c r="BF14" s="13">
        <f t="shared" si="37"/>
        <v>1.882354942901046</v>
      </c>
      <c r="BG14" s="20">
        <f t="shared" si="7"/>
        <v>11.84138753389057</v>
      </c>
      <c r="BH14" s="59">
        <f t="shared" si="8"/>
        <v>281.9524986450017</v>
      </c>
      <c r="BI14" s="59">
        <f ca="1">AVERAGE(OFFSET($BH$3,0,0,'Données projet'!$E$11+1,1))-AVERAGE(OFFSET($H$3,0,0,'Données projet'!$E$11+1,1))</f>
        <v>250.68173853329841</v>
      </c>
      <c r="BJ14" s="59">
        <f t="shared" si="38"/>
        <v>113.25940301904359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1.8</v>
      </c>
      <c r="BY14" s="12">
        <f>IF('Données projet'!$A$114&gt;35,BY13+BX14-CG13,IF(A14&lt;'Données projet'!$A$114,$BV$205^A14,IF(A14='Données projet'!$A$114,'Données projet'!$B$114,BY13+BX14-CG13)))</f>
        <v>4.3172882434819746</v>
      </c>
      <c r="BZ14" s="13">
        <f>BY14*VLOOKUP('Données projet'!$B$12,Paramètres!$A$1:$I$89,3,0)*VLOOKUP('Données projet'!$B$12,Paramètres!$A$1:$I$89,5,0)</f>
        <v>4.3777302788907226</v>
      </c>
      <c r="CA14" s="13">
        <f t="shared" si="39"/>
        <v>1.6988681779208978</v>
      </c>
      <c r="CB14" s="20">
        <f t="shared" si="10"/>
        <v>10.583408978946904</v>
      </c>
      <c r="CC14" s="59">
        <f t="shared" si="11"/>
        <v>280.69452009005806</v>
      </c>
      <c r="CD14" s="59">
        <f ca="1">AVERAGE(OFFSET($CC$3,0,0,'Données projet'!$E$12+1,1))-AVERAGE(OFFSET($H$3,0,0,'Données projet'!$E$12+1,1))</f>
        <v>211.44496956344943</v>
      </c>
      <c r="CE14" s="59">
        <f t="shared" si="40"/>
        <v>98.543169293276662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6">
        <f t="shared" si="1"/>
        <v>281.75250661735487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16.799999999999997</v>
      </c>
      <c r="N15" s="13">
        <f>IF('Données projet'!$A$36&gt;35,N14+M15-V14,IF(A15&lt;'Données projet'!$A$36,$K$205^A15,IF(A15='Données projet'!$A$36,'Données projet'!$B$36,N14+M15-V14)))</f>
        <v>98.3</v>
      </c>
      <c r="O15" s="13">
        <f>N15*VLOOKUP('Données projet'!$B$9,Paramètres!$A$1:$I$89,3,0)*VLOOKUP('Données projet'!$B$9,Paramètres!$A$1:$I$89,5,0)</f>
        <v>56.738759999999992</v>
      </c>
      <c r="P15" s="13">
        <f t="shared" si="33"/>
        <v>16.341062525080414</v>
      </c>
      <c r="Q15" s="20">
        <f t="shared" si="2"/>
        <v>127.28069089784834</v>
      </c>
      <c r="R15" s="59">
        <f t="shared" si="0"/>
        <v>398.61402423118165</v>
      </c>
      <c r="S15" s="59">
        <f ca="1">AVERAGE(OFFSET($R$3,0,0,'Données projet'!$E$9+1,1))-AVERAGE(OFFSET($H$3,0,0,'Données projet'!$E$9+1,1))</f>
        <v>162.0530649500439</v>
      </c>
      <c r="T15" s="59">
        <f t="shared" si="34"/>
        <v>450.88267959505049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11.053812007498347</v>
      </c>
      <c r="AK15" s="13">
        <f t="shared" si="35"/>
        <v>3.8512289154738402</v>
      </c>
      <c r="AL15" s="20">
        <f t="shared" si="4"/>
        <v>25.959612940843225</v>
      </c>
      <c r="AM15" s="59">
        <f t="shared" si="5"/>
        <v>297.29294627417653</v>
      </c>
      <c r="AN15" s="59">
        <f ca="1">AVERAGE(OFFSET($AM$3,0,0,'Données projet'!$E$10+1,1))-AVERAGE(OFFSET($H$3,0,0,'Données projet'!$E$10+1,1))</f>
        <v>328.34986205643321</v>
      </c>
      <c r="AO15" s="59">
        <f t="shared" si="36"/>
        <v>251.60894449147008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1.8</v>
      </c>
      <c r="BD15" s="12">
        <f>IF('Données projet'!$A$88&gt;35,BD14+BC15-BL14,IF(A15&lt;'Données projet'!$A$88,$BA$205^A15,IF(A15='Données projet'!$A$88,'Données projet'!$B$88,BD14+BC15-BL14)))</f>
        <v>4.9312554885516811</v>
      </c>
      <c r="BE15" s="13">
        <f>BD15*VLOOKUP('Données projet'!$B$11,Paramètres!$A$1:$I$89,3,0)*VLOOKUP('Données projet'!$B$11,Paramètres!$A$1:$I$89,5,0)</f>
        <v>5.6157137503626542</v>
      </c>
      <c r="BF15" s="13">
        <f t="shared" si="37"/>
        <v>2.1170264770425504</v>
      </c>
      <c r="BG15" s="20">
        <f t="shared" si="7"/>
        <v>13.467855896064064</v>
      </c>
      <c r="BH15" s="59">
        <f t="shared" si="8"/>
        <v>284.80118922939738</v>
      </c>
      <c r="BI15" s="59">
        <f ca="1">AVERAGE(OFFSET($BH$3,0,0,'Données projet'!$E$11+1,1))-AVERAGE(OFFSET($H$3,0,0,'Données projet'!$E$11+1,1))</f>
        <v>250.68173853329841</v>
      </c>
      <c r="BJ15" s="59">
        <f t="shared" si="38"/>
        <v>113.25940301904359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1.8</v>
      </c>
      <c r="BY15" s="12">
        <f>IF('Données projet'!$A$114&gt;35,BY14+BX15-CG14,IF(A15&lt;'Données projet'!$A$114,$BV$205^A15,IF(A15='Données projet'!$A$114,'Données projet'!$B$114,BY14+BX15-CG14)))</f>
        <v>4.9312554885516811</v>
      </c>
      <c r="BZ15" s="13">
        <f>BY15*VLOOKUP('Données projet'!$B$12,Paramètres!$A$1:$I$89,3,0)*VLOOKUP('Données projet'!$B$12,Paramètres!$A$1:$I$89,5,0)</f>
        <v>5.0002930653914053</v>
      </c>
      <c r="CA15" s="13">
        <f t="shared" si="39"/>
        <v>1.9106645785521457</v>
      </c>
      <c r="CB15" s="20">
        <f t="shared" si="10"/>
        <v>12.036584563201684</v>
      </c>
      <c r="CC15" s="59">
        <f t="shared" si="11"/>
        <v>283.36991789653501</v>
      </c>
      <c r="CD15" s="59">
        <f ca="1">AVERAGE(OFFSET($CC$3,0,0,'Données projet'!$E$12+1,1))-AVERAGE(OFFSET($H$3,0,0,'Données projet'!$E$12+1,1))</f>
        <v>211.44496956344943</v>
      </c>
      <c r="CE15" s="59">
        <f t="shared" si="40"/>
        <v>98.543169293276662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6">
        <f t="shared" si="1"/>
        <v>283.77767528482127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16.799999999999997</v>
      </c>
      <c r="N16" s="13">
        <f>IF('Données projet'!$A$36&gt;35,N15+M16-V15,IF(A16&lt;'Données projet'!$A$36,$K$205^A16,IF(A16='Données projet'!$A$36,'Données projet'!$B$36,N15+M16-V15)))</f>
        <v>115.1</v>
      </c>
      <c r="O16" s="13">
        <f>N16*VLOOKUP('Données projet'!$B$9,Paramètres!$A$1:$I$89,3,0)*VLOOKUP('Données projet'!$B$9,Paramètres!$A$1:$I$89,5,0)</f>
        <v>66.435719999999989</v>
      </c>
      <c r="P16" s="13">
        <f t="shared" si="33"/>
        <v>18.785647088481284</v>
      </c>
      <c r="Q16" s="20">
        <f t="shared" si="2"/>
        <v>148.42721434577155</v>
      </c>
      <c r="R16" s="59">
        <f t="shared" si="0"/>
        <v>420.98276990132706</v>
      </c>
      <c r="S16" s="59">
        <f ca="1">AVERAGE(OFFSET($R$3,0,0,'Données projet'!$E$9+1,1))-AVERAGE(OFFSET($H$3,0,0,'Données projet'!$E$9+1,1))</f>
        <v>162.0530649500439</v>
      </c>
      <c r="T16" s="59">
        <f t="shared" si="34"/>
        <v>450.88267959505049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13.698664119909786</v>
      </c>
      <c r="AK16" s="13">
        <f t="shared" si="35"/>
        <v>4.6550134230463893</v>
      </c>
      <c r="AL16" s="20">
        <f t="shared" si="4"/>
        <v>31.965988387315338</v>
      </c>
      <c r="AM16" s="59">
        <f t="shared" si="5"/>
        <v>304.52154394287089</v>
      </c>
      <c r="AN16" s="59">
        <f ca="1">AVERAGE(OFFSET($AM$3,0,0,'Données projet'!$E$10+1,1))-AVERAGE(OFFSET($H$3,0,0,'Données projet'!$E$10+1,1))</f>
        <v>328.34986205643321</v>
      </c>
      <c r="AO16" s="59">
        <f t="shared" si="36"/>
        <v>251.60894449147008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1.8</v>
      </c>
      <c r="BD16" s="12">
        <f>IF('Données projet'!$A$88&gt;35,BD15+BC16-BL15,IF(A16&lt;'Données projet'!$A$88,$BA$205^A16,IF(A16='Données projet'!$A$88,'Données projet'!$B$88,BD15+BC16-BL15)))</f>
        <v>5.632535823866772</v>
      </c>
      <c r="BE16" s="13">
        <f>BD16*VLOOKUP('Données projet'!$B$11,Paramètres!$A$1:$I$89,3,0)*VLOOKUP('Données projet'!$B$11,Paramètres!$A$1:$I$89,5,0)</f>
        <v>6.4143317962194804</v>
      </c>
      <c r="BF16" s="13">
        <f t="shared" si="37"/>
        <v>2.3809543048198618</v>
      </c>
      <c r="BG16" s="20">
        <f t="shared" si="7"/>
        <v>15.31845662597685</v>
      </c>
      <c r="BH16" s="59">
        <f t="shared" si="8"/>
        <v>287.87401218153241</v>
      </c>
      <c r="BI16" s="59">
        <f ca="1">AVERAGE(OFFSET($BH$3,0,0,'Données projet'!$E$11+1,1))-AVERAGE(OFFSET($H$3,0,0,'Données projet'!$E$11+1,1))</f>
        <v>250.68173853329841</v>
      </c>
      <c r="BJ16" s="59">
        <f t="shared" si="38"/>
        <v>113.25940301904359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1.8</v>
      </c>
      <c r="BY16" s="12">
        <f>IF('Données projet'!$A$114&gt;35,BY15+BX16-CG15,IF(A16&lt;'Données projet'!$A$114,$BV$205^A16,IF(A16='Données projet'!$A$114,'Données projet'!$B$114,BY15+BX16-CG15)))</f>
        <v>5.632535823866772</v>
      </c>
      <c r="BZ16" s="13">
        <f>BY16*VLOOKUP('Données projet'!$B$12,Paramètres!$A$1:$I$89,3,0)*VLOOKUP('Données projet'!$B$12,Paramètres!$A$1:$I$89,5,0)</f>
        <v>5.7113913254009079</v>
      </c>
      <c r="CA16" s="13">
        <f t="shared" si="39"/>
        <v>2.1488654500560243</v>
      </c>
      <c r="CB16" s="20">
        <f t="shared" si="10"/>
        <v>13.689947217254156</v>
      </c>
      <c r="CC16" s="59">
        <f t="shared" si="11"/>
        <v>286.24550277280969</v>
      </c>
      <c r="CD16" s="59">
        <f ca="1">AVERAGE(OFFSET($CC$3,0,0,'Données projet'!$E$12+1,1))-AVERAGE(OFFSET($H$3,0,0,'Données projet'!$E$12+1,1))</f>
        <v>211.44496956344943</v>
      </c>
      <c r="CE16" s="59">
        <f t="shared" si="40"/>
        <v>98.543169293276662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6">
        <f t="shared" si="1"/>
        <v>285.79859225515048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16.799999999999997</v>
      </c>
      <c r="N17" s="13">
        <f>IF('Données projet'!$A$36&gt;35,N16+M17-V16,IF(A17&lt;'Données projet'!$A$36,$K$205^A17,IF(A17='Données projet'!$A$36,'Données projet'!$B$36,N16+M17-V16)))</f>
        <v>131.89999999999998</v>
      </c>
      <c r="O17" s="13">
        <f>N17*VLOOKUP('Données projet'!$B$9,Paramètres!$A$1:$I$89,3,0)*VLOOKUP('Données projet'!$B$9,Paramètres!$A$1:$I$89,5,0)</f>
        <v>76.132679999999993</v>
      </c>
      <c r="P17" s="13">
        <f t="shared" si="33"/>
        <v>21.188894797227015</v>
      </c>
      <c r="Q17" s="20">
        <f t="shared" si="2"/>
        <v>169.50174277183706</v>
      </c>
      <c r="R17" s="59">
        <f t="shared" si="0"/>
        <v>443.27952054961486</v>
      </c>
      <c r="S17" s="59">
        <f ca="1">AVERAGE(OFFSET($R$3,0,0,'Données projet'!$E$9+1,1))-AVERAGE(OFFSET($H$3,0,0,'Données projet'!$E$9+1,1))</f>
        <v>162.0530649500439</v>
      </c>
      <c r="T17" s="59">
        <f t="shared" si="34"/>
        <v>450.88267959505049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16.976351555717539</v>
      </c>
      <c r="AK17" s="13">
        <f t="shared" si="35"/>
        <v>5.6265546516016363</v>
      </c>
      <c r="AL17" s="20">
        <f t="shared" si="4"/>
        <v>39.366728311080898</v>
      </c>
      <c r="AM17" s="59">
        <f t="shared" si="5"/>
        <v>313.14450608885869</v>
      </c>
      <c r="AN17" s="59">
        <f ca="1">AVERAGE(OFFSET($AM$3,0,0,'Données projet'!$E$10+1,1))-AVERAGE(OFFSET($H$3,0,0,'Données projet'!$E$10+1,1))</f>
        <v>328.34986205643321</v>
      </c>
      <c r="AO17" s="59">
        <f t="shared" si="36"/>
        <v>251.60894449147008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1.8</v>
      </c>
      <c r="BD17" s="12">
        <f>IF('Données projet'!$A$88&gt;35,BD16+BC17-BL16,IF(A17&lt;'Données projet'!$A$88,$BA$205^A17,IF(A17='Données projet'!$A$88,'Données projet'!$B$88,BD16+BC17-BL16)))</f>
        <v>6.4335461589438685</v>
      </c>
      <c r="BE17" s="13">
        <f>BD17*VLOOKUP('Données projet'!$B$11,Paramètres!$A$1:$I$89,3,0)*VLOOKUP('Données projet'!$B$11,Paramètres!$A$1:$I$89,5,0)</f>
        <v>7.3265223658052783</v>
      </c>
      <c r="BF17" s="13">
        <f t="shared" si="37"/>
        <v>2.6777857826131921</v>
      </c>
      <c r="BG17" s="20">
        <f t="shared" si="7"/>
        <v>17.424170025162166</v>
      </c>
      <c r="BH17" s="59">
        <f t="shared" si="8"/>
        <v>291.20194780293991</v>
      </c>
      <c r="BI17" s="59">
        <f ca="1">AVERAGE(OFFSET($BH$3,0,0,'Données projet'!$E$11+1,1))-AVERAGE(OFFSET($H$3,0,0,'Données projet'!$E$11+1,1))</f>
        <v>250.68173853329841</v>
      </c>
      <c r="BJ17" s="59">
        <f t="shared" si="38"/>
        <v>113.25940301904359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1.8</v>
      </c>
      <c r="BY17" s="12">
        <f>IF('Données projet'!$A$114&gt;35,BY16+BX17-CG16,IF(A17&lt;'Données projet'!$A$114,$BV$205^A17,IF(A17='Données projet'!$A$114,'Données projet'!$B$114,BY16+BX17-CG16)))</f>
        <v>6.4335461589438685</v>
      </c>
      <c r="BZ17" s="13">
        <f>BY17*VLOOKUP('Données projet'!$B$12,Paramètres!$A$1:$I$89,3,0)*VLOOKUP('Données projet'!$B$12,Paramètres!$A$1:$I$89,5,0)</f>
        <v>6.5236158051690829</v>
      </c>
      <c r="CA17" s="13">
        <f t="shared" si="39"/>
        <v>2.4167626145786398</v>
      </c>
      <c r="CB17" s="20">
        <f t="shared" si="10"/>
        <v>15.571159081060619</v>
      </c>
      <c r="CC17" s="59">
        <f t="shared" si="11"/>
        <v>289.34893685883839</v>
      </c>
      <c r="CD17" s="59">
        <f ca="1">AVERAGE(OFFSET($CC$3,0,0,'Données projet'!$E$12+1,1))-AVERAGE(OFFSET($H$3,0,0,'Données projet'!$E$12+1,1))</f>
        <v>211.44496956344943</v>
      </c>
      <c r="CE17" s="59">
        <f t="shared" si="40"/>
        <v>98.543169293276662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6">
        <f t="shared" si="1"/>
        <v>287.81559576110328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148.69999999999999</v>
      </c>
      <c r="L18" s="12">
        <f>VLOOKUP(A18,'Données projet'!$A$35:$I$55,9,0)</f>
        <v>16.799999999999997</v>
      </c>
      <c r="M18" s="12">
        <f t="array" ref="M18">INDEX(L:L,MIN(IF(ISNUMBER(L18:L214),ROW(L18:L214),"")))</f>
        <v>16.799999999999997</v>
      </c>
      <c r="N18" s="13">
        <f>IF('Données projet'!$A$36&gt;35,N17+M18-V17,IF(A18&lt;'Données projet'!$A$36,$K$205^A18,IF(A18='Données projet'!$A$36,'Données projet'!$B$36,N17+M18-V17)))</f>
        <v>148.69999999999999</v>
      </c>
      <c r="O18" s="13">
        <f>N18*VLOOKUP('Données projet'!$B$9,Paramètres!$A$1:$I$89,3,0)*VLOOKUP('Données projet'!$B$9,Paramètres!$A$1:$I$89,5,0)</f>
        <v>85.829639999999998</v>
      </c>
      <c r="P18" s="13">
        <f t="shared" si="33"/>
        <v>23.556674181903503</v>
      </c>
      <c r="Q18" s="20">
        <f t="shared" si="2"/>
        <v>190.51449720014855</v>
      </c>
      <c r="R18" s="59">
        <f t="shared" si="0"/>
        <v>465.51449720014853</v>
      </c>
      <c r="S18" s="59">
        <f ca="1">AVERAGE(OFFSET($R$3,0,0,'Données projet'!$E$9+1,1))-AVERAGE(OFFSET($H$3,0,0,'Données projet'!$E$9+1,1))</f>
        <v>162.0530649500439</v>
      </c>
      <c r="T18" s="59">
        <f t="shared" si="34"/>
        <v>450.88267959505049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21.03829319564419</v>
      </c>
      <c r="AK18" s="13">
        <f t="shared" si="35"/>
        <v>6.8008648676982615</v>
      </c>
      <c r="AL18" s="20">
        <f t="shared" si="4"/>
        <v>48.486533626988098</v>
      </c>
      <c r="AM18" s="59">
        <f t="shared" si="5"/>
        <v>323.48653362698809</v>
      </c>
      <c r="AN18" s="59">
        <f ca="1">AVERAGE(OFFSET($AM$3,0,0,'Données projet'!$E$10+1,1))-AVERAGE(OFFSET($H$3,0,0,'Données projet'!$E$10+1,1))</f>
        <v>328.34986205643321</v>
      </c>
      <c r="AO18" s="59">
        <f t="shared" si="36"/>
        <v>251.60894449147008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1.8</v>
      </c>
      <c r="BD18" s="12">
        <f>IF('Données projet'!$A$88&gt;35,BD17+BC18-BL17,IF(A18&lt;'Données projet'!$A$88,$BA$205^A18,IF(A18='Données projet'!$A$88,'Données projet'!$B$88,BD17+BC18-BL17)))</f>
        <v>7.3484692283495407</v>
      </c>
      <c r="BE18" s="13">
        <f>BD18*VLOOKUP('Données projet'!$B$11,Paramètres!$A$1:$I$89,3,0)*VLOOKUP('Données projet'!$B$11,Paramètres!$A$1:$I$89,5,0)</f>
        <v>8.3684367572444565</v>
      </c>
      <c r="BF18" s="13">
        <f t="shared" si="37"/>
        <v>3.0116229795127669</v>
      </c>
      <c r="BG18" s="20">
        <f t="shared" si="7"/>
        <v>19.820270708185493</v>
      </c>
      <c r="BH18" s="59">
        <f t="shared" si="8"/>
        <v>294.82027070818549</v>
      </c>
      <c r="BI18" s="59">
        <f ca="1">AVERAGE(OFFSET($BH$3,0,0,'Données projet'!$E$11+1,1))-AVERAGE(OFFSET($H$3,0,0,'Données projet'!$E$11+1,1))</f>
        <v>250.68173853329841</v>
      </c>
      <c r="BJ18" s="59">
        <f t="shared" si="38"/>
        <v>113.25940301904359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1.8</v>
      </c>
      <c r="BY18" s="12">
        <f>IF('Données projet'!$A$114&gt;35,BY17+BX18-CG17,IF(A18&lt;'Données projet'!$A$114,$BV$205^A18,IF(A18='Données projet'!$A$114,'Données projet'!$B$114,BY17+BX18-CG17)))</f>
        <v>7.3484692283495407</v>
      </c>
      <c r="BZ18" s="13">
        <f>BY18*VLOOKUP('Données projet'!$B$12,Paramètres!$A$1:$I$89,3,0)*VLOOKUP('Données projet'!$B$12,Paramètres!$A$1:$I$89,5,0)</f>
        <v>7.4513477975464344</v>
      </c>
      <c r="CA18" s="13">
        <f t="shared" si="39"/>
        <v>2.7180582828360458</v>
      </c>
      <c r="CB18" s="20">
        <f t="shared" si="10"/>
        <v>17.711715589999486</v>
      </c>
      <c r="CC18" s="59">
        <f t="shared" si="11"/>
        <v>292.71171558999947</v>
      </c>
      <c r="CD18" s="59">
        <f ca="1">AVERAGE(OFFSET($CC$3,0,0,'Données projet'!$E$12+1,1))-AVERAGE(OFFSET($H$3,0,0,'Données projet'!$E$12+1,1))</f>
        <v>211.44496956344943</v>
      </c>
      <c r="CE18" s="59">
        <f t="shared" si="40"/>
        <v>98.543169293276662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6">
        <f t="shared" si="1"/>
        <v>289.82897638635399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21.54</v>
      </c>
      <c r="N19" s="13">
        <f>IF('Données projet'!$A$36&gt;35,N18+M19-V18,IF(A19&lt;'Données projet'!$A$36,$K$205^A19,IF(A19='Données projet'!$A$36,'Données projet'!$B$36,N18+M19-V18)))</f>
        <v>170.23999999999998</v>
      </c>
      <c r="O19" s="13">
        <f>N19*VLOOKUP('Données projet'!$B$9,Paramètres!$A$1:$I$89,3,0)*VLOOKUP('Données projet'!$B$9,Paramètres!$A$1:$I$89,5,0)</f>
        <v>98.262527999999989</v>
      </c>
      <c r="P19" s="13">
        <f t="shared" si="33"/>
        <v>26.547647503659711</v>
      </c>
      <c r="Q19" s="20">
        <f t="shared" si="2"/>
        <v>217.37772233554065</v>
      </c>
      <c r="R19" s="59">
        <f t="shared" si="0"/>
        <v>493.59994455776291</v>
      </c>
      <c r="S19" s="59">
        <f ca="1">AVERAGE(OFFSET($R$3,0,0,'Données projet'!$E$9+1,1))-AVERAGE(OFFSET($H$3,0,0,'Données projet'!$E$9+1,1))</f>
        <v>162.0530649500439</v>
      </c>
      <c r="T19" s="59">
        <f t="shared" si="34"/>
        <v>450.88267959505049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26.072138005225284</v>
      </c>
      <c r="AK19" s="13">
        <f t="shared" si="35"/>
        <v>8.2202636982343371</v>
      </c>
      <c r="AL19" s="20">
        <f t="shared" si="4"/>
        <v>59.725932966858835</v>
      </c>
      <c r="AM19" s="59">
        <f t="shared" si="5"/>
        <v>335.94815518908104</v>
      </c>
      <c r="AN19" s="59">
        <f ca="1">AVERAGE(OFFSET($AM$3,0,0,'Données projet'!$E$10+1,1))-AVERAGE(OFFSET($H$3,0,0,'Données projet'!$E$10+1,1))</f>
        <v>328.34986205643321</v>
      </c>
      <c r="AO19" s="59">
        <f t="shared" si="36"/>
        <v>251.60894449147008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1.8</v>
      </c>
      <c r="BD19" s="12">
        <f>IF('Données projet'!$A$88&gt;35,BD18+BC19-BL18,IF(A19&lt;'Données projet'!$A$88,$BA$205^A19,IF(A19='Données projet'!$A$88,'Données projet'!$B$88,BD18+BC19-BL18)))</f>
        <v>8.3935047120054769</v>
      </c>
      <c r="BE19" s="13">
        <f>BD19*VLOOKUP('Données projet'!$B$11,Paramètres!$A$1:$I$89,3,0)*VLOOKUP('Données projet'!$B$11,Paramètres!$A$1:$I$89,5,0)</f>
        <v>9.5585231660318364</v>
      </c>
      <c r="BF19" s="13">
        <f t="shared" si="37"/>
        <v>3.3870793659522196</v>
      </c>
      <c r="BG19" s="20">
        <f t="shared" si="7"/>
        <v>22.546924409872233</v>
      </c>
      <c r="BH19" s="59">
        <f t="shared" si="8"/>
        <v>298.76914663209448</v>
      </c>
      <c r="BI19" s="59">
        <f ca="1">AVERAGE(OFFSET($BH$3,0,0,'Données projet'!$E$11+1,1))-AVERAGE(OFFSET($H$3,0,0,'Données projet'!$E$11+1,1))</f>
        <v>250.68173853329841</v>
      </c>
      <c r="BJ19" s="59">
        <f t="shared" si="38"/>
        <v>113.25940301904359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1.8</v>
      </c>
      <c r="BY19" s="12">
        <f>IF('Données projet'!$A$114&gt;35,BY18+BX19-CG18,IF(A19&lt;'Données projet'!$A$114,$BV$205^A19,IF(A19='Données projet'!$A$114,'Données projet'!$B$114,BY18+BX19-CG18)))</f>
        <v>8.3935047120054769</v>
      </c>
      <c r="BZ19" s="13">
        <f>BY19*VLOOKUP('Données projet'!$B$12,Paramètres!$A$1:$I$89,3,0)*VLOOKUP('Données projet'!$B$12,Paramètres!$A$1:$I$89,5,0)</f>
        <v>8.5110137779735542</v>
      </c>
      <c r="CA19" s="13">
        <f t="shared" si="39"/>
        <v>3.0569162168960888</v>
      </c>
      <c r="CB19" s="20">
        <f t="shared" si="10"/>
        <v>20.147478074397963</v>
      </c>
      <c r="CC19" s="59">
        <f t="shared" si="11"/>
        <v>296.36970029662018</v>
      </c>
      <c r="CD19" s="59">
        <f ca="1">AVERAGE(OFFSET($CC$3,0,0,'Données projet'!$E$12+1,1))-AVERAGE(OFFSET($H$3,0,0,'Données projet'!$E$12+1,1))</f>
        <v>211.44496956344943</v>
      </c>
      <c r="CE19" s="59">
        <f t="shared" si="40"/>
        <v>98.543169293276662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6">
        <f t="shared" si="1"/>
        <v>291.83898633863726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21.54</v>
      </c>
      <c r="N20" s="13">
        <f>IF('Données projet'!$A$36&gt;35,N19+M20-V19,IF(A20&lt;'Données projet'!$A$36,$K$205^A20,IF(A20='Données projet'!$A$36,'Données projet'!$B$36,N19+M20-V19)))</f>
        <v>191.77999999999997</v>
      </c>
      <c r="O20" s="13">
        <f>N20*VLOOKUP('Données projet'!$B$9,Paramètres!$A$1:$I$89,3,0)*VLOOKUP('Données projet'!$B$9,Paramètres!$A$1:$I$89,5,0)</f>
        <v>110.69541599999999</v>
      </c>
      <c r="P20" s="13">
        <f t="shared" si="33"/>
        <v>29.494769862550648</v>
      </c>
      <c r="Q20" s="20">
        <f t="shared" si="2"/>
        <v>244.16457371060901</v>
      </c>
      <c r="R20" s="59">
        <f t="shared" si="0"/>
        <v>521.60901815505349</v>
      </c>
      <c r="S20" s="59">
        <f ca="1">AVERAGE(OFFSET($R$3,0,0,'Données projet'!$E$9+1,1))-AVERAGE(OFFSET($H$3,0,0,'Données projet'!$E$9+1,1))</f>
        <v>162.0530649500439</v>
      </c>
      <c r="T20" s="59">
        <f t="shared" si="34"/>
        <v>450.88267959505049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32.310433828550828</v>
      </c>
      <c r="AK20" s="13">
        <f t="shared" si="35"/>
        <v>9.9359032392271498</v>
      </c>
      <c r="AL20" s="20">
        <f t="shared" si="4"/>
        <v>73.579037059713301</v>
      </c>
      <c r="AM20" s="59">
        <f t="shared" si="5"/>
        <v>351.02348150415776</v>
      </c>
      <c r="AN20" s="59">
        <f ca="1">AVERAGE(OFFSET($AM$3,0,0,'Données projet'!$E$10+1,1))-AVERAGE(OFFSET($H$3,0,0,'Données projet'!$E$10+1,1))</f>
        <v>328.34986205643321</v>
      </c>
      <c r="AO20" s="59">
        <f t="shared" si="36"/>
        <v>251.60894449147008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1.8</v>
      </c>
      <c r="BD20" s="12">
        <f>IF('Données projet'!$A$88&gt;35,BD19+BC20-BL19,IF(A20&lt;'Données projet'!$A$88,$BA$205^A20,IF(A20='Données projet'!$A$88,'Données projet'!$B$88,BD19+BC20-BL19)))</f>
        <v>9.5871560676428587</v>
      </c>
      <c r="BE20" s="13">
        <f>BD20*VLOOKUP('Données projet'!$B$11,Paramètres!$A$1:$I$89,3,0)*VLOOKUP('Données projet'!$B$11,Paramètres!$A$1:$I$89,5,0)</f>
        <v>10.917853329831688</v>
      </c>
      <c r="BF20" s="13">
        <f t="shared" si="37"/>
        <v>3.809343569663997</v>
      </c>
      <c r="BG20" s="20">
        <f t="shared" si="7"/>
        <v>25.649867933288316</v>
      </c>
      <c r="BH20" s="59">
        <f t="shared" si="8"/>
        <v>303.09431237773276</v>
      </c>
      <c r="BI20" s="59">
        <f ca="1">AVERAGE(OFFSET($BH$3,0,0,'Données projet'!$E$11+1,1))-AVERAGE(OFFSET($H$3,0,0,'Données projet'!$E$11+1,1))</f>
        <v>250.68173853329841</v>
      </c>
      <c r="BJ20" s="59">
        <f t="shared" si="38"/>
        <v>113.25940301904359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1.8</v>
      </c>
      <c r="BY20" s="12">
        <f>IF('Données projet'!$A$114&gt;35,BY19+BX20-CG19,IF(A20&lt;'Données projet'!$A$114,$BV$205^A20,IF(A20='Données projet'!$A$114,'Données projet'!$B$114,BY19+BX20-CG19)))</f>
        <v>9.5871560676428587</v>
      </c>
      <c r="BZ20" s="13">
        <f>BY20*VLOOKUP('Données projet'!$B$12,Paramètres!$A$1:$I$89,3,0)*VLOOKUP('Données projet'!$B$12,Paramètres!$A$1:$I$89,5,0)</f>
        <v>9.7213762525898595</v>
      </c>
      <c r="CA20" s="13">
        <f t="shared" si="39"/>
        <v>3.4380192713792406</v>
      </c>
      <c r="CB20" s="20">
        <f t="shared" si="10"/>
        <v>22.91928053757951</v>
      </c>
      <c r="CC20" s="59">
        <f t="shared" si="11"/>
        <v>300.363724982024</v>
      </c>
      <c r="CD20" s="59">
        <f ca="1">AVERAGE(OFFSET($CC$3,0,0,'Données projet'!$E$12+1,1))-AVERAGE(OFFSET($H$3,0,0,'Données projet'!$E$12+1,1))</f>
        <v>211.44496956344943</v>
      </c>
      <c r="CE20" s="59">
        <f t="shared" si="40"/>
        <v>98.543169293276662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6">
        <f t="shared" si="1"/>
        <v>293.8458464780249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21.54</v>
      </c>
      <c r="N21" s="13">
        <f>IF('Données projet'!$A$36&gt;35,N20+M21-V20,IF(A21&lt;'Données projet'!$A$36,$K$205^A21,IF(A21='Données projet'!$A$36,'Données projet'!$B$36,N20+M21-V20)))</f>
        <v>213.31999999999996</v>
      </c>
      <c r="O21" s="13">
        <f>N21*VLOOKUP('Données projet'!$B$9,Paramètres!$A$1:$I$89,3,0)*VLOOKUP('Données projet'!$B$9,Paramètres!$A$1:$I$89,5,0)</f>
        <v>123.12830399999997</v>
      </c>
      <c r="P21" s="13">
        <f t="shared" si="33"/>
        <v>32.403528415216037</v>
      </c>
      <c r="Q21" s="20">
        <f t="shared" si="2"/>
        <v>270.88460812316788</v>
      </c>
      <c r="R21" s="59">
        <f t="shared" si="0"/>
        <v>549.55127478983457</v>
      </c>
      <c r="S21" s="59">
        <f ca="1">AVERAGE(OFFSET($R$3,0,0,'Données projet'!$E$9+1,1))-AVERAGE(OFFSET($H$3,0,0,'Données projet'!$E$9+1,1))</f>
        <v>162.0530649500439</v>
      </c>
      <c r="T21" s="59">
        <f t="shared" si="34"/>
        <v>450.88267959505049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40.041370369393334</v>
      </c>
      <c r="AK21" s="13">
        <f t="shared" si="35"/>
        <v>12.009611467876571</v>
      </c>
      <c r="AL21" s="20">
        <f t="shared" si="4"/>
        <v>90.655460033245092</v>
      </c>
      <c r="AM21" s="59">
        <f t="shared" si="5"/>
        <v>369.32212669991179</v>
      </c>
      <c r="AN21" s="59">
        <f ca="1">AVERAGE(OFFSET($AM$3,0,0,'Données projet'!$E$10+1,1))-AVERAGE(OFFSET($H$3,0,0,'Données projet'!$E$10+1,1))</f>
        <v>328.34986205643321</v>
      </c>
      <c r="AO21" s="59">
        <f t="shared" si="36"/>
        <v>251.60894449147008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1.8</v>
      </c>
      <c r="BD21" s="12">
        <f>IF('Données projet'!$A$88&gt;35,BD20+BC21-BL20,IF(A21&lt;'Données projet'!$A$88,$BA$205^A21,IF(A21='Données projet'!$A$88,'Données projet'!$B$88,BD20+BC21-BL20)))</f>
        <v>10.950558154077715</v>
      </c>
      <c r="BE21" s="13">
        <f>BD21*VLOOKUP('Données projet'!$B$11,Paramètres!$A$1:$I$89,3,0)*VLOOKUP('Données projet'!$B$11,Paramètres!$A$1:$I$89,5,0)</f>
        <v>12.470495625863702</v>
      </c>
      <c r="BF21" s="13">
        <f t="shared" si="37"/>
        <v>4.2842510800336395</v>
      </c>
      <c r="BG21" s="20">
        <f t="shared" si="7"/>
        <v>29.181183846104531</v>
      </c>
      <c r="BH21" s="59">
        <f t="shared" si="8"/>
        <v>307.84785051277123</v>
      </c>
      <c r="BI21" s="59">
        <f ca="1">AVERAGE(OFFSET($BH$3,0,0,'Données projet'!$E$11+1,1))-AVERAGE(OFFSET($H$3,0,0,'Données projet'!$E$11+1,1))</f>
        <v>250.68173853329841</v>
      </c>
      <c r="BJ21" s="59">
        <f t="shared" si="38"/>
        <v>113.25940301904359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1.8</v>
      </c>
      <c r="BY21" s="12">
        <f>IF('Données projet'!$A$114&gt;35,BY20+BX21-CG20,IF(A21&lt;'Données projet'!$A$114,$BV$205^A21,IF(A21='Données projet'!$A$114,'Données projet'!$B$114,BY20+BX21-CG20)))</f>
        <v>10.950558154077715</v>
      </c>
      <c r="BZ21" s="13">
        <f>BY21*VLOOKUP('Données projet'!$B$12,Paramètres!$A$1:$I$89,3,0)*VLOOKUP('Données projet'!$B$12,Paramètres!$A$1:$I$89,5,0)</f>
        <v>11.103865968234805</v>
      </c>
      <c r="CA21" s="13">
        <f t="shared" si="39"/>
        <v>3.866634108270306</v>
      </c>
      <c r="CB21" s="20">
        <f t="shared" si="10"/>
        <v>26.073620966579735</v>
      </c>
      <c r="CC21" s="59">
        <f t="shared" si="11"/>
        <v>304.7402876332464</v>
      </c>
      <c r="CD21" s="59">
        <f ca="1">AVERAGE(OFFSET($CC$3,0,0,'Données projet'!$E$12+1,1))-AVERAGE(OFFSET($H$3,0,0,'Données projet'!$E$12+1,1))</f>
        <v>211.44496956344943</v>
      </c>
      <c r="CE21" s="59">
        <f t="shared" si="40"/>
        <v>98.543169293276662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6">
        <f t="shared" si="1"/>
        <v>295.84975173858709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21.54</v>
      </c>
      <c r="N22" s="13">
        <f>IF('Données projet'!$A$36&gt;35,N21+M22-V21,IF(A22&lt;'Données projet'!$A$36,$K$205^A22,IF(A22='Données projet'!$A$36,'Données projet'!$B$36,N21+M22-V21)))</f>
        <v>234.85999999999996</v>
      </c>
      <c r="O22" s="13">
        <f>N22*VLOOKUP('Données projet'!$B$9,Paramètres!$A$1:$I$89,3,0)*VLOOKUP('Données projet'!$B$9,Paramètres!$A$1:$I$89,5,0)</f>
        <v>135.56119199999998</v>
      </c>
      <c r="P22" s="13">
        <f t="shared" si="33"/>
        <v>35.278237992758221</v>
      </c>
      <c r="Q22" s="20">
        <f t="shared" si="2"/>
        <v>297.5453405707205</v>
      </c>
      <c r="R22" s="59">
        <f t="shared" si="0"/>
        <v>577.43422945960936</v>
      </c>
      <c r="S22" s="59">
        <f ca="1">AVERAGE(OFFSET($R$3,0,0,'Données projet'!$E$9+1,1))-AVERAGE(OFFSET($H$3,0,0,'Données projet'!$E$9+1,1))</f>
        <v>162.0530649500439</v>
      </c>
      <c r="T22" s="59">
        <f t="shared" si="34"/>
        <v>450.88267959505049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49.622092651760646</v>
      </c>
      <c r="AK22" s="13">
        <f t="shared" si="35"/>
        <v>14.516120390537463</v>
      </c>
      <c r="AL22" s="20">
        <f t="shared" si="4"/>
        <v>111.70738771533587</v>
      </c>
      <c r="AM22" s="59">
        <f t="shared" si="5"/>
        <v>391.59627660422473</v>
      </c>
      <c r="AN22" s="59">
        <f ca="1">AVERAGE(OFFSET($AM$3,0,0,'Données projet'!$E$10+1,1))-AVERAGE(OFFSET($H$3,0,0,'Données projet'!$E$10+1,1))</f>
        <v>328.34986205643321</v>
      </c>
      <c r="AO22" s="59">
        <f t="shared" si="36"/>
        <v>251.60894449147008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1.8</v>
      </c>
      <c r="BD22" s="12">
        <f>IF('Données projet'!$A$88&gt;35,BD21+BC22-BL21,IF(A22&lt;'Données projet'!$A$88,$BA$205^A22,IF(A22='Données projet'!$A$88,'Données projet'!$B$88,BD21+BC22-BL21)))</f>
        <v>12.507851446223583</v>
      </c>
      <c r="BE22" s="13">
        <f>BD22*VLOOKUP('Données projet'!$B$11,Paramètres!$A$1:$I$89,3,0)*VLOOKUP('Données projet'!$B$11,Paramètres!$A$1:$I$89,5,0)</f>
        <v>14.243941226959418</v>
      </c>
      <c r="BF22" s="13">
        <f t="shared" si="37"/>
        <v>4.8183648917727817</v>
      </c>
      <c r="BG22" s="20">
        <f t="shared" si="7"/>
        <v>33.200183156791915</v>
      </c>
      <c r="BH22" s="59">
        <f t="shared" si="8"/>
        <v>313.08907204568078</v>
      </c>
      <c r="BI22" s="59">
        <f ca="1">AVERAGE(OFFSET($BH$3,0,0,'Données projet'!$E$11+1,1))-AVERAGE(OFFSET($H$3,0,0,'Données projet'!$E$11+1,1))</f>
        <v>250.68173853329841</v>
      </c>
      <c r="BJ22" s="59">
        <f t="shared" si="38"/>
        <v>113.25940301904359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1.8</v>
      </c>
      <c r="BY22" s="12">
        <f>IF('Données projet'!$A$114&gt;35,BY21+BX22-CG21,IF(A22&lt;'Données projet'!$A$114,$BV$205^A22,IF(A22='Données projet'!$A$114,'Données projet'!$B$114,BY21+BX22-CG21)))</f>
        <v>12.507851446223583</v>
      </c>
      <c r="BZ22" s="13">
        <f>BY22*VLOOKUP('Données projet'!$B$12,Paramètres!$A$1:$I$89,3,0)*VLOOKUP('Données projet'!$B$12,Paramètres!$A$1:$I$89,5,0)</f>
        <v>12.682961366470716</v>
      </c>
      <c r="CA22" s="13">
        <f t="shared" si="39"/>
        <v>4.3486839796687411</v>
      </c>
      <c r="CB22" s="20">
        <f t="shared" si="10"/>
        <v>29.663448977859549</v>
      </c>
      <c r="CC22" s="59">
        <f t="shared" si="11"/>
        <v>309.55233786674842</v>
      </c>
      <c r="CD22" s="59">
        <f ca="1">AVERAGE(OFFSET($CC$3,0,0,'Données projet'!$E$12+1,1))-AVERAGE(OFFSET($H$3,0,0,'Données projet'!$E$12+1,1))</f>
        <v>211.44496956344943</v>
      </c>
      <c r="CE22" s="59">
        <f t="shared" si="40"/>
        <v>98.543169293276662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6">
        <f t="shared" si="1"/>
        <v>297.85087537608922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256.39999999999998</v>
      </c>
      <c r="L23" s="12">
        <f>VLOOKUP(A23,'Données projet'!$A$35:$I$55,9,0)</f>
        <v>21.54</v>
      </c>
      <c r="M23" s="12">
        <f t="array" ref="M23">INDEX(L:L,MIN(IF(ISNUMBER(L23:L219),ROW(L23:L219),"")))</f>
        <v>21.54</v>
      </c>
      <c r="N23" s="13">
        <f>IF('Données projet'!$A$36&gt;35,N22+M23-V22,IF(A23&lt;'Données projet'!$A$36,$K$205^A23,IF(A23='Données projet'!$A$36,'Données projet'!$B$36,N22+M23-V22)))</f>
        <v>256.39999999999998</v>
      </c>
      <c r="O23" s="13">
        <f>N23*VLOOKUP('Données projet'!$B$9,Paramètres!$A$1:$I$89,3,0)*VLOOKUP('Données projet'!$B$9,Paramètres!$A$1:$I$89,5,0)</f>
        <v>147.99408</v>
      </c>
      <c r="P23" s="13">
        <f t="shared" si="33"/>
        <v>38.122376536063122</v>
      </c>
      <c r="Q23" s="20">
        <f t="shared" si="2"/>
        <v>324.15282846697659</v>
      </c>
      <c r="R23" s="59">
        <f t="shared" si="0"/>
        <v>605.26393957808773</v>
      </c>
      <c r="S23" s="59">
        <f ca="1">AVERAGE(OFFSET($R$3,0,0,'Données projet'!$E$9+1,1))-AVERAGE(OFFSET($H$3,0,0,'Données projet'!$E$9+1,1))</f>
        <v>162.0530649500439</v>
      </c>
      <c r="T23" s="59">
        <f t="shared" si="34"/>
        <v>450.88267959505049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61.495200000000004</v>
      </c>
      <c r="AK23" s="13">
        <f t="shared" si="35"/>
        <v>17.545759224285259</v>
      </c>
      <c r="AL23" s="20">
        <f t="shared" si="4"/>
        <v>137.66300398229683</v>
      </c>
      <c r="AM23" s="59">
        <f t="shared" si="5"/>
        <v>418.774115093408</v>
      </c>
      <c r="AN23" s="59">
        <f ca="1">AVERAGE(OFFSET($AM$3,0,0,'Données projet'!$E$10+1,1))-AVERAGE(OFFSET($H$3,0,0,'Données projet'!$E$10+1,1))</f>
        <v>328.34986205643321</v>
      </c>
      <c r="AO23" s="59">
        <f t="shared" si="36"/>
        <v>251.60894449147008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1.8</v>
      </c>
      <c r="BD23" s="12">
        <f>IF('Données projet'!$A$88&gt;35,BD22+BC23-BL22,IF(A23&lt;'Données projet'!$A$88,$BA$205^A23,IF(A23='Données projet'!$A$88,'Données projet'!$B$88,BD22+BC23-BL22)))</f>
        <v>14.286609467713813</v>
      </c>
      <c r="BE23" s="13">
        <f>BD23*VLOOKUP('Données projet'!$B$11,Paramètres!$A$1:$I$89,3,0)*VLOOKUP('Données projet'!$B$11,Paramètres!$A$1:$I$89,5,0)</f>
        <v>16.269590861832491</v>
      </c>
      <c r="BF23" s="13">
        <f t="shared" si="37"/>
        <v>5.4190662023679126</v>
      </c>
      <c r="BG23" s="20">
        <f t="shared" si="7"/>
        <v>37.774411053482368</v>
      </c>
      <c r="BH23" s="59">
        <f t="shared" si="8"/>
        <v>318.88552216459351</v>
      </c>
      <c r="BI23" s="59">
        <f ca="1">AVERAGE(OFFSET($BH$3,0,0,'Données projet'!$E$11+1,1))-AVERAGE(OFFSET($H$3,0,0,'Données projet'!$E$11+1,1))</f>
        <v>250.68173853329841</v>
      </c>
      <c r="BJ23" s="59">
        <f t="shared" si="38"/>
        <v>113.25940301904359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1.8</v>
      </c>
      <c r="BY23" s="12">
        <f>IF('Données projet'!$A$114&gt;35,BY22+BX23-CG22,IF(A23&lt;'Données projet'!$A$114,$BV$205^A23,IF(A23='Données projet'!$A$114,'Données projet'!$B$114,BY22+BX23-CG22)))</f>
        <v>14.286609467713813</v>
      </c>
      <c r="BZ23" s="13">
        <f>BY23*VLOOKUP('Données projet'!$B$12,Paramètres!$A$1:$I$89,3,0)*VLOOKUP('Données projet'!$B$12,Paramètres!$A$1:$I$89,5,0)</f>
        <v>14.486622000261807</v>
      </c>
      <c r="CA23" s="13">
        <f t="shared" si="39"/>
        <v>4.8908305843004136</v>
      </c>
      <c r="CB23" s="20">
        <f t="shared" si="10"/>
        <v>33.749063251445868</v>
      </c>
      <c r="CC23" s="59">
        <f t="shared" si="11"/>
        <v>314.86017436255702</v>
      </c>
      <c r="CD23" s="59">
        <f ca="1">AVERAGE(OFFSET($CC$3,0,0,'Données projet'!$E$12+1,1))-AVERAGE(OFFSET($H$3,0,0,'Données projet'!$E$12+1,1))</f>
        <v>211.44496956344943</v>
      </c>
      <c r="CE23" s="59">
        <f t="shared" si="40"/>
        <v>98.543169293276662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6">
        <f t="shared" si="1"/>
        <v>299.84937234200714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23.980000000000008</v>
      </c>
      <c r="N24" s="13">
        <f>IF('Données projet'!$A$36&gt;35,N23+M24-V23,IF(A24&lt;'Données projet'!$A$36,$K$205^A24,IF(A24='Données projet'!$A$36,'Données projet'!$B$36,N23+M24-V23)))</f>
        <v>280.38</v>
      </c>
      <c r="O24" s="13">
        <f>N24*VLOOKUP('Données projet'!$B$9,Paramètres!$A$1:$I$89,3,0)*VLOOKUP('Données projet'!$B$9,Paramètres!$A$1:$I$89,5,0)</f>
        <v>161.83533600000001</v>
      </c>
      <c r="P24" s="13">
        <f t="shared" si="33"/>
        <v>41.256205372559187</v>
      </c>
      <c r="Q24" s="20">
        <f t="shared" si="2"/>
        <v>353.71776789054064</v>
      </c>
      <c r="R24" s="59">
        <f t="shared" si="0"/>
        <v>636.05110122387396</v>
      </c>
      <c r="S24" s="59">
        <f ca="1">AVERAGE(OFFSET($R$3,0,0,'Données projet'!$E$9+1,1))-AVERAGE(OFFSET($H$3,0,0,'Données projet'!$E$9+1,1))</f>
        <v>162.0530649500439</v>
      </c>
      <c r="T24" s="59">
        <f t="shared" si="34"/>
        <v>450.88267959505049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63.348480000000009</v>
      </c>
      <c r="AK24" s="13">
        <f t="shared" si="35"/>
        <v>18.012175511673341</v>
      </c>
      <c r="AL24" s="20">
        <f t="shared" si="4"/>
        <v>141.70314168283105</v>
      </c>
      <c r="AM24" s="59">
        <f t="shared" si="5"/>
        <v>424.03647501616433</v>
      </c>
      <c r="AN24" s="59">
        <f ca="1">AVERAGE(OFFSET($AM$3,0,0,'Données projet'!$E$10+1,1))-AVERAGE(OFFSET($H$3,0,0,'Données projet'!$E$10+1,1))</f>
        <v>328.34986205643321</v>
      </c>
      <c r="AO24" s="59">
        <f t="shared" si="36"/>
        <v>251.60894449147008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1.8</v>
      </c>
      <c r="BD24" s="12">
        <f>IF('Données projet'!$A$88&gt;35,BD23+BC24-BL23,IF(A24&lt;'Données projet'!$A$88,$BA$205^A24,IF(A24='Données projet'!$A$88,'Données projet'!$B$88,BD23+BC24-BL23)))</f>
        <v>16.31832700927982</v>
      </c>
      <c r="BE24" s="13">
        <f>BD24*VLOOKUP('Données projet'!$B$11,Paramètres!$A$1:$I$89,3,0)*VLOOKUP('Données projet'!$B$11,Paramètres!$A$1:$I$89,5,0)</f>
        <v>18.583310798167862</v>
      </c>
      <c r="BF24" s="13">
        <f t="shared" si="37"/>
        <v>6.094656416700249</v>
      </c>
      <c r="BG24" s="20">
        <f t="shared" si="7"/>
        <v>42.980792899228625</v>
      </c>
      <c r="BH24" s="59">
        <f t="shared" si="8"/>
        <v>325.31412623256193</v>
      </c>
      <c r="BI24" s="59">
        <f ca="1">AVERAGE(OFFSET($BH$3,0,0,'Données projet'!$E$11+1,1))-AVERAGE(OFFSET($H$3,0,0,'Données projet'!$E$11+1,1))</f>
        <v>250.68173853329841</v>
      </c>
      <c r="BJ24" s="59">
        <f t="shared" si="38"/>
        <v>113.25940301904359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1.8</v>
      </c>
      <c r="BY24" s="12">
        <f>IF('Données projet'!$A$114&gt;35,BY23+BX24-CG23,IF(A24&lt;'Données projet'!$A$114,$BV$205^A24,IF(A24='Données projet'!$A$114,'Données projet'!$B$114,BY23+BX24-CG23)))</f>
        <v>16.31832700927982</v>
      </c>
      <c r="BZ24" s="13">
        <f>BY24*VLOOKUP('Données projet'!$B$12,Paramètres!$A$1:$I$89,3,0)*VLOOKUP('Données projet'!$B$12,Paramètres!$A$1:$I$89,5,0)</f>
        <v>16.546783587409738</v>
      </c>
      <c r="CA24" s="13">
        <f t="shared" si="39"/>
        <v>5.500566129008627</v>
      </c>
      <c r="CB24" s="20">
        <f t="shared" si="10"/>
        <v>38.399134089428649</v>
      </c>
      <c r="CC24" s="59">
        <f t="shared" si="11"/>
        <v>320.73246742276194</v>
      </c>
      <c r="CD24" s="59">
        <f ca="1">AVERAGE(OFFSET($CC$3,0,0,'Données projet'!$E$12+1,1))-AVERAGE(OFFSET($H$3,0,0,'Données projet'!$E$12+1,1))</f>
        <v>211.44496956344943</v>
      </c>
      <c r="CE24" s="59">
        <f t="shared" si="40"/>
        <v>98.543169293276662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6">
        <f t="shared" si="1"/>
        <v>301.84538199666349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23.980000000000008</v>
      </c>
      <c r="N25" s="13">
        <f>IF('Données projet'!$A$36&gt;35,N24+M25-V24,IF(A25&lt;'Données projet'!$A$36,$K$205^A25,IF(A25='Données projet'!$A$36,'Données projet'!$B$36,N24+M25-V24)))</f>
        <v>304.36</v>
      </c>
      <c r="O25" s="13">
        <f>N25*VLOOKUP('Données projet'!$B$9,Paramètres!$A$1:$I$89,3,0)*VLOOKUP('Données projet'!$B$9,Paramètres!$A$1:$I$89,5,0)</f>
        <v>175.67659200000003</v>
      </c>
      <c r="P25" s="13">
        <f t="shared" si="33"/>
        <v>44.35895075511916</v>
      </c>
      <c r="Q25" s="20">
        <f t="shared" si="2"/>
        <v>383.22857029849928</v>
      </c>
      <c r="R25" s="59">
        <f t="shared" si="0"/>
        <v>666.78412585405476</v>
      </c>
      <c r="S25" s="59">
        <f ca="1">AVERAGE(OFFSET($R$3,0,0,'Données projet'!$E$9+1,1))-AVERAGE(OFFSET($H$3,0,0,'Données projet'!$E$9+1,1))</f>
        <v>162.0530649500439</v>
      </c>
      <c r="T25" s="59">
        <f t="shared" si="34"/>
        <v>450.88267959505049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70.256160000000023</v>
      </c>
      <c r="AK25" s="13">
        <f t="shared" si="35"/>
        <v>19.737057597671299</v>
      </c>
      <c r="AL25" s="20">
        <f t="shared" si="4"/>
        <v>156.7381873159442</v>
      </c>
      <c r="AM25" s="59">
        <f t="shared" si="5"/>
        <v>440.29374287149972</v>
      </c>
      <c r="AN25" s="59">
        <f ca="1">AVERAGE(OFFSET($AM$3,0,0,'Données projet'!$E$10+1,1))-AVERAGE(OFFSET($H$3,0,0,'Données projet'!$E$10+1,1))</f>
        <v>328.34986205643321</v>
      </c>
      <c r="AO25" s="59">
        <f t="shared" si="36"/>
        <v>251.60894449147008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1.8</v>
      </c>
      <c r="BD25" s="12">
        <f>IF('Données projet'!$A$88&gt;35,BD24+BC25-BL24,IF(A25&lt;'Données projet'!$A$88,$BA$205^A25,IF(A25='Données projet'!$A$88,'Données projet'!$B$88,BD24+BC25-BL24)))</f>
        <v>18.63897777730768</v>
      </c>
      <c r="BE25" s="13">
        <f>BD25*VLOOKUP('Données projet'!$B$11,Paramètres!$A$1:$I$89,3,0)*VLOOKUP('Données projet'!$B$11,Paramètres!$A$1:$I$89,5,0)</f>
        <v>21.226067892797985</v>
      </c>
      <c r="BF25" s="13">
        <f t="shared" si="37"/>
        <v>6.8544718684917951</v>
      </c>
      <c r="BG25" s="20">
        <f t="shared" si="7"/>
        <v>48.906940084246365</v>
      </c>
      <c r="BH25" s="59">
        <f t="shared" si="8"/>
        <v>332.46249563980189</v>
      </c>
      <c r="BI25" s="59">
        <f ca="1">AVERAGE(OFFSET($BH$3,0,0,'Données projet'!$E$11+1,1))-AVERAGE(OFFSET($H$3,0,0,'Données projet'!$E$11+1,1))</f>
        <v>250.68173853329841</v>
      </c>
      <c r="BJ25" s="59">
        <f t="shared" si="38"/>
        <v>113.25940301904359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1.8</v>
      </c>
      <c r="BY25" s="12">
        <f>IF('Données projet'!$A$114&gt;35,BY24+BX25-CG24,IF(A25&lt;'Données projet'!$A$114,$BV$205^A25,IF(A25='Données projet'!$A$114,'Données projet'!$B$114,BY24+BX25-CG24)))</f>
        <v>18.63897777730768</v>
      </c>
      <c r="BZ25" s="13">
        <f>BY25*VLOOKUP('Données projet'!$B$12,Paramètres!$A$1:$I$89,3,0)*VLOOKUP('Données projet'!$B$12,Paramètres!$A$1:$I$89,5,0)</f>
        <v>18.899923466189989</v>
      </c>
      <c r="CA25" s="13">
        <f t="shared" si="39"/>
        <v>6.1863168674702358</v>
      </c>
      <c r="CB25" s="20">
        <f t="shared" si="10"/>
        <v>43.691868581124886</v>
      </c>
      <c r="CC25" s="59">
        <f t="shared" si="11"/>
        <v>327.24742413668042</v>
      </c>
      <c r="CD25" s="59">
        <f ca="1">AVERAGE(OFFSET($CC$3,0,0,'Données projet'!$E$12+1,1))-AVERAGE(OFFSET($H$3,0,0,'Données projet'!$E$12+1,1))</f>
        <v>211.44496956344943</v>
      </c>
      <c r="CE25" s="59">
        <f t="shared" si="40"/>
        <v>98.543169293276662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6">
        <f t="shared" si="1"/>
        <v>303.83903031512267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23.980000000000008</v>
      </c>
      <c r="N26" s="13">
        <f>IF('Données projet'!$A$36&gt;35,N25+M26-V25,IF(A26&lt;'Données projet'!$A$36,$K$205^A26,IF(A26='Données projet'!$A$36,'Données projet'!$B$36,N25+M26-V25)))</f>
        <v>328.34000000000003</v>
      </c>
      <c r="O26" s="13">
        <f>N26*VLOOKUP('Données projet'!$B$9,Paramètres!$A$1:$I$89,3,0)*VLOOKUP('Données projet'!$B$9,Paramètres!$A$1:$I$89,5,0)</f>
        <v>189.51784800000001</v>
      </c>
      <c r="P26" s="13">
        <f t="shared" si="33"/>
        <v>47.433340131450827</v>
      </c>
      <c r="Q26" s="20">
        <f t="shared" si="2"/>
        <v>412.68998599561019</v>
      </c>
      <c r="R26" s="59">
        <f t="shared" si="0"/>
        <v>697.46776377338801</v>
      </c>
      <c r="S26" s="59">
        <f ca="1">AVERAGE(OFFSET($R$3,0,0,'Données projet'!$E$9+1,1))-AVERAGE(OFFSET($H$3,0,0,'Données projet'!$E$9+1,1))</f>
        <v>162.0530649500439</v>
      </c>
      <c r="T26" s="59">
        <f t="shared" si="34"/>
        <v>450.88267959505049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77.163840000000008</v>
      </c>
      <c r="AK26" s="13">
        <f t="shared" si="35"/>
        <v>21.442278213774838</v>
      </c>
      <c r="AL26" s="20">
        <f t="shared" si="4"/>
        <v>171.73898922232453</v>
      </c>
      <c r="AM26" s="59">
        <f t="shared" si="5"/>
        <v>456.51676700010228</v>
      </c>
      <c r="AN26" s="59">
        <f ca="1">AVERAGE(OFFSET($AM$3,0,0,'Données projet'!$E$10+1,1))-AVERAGE(OFFSET($H$3,0,0,'Données projet'!$E$10+1,1))</f>
        <v>328.34986205643321</v>
      </c>
      <c r="AO26" s="59">
        <f t="shared" si="36"/>
        <v>251.60894449147008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1.8</v>
      </c>
      <c r="BD26" s="12">
        <f>IF('Données projet'!$A$88&gt;35,BD25+BC26-BL25,IF(A26&lt;'Données projet'!$A$88,$BA$205^A26,IF(A26='Données projet'!$A$88,'Données projet'!$B$88,BD25+BC26-BL25)))</f>
        <v>21.289651346330135</v>
      </c>
      <c r="BE26" s="13">
        <f>BD26*VLOOKUP('Données projet'!$B$11,Paramètres!$A$1:$I$89,3,0)*VLOOKUP('Données projet'!$B$11,Paramètres!$A$1:$I$89,5,0)</f>
        <v>24.244654953200758</v>
      </c>
      <c r="BF26" s="13">
        <f t="shared" si="37"/>
        <v>7.7090128439731203</v>
      </c>
      <c r="BG26" s="20">
        <f t="shared" si="7"/>
        <v>55.652638080077843</v>
      </c>
      <c r="BH26" s="59">
        <f t="shared" si="8"/>
        <v>340.43041585785562</v>
      </c>
      <c r="BI26" s="59">
        <f ca="1">AVERAGE(OFFSET($BH$3,0,0,'Données projet'!$E$11+1,1))-AVERAGE(OFFSET($H$3,0,0,'Données projet'!$E$11+1,1))</f>
        <v>250.68173853329841</v>
      </c>
      <c r="BJ26" s="59">
        <f t="shared" si="38"/>
        <v>113.25940301904359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1.8</v>
      </c>
      <c r="BY26" s="12">
        <f>IF('Données projet'!$A$114&gt;35,BY25+BX26-CG25,IF(A26&lt;'Données projet'!$A$114,$BV$205^A26,IF(A26='Données projet'!$A$114,'Données projet'!$B$114,BY25+BX26-CG25)))</f>
        <v>21.289651346330135</v>
      </c>
      <c r="BZ26" s="13">
        <f>BY26*VLOOKUP('Données projet'!$B$12,Paramètres!$A$1:$I$89,3,0)*VLOOKUP('Données projet'!$B$12,Paramètres!$A$1:$I$89,5,0)</f>
        <v>21.587706465178758</v>
      </c>
      <c r="CA26" s="13">
        <f t="shared" si="39"/>
        <v>6.957559546992349</v>
      </c>
      <c r="CB26" s="20">
        <f t="shared" si="10"/>
        <v>49.716338304531341</v>
      </c>
      <c r="CC26" s="59">
        <f t="shared" si="11"/>
        <v>334.49411608230912</v>
      </c>
      <c r="CD26" s="59">
        <f ca="1">AVERAGE(OFFSET($CC$3,0,0,'Données projet'!$E$12+1,1))-AVERAGE(OFFSET($H$3,0,0,'Données projet'!$E$12+1,1))</f>
        <v>211.44496956344943</v>
      </c>
      <c r="CE26" s="59">
        <f t="shared" si="40"/>
        <v>98.543169293276662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6">
        <f t="shared" si="1"/>
        <v>305.83043169862646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23.980000000000008</v>
      </c>
      <c r="N27" s="13">
        <f>IF('Données projet'!$A$36&gt;35,N26+M27-V26,IF(A27&lt;'Données projet'!$A$36,$K$205^A27,IF(A27='Données projet'!$A$36,'Données projet'!$B$36,N26+M27-V26)))</f>
        <v>352.32000000000005</v>
      </c>
      <c r="O27" s="13">
        <f>N27*VLOOKUP('Données projet'!$B$9,Paramètres!$A$1:$I$89,3,0)*VLOOKUP('Données projet'!$B$9,Paramètres!$A$1:$I$89,5,0)</f>
        <v>203.35910400000003</v>
      </c>
      <c r="P27" s="13">
        <f t="shared" si="33"/>
        <v>50.481679966509844</v>
      </c>
      <c r="Q27" s="20">
        <f t="shared" si="2"/>
        <v>442.10603207500463</v>
      </c>
      <c r="R27" s="59">
        <f t="shared" si="0"/>
        <v>728.10603207500458</v>
      </c>
      <c r="S27" s="59">
        <f ca="1">AVERAGE(OFFSET($R$3,0,0,'Données projet'!$E$9+1,1))-AVERAGE(OFFSET($H$3,0,0,'Données projet'!$E$9+1,1))</f>
        <v>162.0530649500439</v>
      </c>
      <c r="T27" s="59">
        <f t="shared" si="34"/>
        <v>450.88267959505049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84.071520000000021</v>
      </c>
      <c r="AK27" s="13">
        <f t="shared" si="35"/>
        <v>23.129797599684554</v>
      </c>
      <c r="AL27" s="20">
        <f t="shared" si="4"/>
        <v>186.70896148611726</v>
      </c>
      <c r="AM27" s="59">
        <f t="shared" si="5"/>
        <v>472.70896148611723</v>
      </c>
      <c r="AN27" s="59">
        <f ca="1">AVERAGE(OFFSET($AM$3,0,0,'Données projet'!$E$10+1,1))-AVERAGE(OFFSET($H$3,0,0,'Données projet'!$E$10+1,1))</f>
        <v>328.34986205643321</v>
      </c>
      <c r="AO27" s="59">
        <f t="shared" si="36"/>
        <v>251.60894449147008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1.8</v>
      </c>
      <c r="BD27" s="12">
        <f>IF('Données projet'!$A$88&gt;35,BD26+BC27-BL26,IF(A27&lt;'Données projet'!$A$88,$BA$205^A27,IF(A27='Données projet'!$A$88,'Données projet'!$B$88,BD26+BC27-BL26)))</f>
        <v>24.317280693371075</v>
      </c>
      <c r="BE27" s="13">
        <f>BD27*VLOOKUP('Données projet'!$B$11,Paramètres!$A$1:$I$89,3,0)*VLOOKUP('Données projet'!$B$11,Paramètres!$A$1:$I$89,5,0)</f>
        <v>27.692519253610982</v>
      </c>
      <c r="BF27" s="13">
        <f t="shared" si="37"/>
        <v>8.6700886908182451</v>
      </c>
      <c r="BG27" s="20">
        <f t="shared" si="7"/>
        <v>63.331542169880898</v>
      </c>
      <c r="BH27" s="59">
        <f t="shared" si="8"/>
        <v>349.33154216988089</v>
      </c>
      <c r="BI27" s="59">
        <f ca="1">AVERAGE(OFFSET($BH$3,0,0,'Données projet'!$E$11+1,1))-AVERAGE(OFFSET($H$3,0,0,'Données projet'!$E$11+1,1))</f>
        <v>250.68173853329841</v>
      </c>
      <c r="BJ27" s="59">
        <f t="shared" si="38"/>
        <v>113.25940301904359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1.8</v>
      </c>
      <c r="BY27" s="12">
        <f>IF('Données projet'!$A$114&gt;35,BY26+BX27-CG26,IF(A27&lt;'Données projet'!$A$114,$BV$205^A27,IF(A27='Données projet'!$A$114,'Données projet'!$B$114,BY26+BX27-CG26)))</f>
        <v>24.317280693371075</v>
      </c>
      <c r="BZ27" s="13">
        <f>BY27*VLOOKUP('Données projet'!$B$12,Paramètres!$A$1:$I$89,3,0)*VLOOKUP('Données projet'!$B$12,Paramètres!$A$1:$I$89,5,0)</f>
        <v>24.657722623078271</v>
      </c>
      <c r="CA27" s="13">
        <f t="shared" si="39"/>
        <v>7.82495237262874</v>
      </c>
      <c r="CB27" s="20">
        <f t="shared" si="10"/>
        <v>56.573992284189721</v>
      </c>
      <c r="CC27" s="59">
        <f t="shared" si="11"/>
        <v>342.57399228418973</v>
      </c>
      <c r="CD27" s="59">
        <f ca="1">AVERAGE(OFFSET($CC$3,0,0,'Données projet'!$E$12+1,1))-AVERAGE(OFFSET($H$3,0,0,'Données projet'!$E$12+1,1))</f>
        <v>211.44496956344943</v>
      </c>
      <c r="CE27" s="59">
        <f t="shared" si="40"/>
        <v>98.543169293276662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6">
        <f t="shared" si="1"/>
        <v>307.81969047561677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376.3</v>
      </c>
      <c r="L28" s="12">
        <f>VLOOKUP(A28,'Données projet'!$A$35:$I$55,9,0)</f>
        <v>23.980000000000008</v>
      </c>
      <c r="M28" s="12">
        <f t="array" ref="M28">INDEX(L:L,MIN(IF(ISNUMBER(L28:L224),ROW(L28:L224),"")))</f>
        <v>23.980000000000008</v>
      </c>
      <c r="N28" s="13">
        <f>IF('Données projet'!$A$36&gt;35,N27+M28-V27,IF(A28&lt;'Données projet'!$A$36,$K$205^A28,IF(A28='Données projet'!$A$36,'Données projet'!$B$36,N27+M28-V27)))</f>
        <v>376.30000000000007</v>
      </c>
      <c r="O28" s="13">
        <f>N28*VLOOKUP('Données projet'!$B$9,Paramètres!$A$1:$I$89,3,0)*VLOOKUP('Données projet'!$B$9,Paramètres!$A$1:$I$89,5,0)</f>
        <v>217.20036000000005</v>
      </c>
      <c r="P28" s="13">
        <f t="shared" si="33"/>
        <v>53.505944984753114</v>
      </c>
      <c r="Q28" s="20">
        <f t="shared" si="2"/>
        <v>471.48014784844509</v>
      </c>
      <c r="R28" s="59">
        <f t="shared" si="0"/>
        <v>758.70237007066726</v>
      </c>
      <c r="S28" s="59">
        <f ca="1">AVERAGE(OFFSET($R$3,0,0,'Données projet'!$E$9+1,1))-AVERAGE(OFFSET($H$3,0,0,'Données projet'!$E$9+1,1))</f>
        <v>162.0530649500439</v>
      </c>
      <c r="T28" s="59">
        <f t="shared" si="34"/>
        <v>450.88267959505049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376.3</v>
      </c>
      <c r="W28" s="16">
        <f>IF(ISNA(VLOOKUP(A28,'Données projet'!$A$35:$I$55,5,0)),0%,VLOOKUP(A28,'Données projet'!$A$35:$I$55,5,0)*VLOOKUP('Données projet'!$B$9,Paramètres!$A$1:$I$89,7,0))</f>
        <v>0.48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0.1</v>
      </c>
      <c r="Z28" s="21">
        <f>EXP(-LN(2)/35)*Z27+(1-EXP(-LN(2)/35))/(LN(2)/35)*V28*W28*VLOOKUP('Données projet'!$B$9,Paramètres!$A$1:$I$89,3,0)*0.475*44/12</f>
        <v>115.25211091386882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20.493438552197958</v>
      </c>
      <c r="AC28" s="22">
        <f t="shared" si="3"/>
        <v>135.74554946606679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90.97920000000002</v>
      </c>
      <c r="AK28" s="13">
        <f t="shared" si="35"/>
        <v>24.801235516871511</v>
      </c>
      <c r="AL28" s="20">
        <f t="shared" si="4"/>
        <v>201.65092519188457</v>
      </c>
      <c r="AM28" s="59">
        <f t="shared" si="5"/>
        <v>488.87314741410682</v>
      </c>
      <c r="AN28" s="59">
        <f ca="1">AVERAGE(OFFSET($AM$3,0,0,'Données projet'!$E$10+1,1))-AVERAGE(OFFSET($H$3,0,0,'Données projet'!$E$10+1,1))</f>
        <v>328.34986205643321</v>
      </c>
      <c r="AO28" s="59">
        <f t="shared" si="36"/>
        <v>251.60894449147008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1.8</v>
      </c>
      <c r="BD28" s="12">
        <f>IF('Données projet'!$A$88&gt;35,BD27+BC28-BL27,IF(A28&lt;'Données projet'!$A$88,$BA$205^A28,IF(A28='Données projet'!$A$88,'Données projet'!$B$88,BD27+BC28-BL27)))</f>
        <v>27.775473195906979</v>
      </c>
      <c r="BE28" s="13">
        <f>BD28*VLOOKUP('Données projet'!$B$11,Paramètres!$A$1:$I$89,3,0)*VLOOKUP('Données projet'!$B$11,Paramètres!$A$1:$I$89,5,0)</f>
        <v>31.630708875498868</v>
      </c>
      <c r="BF28" s="13">
        <f t="shared" si="37"/>
        <v>9.7509810176827543</v>
      </c>
      <c r="BG28" s="20">
        <f t="shared" si="7"/>
        <v>72.073109897291332</v>
      </c>
      <c r="BH28" s="59">
        <f t="shared" si="8"/>
        <v>359.29533211951355</v>
      </c>
      <c r="BI28" s="59">
        <f ca="1">AVERAGE(OFFSET($BH$3,0,0,'Données projet'!$E$11+1,1))-AVERAGE(OFFSET($H$3,0,0,'Données projet'!$E$11+1,1))</f>
        <v>250.68173853329841</v>
      </c>
      <c r="BJ28" s="59">
        <f t="shared" si="38"/>
        <v>113.25940301904359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1.8</v>
      </c>
      <c r="BY28" s="12">
        <f>IF('Données projet'!$A$114&gt;35,BY27+BX28-CG27,IF(A28&lt;'Données projet'!$A$114,$BV$205^A28,IF(A28='Données projet'!$A$114,'Données projet'!$B$114,BY27+BX28-CG27)))</f>
        <v>27.775473195906979</v>
      </c>
      <c r="BZ28" s="13">
        <f>BY28*VLOOKUP('Données projet'!$B$12,Paramètres!$A$1:$I$89,3,0)*VLOOKUP('Données projet'!$B$12,Paramètres!$A$1:$I$89,5,0)</f>
        <v>28.16432982064968</v>
      </c>
      <c r="CA28" s="13">
        <f t="shared" si="39"/>
        <v>8.8004822984773359</v>
      </c>
      <c r="CB28" s="20">
        <f t="shared" si="10"/>
        <v>64.38038110747955</v>
      </c>
      <c r="CC28" s="59">
        <f t="shared" si="11"/>
        <v>351.60260332970176</v>
      </c>
      <c r="CD28" s="59">
        <f ca="1">AVERAGE(OFFSET($CC$3,0,0,'Données projet'!$E$12+1,1))-AVERAGE(OFFSET($H$3,0,0,'Données projet'!$E$12+1,1))</f>
        <v>211.44496956344943</v>
      </c>
      <c r="CE28" s="59">
        <f t="shared" si="40"/>
        <v>98.543169293276662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6">
        <f t="shared" si="1"/>
        <v>309.80690215583428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5.6843418860808015E-14</v>
      </c>
      <c r="O29" s="13">
        <f>N29*VLOOKUP('Données projet'!$B$9,Paramètres!$A$1:$I$89,3,0)*VLOOKUP('Données projet'!$B$9,Paramètres!$A$1:$I$89,5,0)</f>
        <v>3.2810021366458389E-14</v>
      </c>
      <c r="P29" s="13">
        <f t="shared" si="33"/>
        <v>5.6117125884464641E-13</v>
      </c>
      <c r="Q29" s="20">
        <f t="shared" si="2"/>
        <v>1.0345173963676741E-12</v>
      </c>
      <c r="R29" s="59">
        <f t="shared" si="0"/>
        <v>288.44444444444548</v>
      </c>
      <c r="S29" s="59">
        <f ca="1">AVERAGE(OFFSET($R$3,0,0,'Données projet'!$E$9+1,1))-AVERAGE(OFFSET($H$3,0,0,'Données projet'!$E$9+1,1))</f>
        <v>162.0530649500439</v>
      </c>
      <c r="T29" s="59">
        <f t="shared" si="34"/>
        <v>450.88267959505049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112.99208731569428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14.491049370089</v>
      </c>
      <c r="AC29" s="22">
        <f t="shared" si="3"/>
        <v>127.48313668578328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97.886880000000019</v>
      </c>
      <c r="AK29" s="13">
        <f t="shared" si="35"/>
        <v>26.457951797777866</v>
      </c>
      <c r="AL29" s="20">
        <f t="shared" si="4"/>
        <v>216.56724871446315</v>
      </c>
      <c r="AM29" s="59">
        <f t="shared" si="5"/>
        <v>505.01169315890763</v>
      </c>
      <c r="AN29" s="59">
        <f ca="1">AVERAGE(OFFSET($AM$3,0,0,'Données projet'!$E$10+1,1))-AVERAGE(OFFSET($H$3,0,0,'Données projet'!$E$10+1,1))</f>
        <v>328.34986205643321</v>
      </c>
      <c r="AO29" s="59">
        <f t="shared" si="36"/>
        <v>251.60894449147008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1.8</v>
      </c>
      <c r="BD29" s="12">
        <f>IF('Données projet'!$A$88&gt;35,BD28+BC29-BL28,IF(A29&lt;'Données projet'!$A$88,$BA$205^A29,IF(A29='Données projet'!$A$88,'Données projet'!$B$88,BD28+BC29-BL28)))</f>
        <v>31.725459807142535</v>
      </c>
      <c r="BE29" s="13">
        <f>BD29*VLOOKUP('Données projet'!$B$11,Paramètres!$A$1:$I$89,3,0)*VLOOKUP('Données projet'!$B$11,Paramètres!$A$1:$I$89,5,0)</f>
        <v>36.128953628373914</v>
      </c>
      <c r="BF29" s="13">
        <f t="shared" si="37"/>
        <v>10.966627239684673</v>
      </c>
      <c r="BG29" s="20">
        <f t="shared" si="7"/>
        <v>82.024803345202045</v>
      </c>
      <c r="BH29" s="59">
        <f t="shared" si="8"/>
        <v>370.46924778964649</v>
      </c>
      <c r="BI29" s="59">
        <f ca="1">AVERAGE(OFFSET($BH$3,0,0,'Données projet'!$E$11+1,1))-AVERAGE(OFFSET($H$3,0,0,'Données projet'!$E$11+1,1))</f>
        <v>250.68173853329841</v>
      </c>
      <c r="BJ29" s="59">
        <f t="shared" si="38"/>
        <v>113.25940301904359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1.8</v>
      </c>
      <c r="BY29" s="12">
        <f>IF('Données projet'!$A$114&gt;35,BY28+BX29-CG28,IF(A29&lt;'Données projet'!$A$114,$BV$205^A29,IF(A29='Données projet'!$A$114,'Données projet'!$B$114,BY28+BX29-CG28)))</f>
        <v>31.725459807142535</v>
      </c>
      <c r="BZ29" s="13">
        <f>BY29*VLOOKUP('Données projet'!$B$12,Paramètres!$A$1:$I$89,3,0)*VLOOKUP('Données projet'!$B$12,Paramètres!$A$1:$I$89,5,0)</f>
        <v>32.16961624444253</v>
      </c>
      <c r="CA29" s="13">
        <f t="shared" si="39"/>
        <v>9.8976306816541797</v>
      </c>
      <c r="CB29" s="20">
        <f t="shared" si="10"/>
        <v>73.267121729618438</v>
      </c>
      <c r="CC29" s="59">
        <f t="shared" si="11"/>
        <v>361.71156617406291</v>
      </c>
      <c r="CD29" s="59">
        <f ca="1">AVERAGE(OFFSET($CC$3,0,0,'Données projet'!$E$12+1,1))-AVERAGE(OFFSET($H$3,0,0,'Données projet'!$E$12+1,1))</f>
        <v>211.44496956344943</v>
      </c>
      <c r="CE29" s="59">
        <f t="shared" si="40"/>
        <v>98.543169293276662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6">
        <f t="shared" si="1"/>
        <v>311.79215448605208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5.6843418860808015E-14</v>
      </c>
      <c r="O30" s="13">
        <f>N30*VLOOKUP('Données projet'!$B$9,Paramètres!$A$1:$I$89,3,0)*VLOOKUP('Données projet'!$B$9,Paramètres!$A$1:$I$89,5,0)</f>
        <v>3.2810021366458389E-14</v>
      </c>
      <c r="P30" s="13">
        <f t="shared" si="33"/>
        <v>5.6117125884464641E-13</v>
      </c>
      <c r="Q30" s="20">
        <f t="shared" si="2"/>
        <v>1.0345173963676741E-12</v>
      </c>
      <c r="R30" s="59">
        <f t="shared" si="0"/>
        <v>289.66666666666771</v>
      </c>
      <c r="S30" s="59">
        <f ca="1">AVERAGE(OFFSET($R$3,0,0,'Données projet'!$E$9+1,1))-AVERAGE(OFFSET($H$3,0,0,'Données projet'!$E$9+1,1))</f>
        <v>162.0530649500439</v>
      </c>
      <c r="T30" s="59">
        <f t="shared" si="34"/>
        <v>450.88267959505049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110.77638140180166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10.246719276098981</v>
      </c>
      <c r="AC30" s="22">
        <f t="shared" si="3"/>
        <v>121.02310067790064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104.79456000000003</v>
      </c>
      <c r="AK30" s="13">
        <f t="shared" si="35"/>
        <v>28.101103481959861</v>
      </c>
      <c r="AL30" s="20">
        <f t="shared" si="4"/>
        <v>231.45994723108015</v>
      </c>
      <c r="AM30" s="59">
        <f t="shared" si="5"/>
        <v>521.12661389774689</v>
      </c>
      <c r="AN30" s="59">
        <f ca="1">AVERAGE(OFFSET($AM$3,0,0,'Données projet'!$E$10+1,1))-AVERAGE(OFFSET($H$3,0,0,'Données projet'!$E$10+1,1))</f>
        <v>328.34986205643321</v>
      </c>
      <c r="AO30" s="59">
        <f t="shared" si="36"/>
        <v>251.60894449147008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1.8</v>
      </c>
      <c r="BD30" s="12">
        <f>IF('Données projet'!$A$88&gt;35,BD29+BC30-BL29,IF(A30&lt;'Données projet'!$A$88,$BA$205^A30,IF(A30='Données projet'!$A$88,'Données projet'!$B$88,BD29+BC30-BL29)))</f>
        <v>36.237179214751805</v>
      </c>
      <c r="BE30" s="13">
        <f>BD30*VLOOKUP('Données projet'!$B$11,Paramètres!$A$1:$I$89,3,0)*VLOOKUP('Données projet'!$B$11,Paramètres!$A$1:$I$89,5,0)</f>
        <v>41.266899689759356</v>
      </c>
      <c r="BF30" s="13">
        <f t="shared" si="37"/>
        <v>12.333827006338936</v>
      </c>
      <c r="BG30" s="20">
        <f t="shared" si="7"/>
        <v>93.354598995704521</v>
      </c>
      <c r="BH30" s="59">
        <f t="shared" si="8"/>
        <v>383.02126566237121</v>
      </c>
      <c r="BI30" s="59">
        <f ca="1">AVERAGE(OFFSET($BH$3,0,0,'Données projet'!$E$11+1,1))-AVERAGE(OFFSET($H$3,0,0,'Données projet'!$E$11+1,1))</f>
        <v>250.68173853329841</v>
      </c>
      <c r="BJ30" s="59">
        <f t="shared" si="38"/>
        <v>113.25940301904359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1.8</v>
      </c>
      <c r="BY30" s="12">
        <f>IF('Données projet'!$A$114&gt;35,BY29+BX30-CG29,IF(A30&lt;'Données projet'!$A$114,$BV$205^A30,IF(A30='Données projet'!$A$114,'Données projet'!$B$114,BY29+BX30-CG29)))</f>
        <v>36.237179214751805</v>
      </c>
      <c r="BZ30" s="13">
        <f>BY30*VLOOKUP('Données projet'!$B$12,Paramètres!$A$1:$I$89,3,0)*VLOOKUP('Données projet'!$B$12,Paramètres!$A$1:$I$89,5,0)</f>
        <v>36.744499723758331</v>
      </c>
      <c r="CA30" s="13">
        <f t="shared" si="39"/>
        <v>11.131559588202549</v>
      </c>
      <c r="CB30" s="20">
        <f t="shared" si="10"/>
        <v>83.384136634998526</v>
      </c>
      <c r="CC30" s="59">
        <f t="shared" si="11"/>
        <v>373.05080330166521</v>
      </c>
      <c r="CD30" s="59">
        <f ca="1">AVERAGE(OFFSET($CC$3,0,0,'Données projet'!$E$12+1,1))-AVERAGE(OFFSET($H$3,0,0,'Données projet'!$E$12+1,1))</f>
        <v>211.44496956344943</v>
      </c>
      <c r="CE30" s="59">
        <f t="shared" si="40"/>
        <v>98.543169293276662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6">
        <f t="shared" si="1"/>
        <v>313.77552834500773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5.6843418860808015E-14</v>
      </c>
      <c r="O31" s="13">
        <f>N31*VLOOKUP('Données projet'!$B$9,Paramètres!$A$1:$I$89,3,0)*VLOOKUP('Données projet'!$B$9,Paramètres!$A$1:$I$89,5,0)</f>
        <v>3.2810021366458389E-14</v>
      </c>
      <c r="P31" s="13">
        <f t="shared" si="33"/>
        <v>5.6117125884464641E-13</v>
      </c>
      <c r="Q31" s="20">
        <f t="shared" si="2"/>
        <v>1.0345173963676741E-12</v>
      </c>
      <c r="R31" s="59">
        <f t="shared" si="0"/>
        <v>290.88888888888988</v>
      </c>
      <c r="S31" s="59">
        <f ca="1">AVERAGE(OFFSET($R$3,0,0,'Données projet'!$E$9+1,1))-AVERAGE(OFFSET($H$3,0,0,'Données projet'!$E$9+1,1))</f>
        <v>162.0530649500439</v>
      </c>
      <c r="T31" s="59">
        <f t="shared" si="34"/>
        <v>450.88267959505049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108.6041241294333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7.2455246850445008</v>
      </c>
      <c r="AC31" s="22">
        <f t="shared" si="3"/>
        <v>115.8496488144778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111.70224000000003</v>
      </c>
      <c r="AK31" s="13">
        <f t="shared" si="35"/>
        <v>29.731686445309627</v>
      </c>
      <c r="AL31" s="20">
        <f t="shared" si="4"/>
        <v>246.33075522558093</v>
      </c>
      <c r="AM31" s="59">
        <f t="shared" si="5"/>
        <v>537.21964411446982</v>
      </c>
      <c r="AN31" s="59">
        <f ca="1">AVERAGE(OFFSET($AM$3,0,0,'Données projet'!$E$10+1,1))-AVERAGE(OFFSET($H$3,0,0,'Données projet'!$E$10+1,1))</f>
        <v>328.34986205643321</v>
      </c>
      <c r="AO31" s="59">
        <f t="shared" si="36"/>
        <v>251.60894449147008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1.8</v>
      </c>
      <c r="BD31" s="12">
        <f>IF('Données projet'!$A$88&gt;35,BD30+BC31-BL30,IF(A31&lt;'Données projet'!$A$88,$BA$205^A31,IF(A31='Données projet'!$A$88,'Données projet'!$B$88,BD30+BC31-BL30)))</f>
        <v>41.390516179261404</v>
      </c>
      <c r="BE31" s="13">
        <f>BD31*VLOOKUP('Données projet'!$B$11,Paramètres!$A$1:$I$89,3,0)*VLOOKUP('Données projet'!$B$11,Paramètres!$A$1:$I$89,5,0)</f>
        <v>47.135519824942889</v>
      </c>
      <c r="BF31" s="13">
        <f t="shared" si="37"/>
        <v>13.871474364680767</v>
      </c>
      <c r="BG31" s="20">
        <f t="shared" si="7"/>
        <v>106.25384821359454</v>
      </c>
      <c r="BH31" s="59">
        <f t="shared" si="8"/>
        <v>397.14273710248341</v>
      </c>
      <c r="BI31" s="59">
        <f ca="1">AVERAGE(OFFSET($BH$3,0,0,'Données projet'!$E$11+1,1))-AVERAGE(OFFSET($H$3,0,0,'Données projet'!$E$11+1,1))</f>
        <v>250.68173853329841</v>
      </c>
      <c r="BJ31" s="59">
        <f t="shared" si="38"/>
        <v>113.25940301904359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1.8</v>
      </c>
      <c r="BY31" s="12">
        <f>IF('Données projet'!$A$114&gt;35,BY30+BX31-CG30,IF(A31&lt;'Données projet'!$A$114,$BV$205^A31,IF(A31='Données projet'!$A$114,'Données projet'!$B$114,BY30+BX31-CG30)))</f>
        <v>41.390516179261404</v>
      </c>
      <c r="BZ31" s="13">
        <f>BY31*VLOOKUP('Données projet'!$B$12,Paramètres!$A$1:$I$89,3,0)*VLOOKUP('Données projet'!$B$12,Paramètres!$A$1:$I$89,5,0)</f>
        <v>41.969983405771067</v>
      </c>
      <c r="CA31" s="13">
        <f t="shared" si="39"/>
        <v>12.519321325595763</v>
      </c>
      <c r="CB31" s="20">
        <f t="shared" si="10"/>
        <v>94.902205740463899</v>
      </c>
      <c r="CC31" s="59">
        <f t="shared" si="11"/>
        <v>385.79109462935276</v>
      </c>
      <c r="CD31" s="59">
        <f ca="1">AVERAGE(OFFSET($CC$3,0,0,'Données projet'!$E$12+1,1))-AVERAGE(OFFSET($H$3,0,0,'Données projet'!$E$12+1,1))</f>
        <v>211.44496956344943</v>
      </c>
      <c r="CE31" s="59">
        <f t="shared" si="40"/>
        <v>98.543169293276662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6">
        <f t="shared" si="1"/>
        <v>315.75709850689469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5.6843418860808015E-14</v>
      </c>
      <c r="O32" s="13">
        <f>N32*VLOOKUP('Données projet'!$B$9,Paramètres!$A$1:$I$89,3,0)*VLOOKUP('Données projet'!$B$9,Paramètres!$A$1:$I$89,5,0)</f>
        <v>3.2810021366458389E-14</v>
      </c>
      <c r="P32" s="13">
        <f t="shared" si="33"/>
        <v>5.6117125884464641E-13</v>
      </c>
      <c r="Q32" s="20">
        <f t="shared" si="2"/>
        <v>1.0345173963676741E-12</v>
      </c>
      <c r="R32" s="59">
        <f t="shared" si="0"/>
        <v>292.11111111111217</v>
      </c>
      <c r="S32" s="59">
        <f ca="1">AVERAGE(OFFSET($R$3,0,0,'Données projet'!$E$9+1,1))-AVERAGE(OFFSET($H$3,0,0,'Données projet'!$E$9+1,1))</f>
        <v>162.0530649500439</v>
      </c>
      <c r="T32" s="59">
        <f t="shared" si="34"/>
        <v>450.88267959505049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106.47446349722998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5.1233596380494912</v>
      </c>
      <c r="AC32" s="22">
        <f t="shared" si="3"/>
        <v>111.59782313527947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118.60992000000002</v>
      </c>
      <c r="AK32" s="13">
        <f t="shared" si="35"/>
        <v>31.35056643275615</v>
      </c>
      <c r="AL32" s="20">
        <f t="shared" si="4"/>
        <v>261.18118053705035</v>
      </c>
      <c r="AM32" s="59">
        <f t="shared" si="5"/>
        <v>553.29229164816149</v>
      </c>
      <c r="AN32" s="59">
        <f ca="1">AVERAGE(OFFSET($AM$3,0,0,'Données projet'!$E$10+1,1))-AVERAGE(OFFSET($H$3,0,0,'Données projet'!$E$10+1,1))</f>
        <v>328.34986205643321</v>
      </c>
      <c r="AO32" s="59">
        <f t="shared" si="36"/>
        <v>251.60894449147008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1.8</v>
      </c>
      <c r="BD32" s="12">
        <f>IF('Données projet'!$A$88&gt;35,BD31+BC32-BL31,IF(A32&lt;'Données projet'!$A$88,$BA$205^A32,IF(A32='Données projet'!$A$88,'Données projet'!$B$88,BD31+BC32-BL31)))</f>
        <v>47.276715978165399</v>
      </c>
      <c r="BE32" s="13">
        <f>BD32*VLOOKUP('Données projet'!$B$11,Paramètres!$A$1:$I$89,3,0)*VLOOKUP('Données projet'!$B$11,Paramètres!$A$1:$I$89,5,0)</f>
        <v>53.838724155934756</v>
      </c>
      <c r="BF32" s="13">
        <f t="shared" si="37"/>
        <v>15.600818865961319</v>
      </c>
      <c r="BG32" s="20">
        <f t="shared" si="7"/>
        <v>120.94053742980232</v>
      </c>
      <c r="BH32" s="59">
        <f t="shared" si="8"/>
        <v>413.05164854091345</v>
      </c>
      <c r="BI32" s="59">
        <f ca="1">AVERAGE(OFFSET($BH$3,0,0,'Données projet'!$E$11+1,1))-AVERAGE(OFFSET($H$3,0,0,'Données projet'!$E$11+1,1))</f>
        <v>250.68173853329841</v>
      </c>
      <c r="BJ32" s="59">
        <f t="shared" si="38"/>
        <v>113.25940301904359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1.8</v>
      </c>
      <c r="BY32" s="12">
        <f>IF('Données projet'!$A$114&gt;35,BY31+BX32-CG31,IF(A32&lt;'Données projet'!$A$114,$BV$205^A32,IF(A32='Données projet'!$A$114,'Données projet'!$B$114,BY31+BX32-CG31)))</f>
        <v>47.276715978165399</v>
      </c>
      <c r="BZ32" s="13">
        <f>BY32*VLOOKUP('Données projet'!$B$12,Paramètres!$A$1:$I$89,3,0)*VLOOKUP('Données projet'!$B$12,Paramètres!$A$1:$I$89,5,0)</f>
        <v>47.938590001859716</v>
      </c>
      <c r="CA32" s="13">
        <f t="shared" si="39"/>
        <v>14.080094097472745</v>
      </c>
      <c r="CB32" s="20">
        <f t="shared" si="10"/>
        <v>108.01587480633737</v>
      </c>
      <c r="CC32" s="59">
        <f t="shared" si="11"/>
        <v>400.12698591744851</v>
      </c>
      <c r="CD32" s="59">
        <f ca="1">AVERAGE(OFFSET($CC$3,0,0,'Données projet'!$E$12+1,1))-AVERAGE(OFFSET($H$3,0,0,'Données projet'!$E$12+1,1))</f>
        <v>211.44496956344943</v>
      </c>
      <c r="CE32" s="59">
        <f t="shared" si="40"/>
        <v>98.543169293276662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6">
        <f t="shared" si="1"/>
        <v>317.73693429658658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5.6843418860808015E-14</v>
      </c>
      <c r="O33" s="13">
        <f>N33*VLOOKUP('Données projet'!$B$9,Paramètres!$A$1:$I$89,3,0)*VLOOKUP('Données projet'!$B$9,Paramètres!$A$1:$I$89,5,0)</f>
        <v>3.2810021366458389E-14</v>
      </c>
      <c r="P33" s="13">
        <f t="shared" si="33"/>
        <v>5.6117125884464641E-13</v>
      </c>
      <c r="Q33" s="20">
        <f t="shared" si="2"/>
        <v>1.0345173963676741E-12</v>
      </c>
      <c r="R33" s="59">
        <f t="shared" si="0"/>
        <v>293.33333333333434</v>
      </c>
      <c r="S33" s="59">
        <f ca="1">AVERAGE(OFFSET($R$3,0,0,'Données projet'!$E$9+1,1))-AVERAGE(OFFSET($H$3,0,0,'Données projet'!$E$9+1,1))</f>
        <v>162.0530649500439</v>
      </c>
      <c r="T33" s="59">
        <f t="shared" si="34"/>
        <v>450.88267959505049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104.38656421105944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3.6227623425222513</v>
      </c>
      <c r="AC33" s="22">
        <f t="shared" si="3"/>
        <v>108.00932655358169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125.51760000000002</v>
      </c>
      <c r="AK33" s="13">
        <f t="shared" si="35"/>
        <v>32.95850265342969</v>
      </c>
      <c r="AL33" s="20">
        <f t="shared" si="4"/>
        <v>276.01254545472335</v>
      </c>
      <c r="AM33" s="59">
        <f t="shared" si="5"/>
        <v>569.34587878805667</v>
      </c>
      <c r="AN33" s="59">
        <f ca="1">AVERAGE(OFFSET($AM$3,0,0,'Données projet'!$E$10+1,1))-AVERAGE(OFFSET($H$3,0,0,'Données projet'!$E$10+1,1))</f>
        <v>328.34986205643321</v>
      </c>
      <c r="AO33" s="59">
        <f t="shared" si="36"/>
        <v>251.60894449147008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</v>
      </c>
      <c r="BB33" s="12">
        <f>VLOOKUP(A33,'Données projet'!$A$87:$I$107,9,0)</f>
        <v>1.8</v>
      </c>
      <c r="BC33" s="12">
        <f t="array" ref="BC33">INDEX(BB:BB,MIN(IF(ISNUMBER(BB33:BB229),ROW(BB33:BB229),"")))</f>
        <v>1.8</v>
      </c>
      <c r="BD33" s="12">
        <f>IF('Données projet'!$A$88&gt;35,BD32+BC33-BL32,IF(A33&lt;'Données projet'!$A$88,$BA$205^A33,IF(A33='Données projet'!$A$88,'Données projet'!$B$88,BD32+BC33-BL32)))</f>
        <v>54</v>
      </c>
      <c r="BE33" s="13">
        <f>BD33*VLOOKUP('Données projet'!$B$11,Paramètres!$A$1:$I$89,3,0)*VLOOKUP('Données projet'!$B$11,Paramètres!$A$1:$I$89,5,0)</f>
        <v>61.495200000000004</v>
      </c>
      <c r="BF33" s="13">
        <f t="shared" si="37"/>
        <v>17.545759224285259</v>
      </c>
      <c r="BG33" s="20">
        <f t="shared" si="7"/>
        <v>137.66300398229683</v>
      </c>
      <c r="BH33" s="59">
        <f t="shared" si="8"/>
        <v>430.99633731563017</v>
      </c>
      <c r="BI33" s="59">
        <f ca="1">AVERAGE(OFFSET($BH$3,0,0,'Données projet'!$E$11+1,1))-AVERAGE(OFFSET($H$3,0,0,'Données projet'!$E$11+1,1))</f>
        <v>250.68173853329841</v>
      </c>
      <c r="BJ33" s="59">
        <f t="shared" si="38"/>
        <v>113.25940301904359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1.8</v>
      </c>
      <c r="BX33" s="12">
        <f t="array" ref="BX33">INDEX(BW:BW,MIN(IF(ISNUMBER(BW33:BW229),ROW(BW33:BW229),"")))</f>
        <v>1.8</v>
      </c>
      <c r="BY33" s="12">
        <f>IF('Données projet'!$A$114&gt;35,BY32+BX33-CG32,IF(A33&lt;'Données projet'!$A$114,$BV$205^A33,IF(A33='Données projet'!$A$114,'Données projet'!$B$114,BY32+BX33-CG32)))</f>
        <v>54</v>
      </c>
      <c r="BZ33" s="13">
        <f>BY33*VLOOKUP('Données projet'!$B$12,Paramètres!$A$1:$I$89,3,0)*VLOOKUP('Données projet'!$B$12,Paramètres!$A$1:$I$89,5,0)</f>
        <v>54.756000000000007</v>
      </c>
      <c r="CA33" s="13">
        <f t="shared" si="39"/>
        <v>15.835447037242044</v>
      </c>
      <c r="CB33" s="20">
        <f t="shared" si="10"/>
        <v>122.94677025652992</v>
      </c>
      <c r="CC33" s="59">
        <f t="shared" si="11"/>
        <v>416.28010358986324</v>
      </c>
      <c r="CD33" s="59">
        <f ca="1">AVERAGE(OFFSET($CC$3,0,0,'Données projet'!$E$12+1,1))-AVERAGE(OFFSET($H$3,0,0,'Données projet'!$E$12+1,1))</f>
        <v>211.44496956344943</v>
      </c>
      <c r="CE33" s="59">
        <f t="shared" si="40"/>
        <v>98.543169293276662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6">
        <f t="shared" si="1"/>
        <v>319.71510015504356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5.6843418860808015E-14</v>
      </c>
      <c r="O34" s="13">
        <f>N34*VLOOKUP('Données projet'!$B$9,Paramètres!$A$1:$I$89,3,0)*VLOOKUP('Données projet'!$B$9,Paramètres!$A$1:$I$89,5,0)</f>
        <v>3.2810021366458389E-14</v>
      </c>
      <c r="P34" s="13">
        <f t="shared" si="33"/>
        <v>5.6117125884464641E-13</v>
      </c>
      <c r="Q34" s="20">
        <f t="shared" si="2"/>
        <v>1.0345173963676741E-12</v>
      </c>
      <c r="R34" s="59">
        <f t="shared" si="0"/>
        <v>293.33333333333434</v>
      </c>
      <c r="S34" s="59">
        <f ca="1">AVERAGE(OFFSET($R$3,0,0,'Données projet'!$E$9+1,1))-AVERAGE(OFFSET($H$3,0,0,'Données projet'!$E$9+1,1))</f>
        <v>162.0530649500439</v>
      </c>
      <c r="T34" s="59">
        <f t="shared" si="34"/>
        <v>450.88267959505049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102.33960735639789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2.5616798190247461</v>
      </c>
      <c r="AC34" s="22">
        <f t="shared" si="3"/>
        <v>104.90128717542264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104</v>
      </c>
      <c r="AJ34" s="13">
        <f>AI34*VLOOKUP('Données projet'!$B$10,Paramètres!$A$1:$I$89,3,0)*VLOOKUP('Données projet'!$B$10,Paramètres!$A$1:$I$89,5,0)</f>
        <v>87.609600000000015</v>
      </c>
      <c r="AK34" s="13">
        <f t="shared" si="35"/>
        <v>23.987817980868787</v>
      </c>
      <c r="AL34" s="20">
        <f t="shared" si="4"/>
        <v>194.36550298334649</v>
      </c>
      <c r="AM34" s="59">
        <f t="shared" si="5"/>
        <v>487.69883631667983</v>
      </c>
      <c r="AN34" s="59">
        <f ca="1">AVERAGE(OFFSET($AM$3,0,0,'Données projet'!$E$10+1,1))-AVERAGE(OFFSET($H$3,0,0,'Données projet'!$E$10+1,1))</f>
        <v>328.34986205643321</v>
      </c>
      <c r="AO34" s="59">
        <f t="shared" si="36"/>
        <v>251.60894449147008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5.2</v>
      </c>
      <c r="BD34" s="12">
        <f>IF('Données projet'!$A$88&gt;35,BD33+BC34-BL33,IF(A34&lt;'Données projet'!$A$88,$BA$205^A34,IF(A34='Données projet'!$A$88,'Données projet'!$B$88,BD33+BC34-BL33)))</f>
        <v>59.2</v>
      </c>
      <c r="BE34" s="13">
        <f>BD34*VLOOKUP('Données projet'!$B$11,Paramètres!$A$1:$I$89,3,0)*VLOOKUP('Données projet'!$B$11,Paramètres!$A$1:$I$89,5,0)</f>
        <v>67.416960000000003</v>
      </c>
      <c r="BF34" s="13">
        <f t="shared" si="37"/>
        <v>19.030600798613847</v>
      </c>
      <c r="BG34" s="20">
        <f t="shared" si="7"/>
        <v>150.56283505758577</v>
      </c>
      <c r="BH34" s="59">
        <f t="shared" si="8"/>
        <v>443.89616839091912</v>
      </c>
      <c r="BI34" s="59">
        <f ca="1">AVERAGE(OFFSET($BH$3,0,0,'Données projet'!$E$11+1,1))-AVERAGE(OFFSET($H$3,0,0,'Données projet'!$E$11+1,1))</f>
        <v>250.68173853329841</v>
      </c>
      <c r="BJ34" s="59">
        <f t="shared" si="38"/>
        <v>113.25940301904359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5.2</v>
      </c>
      <c r="BY34" s="12">
        <f>IF('Données projet'!$A$114&gt;35,BY33+BX34-CG33,IF(A34&lt;'Données projet'!$A$114,$BV$205^A34,IF(A34='Données projet'!$A$114,'Données projet'!$B$114,BY33+BX34-CG33)))</f>
        <v>59.2</v>
      </c>
      <c r="BZ34" s="13">
        <f>BY34*VLOOKUP('Données projet'!$B$12,Paramètres!$A$1:$I$89,3,0)*VLOOKUP('Données projet'!$B$12,Paramètres!$A$1:$I$89,5,0)</f>
        <v>60.028800000000011</v>
      </c>
      <c r="CA34" s="13">
        <f t="shared" si="39"/>
        <v>17.175550352716172</v>
      </c>
      <c r="CB34" s="20">
        <f t="shared" si="10"/>
        <v>134.46424353098067</v>
      </c>
      <c r="CC34" s="59">
        <f t="shared" si="11"/>
        <v>427.79757686431401</v>
      </c>
      <c r="CD34" s="59">
        <f ca="1">AVERAGE(OFFSET($CC$3,0,0,'Données projet'!$E$12+1,1))-AVERAGE(OFFSET($H$3,0,0,'Données projet'!$E$12+1,1))</f>
        <v>211.44496956344943</v>
      </c>
      <c r="CE34" s="59">
        <f t="shared" si="40"/>
        <v>98.543169293276662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6">
        <f t="shared" si="1"/>
        <v>321.69165612971409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5.6843418860808015E-14</v>
      </c>
      <c r="O35" s="13">
        <f>N35*VLOOKUP('Données projet'!$B$9,Paramètres!$A$1:$I$89,3,0)*VLOOKUP('Données projet'!$B$9,Paramètres!$A$1:$I$89,5,0)</f>
        <v>3.2810021366458389E-14</v>
      </c>
      <c r="P35" s="13">
        <f t="shared" si="33"/>
        <v>5.6117125884464641E-13</v>
      </c>
      <c r="Q35" s="20">
        <f t="shared" ref="Q35:Q66" si="53">(O35+P35)*0.475*44/12</f>
        <v>1.0345173963676741E-12</v>
      </c>
      <c r="R35" s="59">
        <f t="shared" si="0"/>
        <v>293.33333333333434</v>
      </c>
      <c r="S35" s="59">
        <f ca="1">AVERAGE(OFFSET($R$3,0,0,'Données projet'!$E$9+1,1))-AVERAGE(OFFSET($H$3,0,0,'Données projet'!$E$9+1,1))</f>
        <v>162.0530649500439</v>
      </c>
      <c r="T35" s="59">
        <f t="shared" si="34"/>
        <v>450.88267959505049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100.33279007713585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1.8113811712611259</v>
      </c>
      <c r="AC35" s="22">
        <f t="shared" si="3"/>
        <v>102.14417124839699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115</v>
      </c>
      <c r="AJ35" s="13">
        <f>AI35*VLOOKUP('Données projet'!$B$10,Paramètres!$A$1:$I$89,3,0)*VLOOKUP('Données projet'!$B$10,Paramètres!$A$1:$I$89,5,0)</f>
        <v>96.876000000000005</v>
      </c>
      <c r="AK35" s="13">
        <f t="shared" si="35"/>
        <v>26.21637845945024</v>
      </c>
      <c r="AL35" s="20">
        <f t="shared" si="4"/>
        <v>214.38589248354251</v>
      </c>
      <c r="AM35" s="59">
        <f t="shared" si="5"/>
        <v>507.71922581687579</v>
      </c>
      <c r="AN35" s="59">
        <f ca="1">AVERAGE(OFFSET($AM$3,0,0,'Données projet'!$E$10+1,1))-AVERAGE(OFFSET($H$3,0,0,'Données projet'!$E$10+1,1))</f>
        <v>328.34986205643321</v>
      </c>
      <c r="AO35" s="59">
        <f t="shared" si="36"/>
        <v>251.60894449147008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5.2</v>
      </c>
      <c r="BD35" s="12">
        <f>IF('Données projet'!$A$88&gt;35,BD34+BC35-BL34,IF(A35&lt;'Données projet'!$A$88,$BA$205^A35,IF(A35='Données projet'!$A$88,'Données projet'!$B$88,BD34+BC35-BL34)))</f>
        <v>64.400000000000006</v>
      </c>
      <c r="BE35" s="13">
        <f>BD35*VLOOKUP('Données projet'!$B$11,Paramètres!$A$1:$I$89,3,0)*VLOOKUP('Données projet'!$B$11,Paramètres!$A$1:$I$89,5,0)</f>
        <v>73.338720000000009</v>
      </c>
      <c r="BF35" s="13">
        <f t="shared" si="37"/>
        <v>20.500317703224091</v>
      </c>
      <c r="BG35" s="20">
        <f t="shared" si="7"/>
        <v>163.43632399978199</v>
      </c>
      <c r="BH35" s="59">
        <f t="shared" si="8"/>
        <v>456.76965733311533</v>
      </c>
      <c r="BI35" s="59">
        <f ca="1">AVERAGE(OFFSET($BH$3,0,0,'Données projet'!$E$11+1,1))-AVERAGE(OFFSET($H$3,0,0,'Données projet'!$E$11+1,1))</f>
        <v>250.68173853329841</v>
      </c>
      <c r="BJ35" s="59">
        <f t="shared" si="38"/>
        <v>113.25940301904359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5.2</v>
      </c>
      <c r="BY35" s="12">
        <f>IF('Données projet'!$A$114&gt;35,BY34+BX35-CG34,IF(A35&lt;'Données projet'!$A$114,$BV$205^A35,IF(A35='Données projet'!$A$114,'Données projet'!$B$114,BY34+BX35-CG34)))</f>
        <v>64.400000000000006</v>
      </c>
      <c r="BZ35" s="13">
        <f>BY35*VLOOKUP('Données projet'!$B$12,Paramètres!$A$1:$I$89,3,0)*VLOOKUP('Données projet'!$B$12,Paramètres!$A$1:$I$89,5,0)</f>
        <v>65.301600000000008</v>
      </c>
      <c r="CA35" s="13">
        <f t="shared" si="39"/>
        <v>18.502003309535596</v>
      </c>
      <c r="CB35" s="20">
        <f t="shared" si="10"/>
        <v>145.95794243077449</v>
      </c>
      <c r="CC35" s="59">
        <f t="shared" si="11"/>
        <v>439.29127576410781</v>
      </c>
      <c r="CD35" s="59">
        <f ca="1">AVERAGE(OFFSET($CC$3,0,0,'Données projet'!$E$12+1,1))-AVERAGE(OFFSET($H$3,0,0,'Données projet'!$E$12+1,1))</f>
        <v>211.44496956344943</v>
      </c>
      <c r="CE35" s="59">
        <f t="shared" si="40"/>
        <v>98.543169293276662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6">
        <f t="shared" si="1"/>
        <v>323.66665830191403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5.6843418860808015E-14</v>
      </c>
      <c r="O36" s="13">
        <f>N36*VLOOKUP('Données projet'!$B$9,Paramètres!$A$1:$I$89,3,0)*VLOOKUP('Données projet'!$B$9,Paramètres!$A$1:$I$89,5,0)</f>
        <v>3.2810021366458389E-14</v>
      </c>
      <c r="P36" s="13">
        <f t="shared" si="33"/>
        <v>5.6117125884464641E-13</v>
      </c>
      <c r="Q36" s="20">
        <f t="shared" si="53"/>
        <v>1.0345173963676741E-12</v>
      </c>
      <c r="R36" s="59">
        <f t="shared" si="0"/>
        <v>293.33333333333434</v>
      </c>
      <c r="S36" s="59">
        <f ca="1">AVERAGE(OFFSET($R$3,0,0,'Données projet'!$E$9+1,1))-AVERAGE(OFFSET($H$3,0,0,'Données projet'!$E$9+1,1))</f>
        <v>162.0530649500439</v>
      </c>
      <c r="T36" s="59">
        <f t="shared" si="34"/>
        <v>450.88267959505049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98.365325260682468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1.2808399095123733</v>
      </c>
      <c r="AC36" s="22">
        <f t="shared" si="3"/>
        <v>99.646165170194848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126</v>
      </c>
      <c r="AJ36" s="13">
        <f>AI36*VLOOKUP('Données projet'!$B$10,Paramètres!$A$1:$I$89,3,0)*VLOOKUP('Données projet'!$B$10,Paramètres!$A$1:$I$89,5,0)</f>
        <v>106.14240000000001</v>
      </c>
      <c r="AK36" s="13">
        <f t="shared" si="35"/>
        <v>28.420224211524975</v>
      </c>
      <c r="AL36" s="20">
        <f t="shared" si="4"/>
        <v>234.36323716840602</v>
      </c>
      <c r="AM36" s="59">
        <f t="shared" si="5"/>
        <v>527.6965705017393</v>
      </c>
      <c r="AN36" s="59">
        <f ca="1">AVERAGE(OFFSET($AM$3,0,0,'Données projet'!$E$10+1,1))-AVERAGE(OFFSET($H$3,0,0,'Données projet'!$E$10+1,1))</f>
        <v>328.34986205643321</v>
      </c>
      <c r="AO36" s="59">
        <f t="shared" si="36"/>
        <v>251.60894449147008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5.2</v>
      </c>
      <c r="BD36" s="12">
        <f>IF('Données projet'!$A$88&gt;35,BD35+BC36-BL35,IF(A36&lt;'Données projet'!$A$88,$BA$205^A36,IF(A36='Données projet'!$A$88,'Données projet'!$B$88,BD35+BC36-BL35)))</f>
        <v>69.600000000000009</v>
      </c>
      <c r="BE36" s="13">
        <f>BD36*VLOOKUP('Données projet'!$B$11,Paramètres!$A$1:$I$89,3,0)*VLOOKUP('Données projet'!$B$11,Paramètres!$A$1:$I$89,5,0)</f>
        <v>79.260480000000015</v>
      </c>
      <c r="BF36" s="13">
        <f t="shared" si="37"/>
        <v>21.956270028417133</v>
      </c>
      <c r="BG36" s="20">
        <f t="shared" si="7"/>
        <v>176.28583963282654</v>
      </c>
      <c r="BH36" s="59">
        <f t="shared" si="8"/>
        <v>469.61917296615985</v>
      </c>
      <c r="BI36" s="59">
        <f ca="1">AVERAGE(OFFSET($BH$3,0,0,'Données projet'!$E$11+1,1))-AVERAGE(OFFSET($H$3,0,0,'Données projet'!$E$11+1,1))</f>
        <v>250.68173853329841</v>
      </c>
      <c r="BJ36" s="59">
        <f t="shared" si="38"/>
        <v>113.25940301904359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5.2</v>
      </c>
      <c r="BY36" s="12">
        <f>IF('Données projet'!$A$114&gt;35,BY35+BX36-CG35,IF(A36&lt;'Données projet'!$A$114,$BV$205^A36,IF(A36='Données projet'!$A$114,'Données projet'!$B$114,BY35+BX36-CG35)))</f>
        <v>69.600000000000009</v>
      </c>
      <c r="BZ36" s="13">
        <f>BY36*VLOOKUP('Données projet'!$B$12,Paramètres!$A$1:$I$89,3,0)*VLOOKUP('Données projet'!$B$12,Paramètres!$A$1:$I$89,5,0)</f>
        <v>70.574400000000011</v>
      </c>
      <c r="CA36" s="13">
        <f t="shared" si="39"/>
        <v>19.816033420152426</v>
      </c>
      <c r="CB36" s="20">
        <f t="shared" si="10"/>
        <v>157.43000487343215</v>
      </c>
      <c r="CC36" s="59">
        <f t="shared" si="11"/>
        <v>450.76333820676547</v>
      </c>
      <c r="CD36" s="59">
        <f ca="1">AVERAGE(OFFSET($CC$3,0,0,'Données projet'!$E$12+1,1))-AVERAGE(OFFSET($H$3,0,0,'Données projet'!$E$12+1,1))</f>
        <v>211.44496956344943</v>
      </c>
      <c r="CE36" s="59">
        <f t="shared" si="40"/>
        <v>98.543169293276662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6">
        <f t="shared" si="1"/>
        <v>325.64015916094684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5.6843418860808015E-14</v>
      </c>
      <c r="O37" s="13">
        <f>N37*VLOOKUP('Données projet'!$B$9,Paramètres!$A$1:$I$89,3,0)*VLOOKUP('Données projet'!$B$9,Paramètres!$A$1:$I$89,5,0)</f>
        <v>3.2810021366458389E-14</v>
      </c>
      <c r="P37" s="13">
        <f t="shared" si="33"/>
        <v>5.6117125884464641E-13</v>
      </c>
      <c r="Q37" s="20">
        <f t="shared" si="53"/>
        <v>1.0345173963676741E-12</v>
      </c>
      <c r="R37" s="59">
        <f t="shared" si="0"/>
        <v>293.33333333333434</v>
      </c>
      <c r="S37" s="59">
        <f ca="1">AVERAGE(OFFSET($R$3,0,0,'Données projet'!$E$9+1,1))-AVERAGE(OFFSET($H$3,0,0,'Données projet'!$E$9+1,1))</f>
        <v>162.0530649500439</v>
      </c>
      <c r="T37" s="59">
        <f t="shared" si="34"/>
        <v>450.88267959505049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96.436441229244693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0.90569058563056315</v>
      </c>
      <c r="AC37" s="22">
        <f t="shared" si="3"/>
        <v>97.342131814875259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137</v>
      </c>
      <c r="AJ37" s="13">
        <f>AI37*VLOOKUP('Données projet'!$B$10,Paramètres!$A$1:$I$89,3,0)*VLOOKUP('Données projet'!$B$10,Paramètres!$A$1:$I$89,5,0)</f>
        <v>115.40880000000001</v>
      </c>
      <c r="AK37" s="13">
        <f t="shared" si="35"/>
        <v>30.60175820334798</v>
      </c>
      <c r="AL37" s="20">
        <f t="shared" si="4"/>
        <v>254.30172220416441</v>
      </c>
      <c r="AM37" s="59">
        <f t="shared" si="5"/>
        <v>547.63505553749769</v>
      </c>
      <c r="AN37" s="59">
        <f ca="1">AVERAGE(OFFSET($AM$3,0,0,'Données projet'!$E$10+1,1))-AVERAGE(OFFSET($H$3,0,0,'Données projet'!$E$10+1,1))</f>
        <v>328.34986205643321</v>
      </c>
      <c r="AO37" s="59">
        <f t="shared" si="36"/>
        <v>251.60894449147008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5.2</v>
      </c>
      <c r="BD37" s="12">
        <f>IF('Données projet'!$A$88&gt;35,BD36+BC37-BL36,IF(A37&lt;'Données projet'!$A$88,$BA$205^A37,IF(A37='Données projet'!$A$88,'Données projet'!$B$88,BD36+BC37-BL36)))</f>
        <v>74.800000000000011</v>
      </c>
      <c r="BE37" s="13">
        <f>BD37*VLOOKUP('Données projet'!$B$11,Paramètres!$A$1:$I$89,3,0)*VLOOKUP('Données projet'!$B$11,Paramètres!$A$1:$I$89,5,0)</f>
        <v>85.182240000000007</v>
      </c>
      <c r="BF37" s="13">
        <f t="shared" si="37"/>
        <v>23.399603100318654</v>
      </c>
      <c r="BG37" s="20">
        <f t="shared" si="7"/>
        <v>189.11337673305502</v>
      </c>
      <c r="BH37" s="59">
        <f t="shared" si="8"/>
        <v>482.44671006638833</v>
      </c>
      <c r="BI37" s="59">
        <f ca="1">AVERAGE(OFFSET($BH$3,0,0,'Données projet'!$E$11+1,1))-AVERAGE(OFFSET($H$3,0,0,'Données projet'!$E$11+1,1))</f>
        <v>250.68173853329841</v>
      </c>
      <c r="BJ37" s="59">
        <f t="shared" si="38"/>
        <v>113.25940301904359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5.2</v>
      </c>
      <c r="BY37" s="12">
        <f>IF('Données projet'!$A$114&gt;35,BY36+BX37-CG36,IF(A37&lt;'Données projet'!$A$114,$BV$205^A37,IF(A37='Données projet'!$A$114,'Données projet'!$B$114,BY36+BX37-CG36)))</f>
        <v>74.800000000000011</v>
      </c>
      <c r="BZ37" s="13">
        <f>BY37*VLOOKUP('Données projet'!$B$12,Paramètres!$A$1:$I$89,3,0)*VLOOKUP('Données projet'!$B$12,Paramètres!$A$1:$I$89,5,0)</f>
        <v>75.847200000000015</v>
      </c>
      <c r="CA37" s="13">
        <f t="shared" si="39"/>
        <v>21.11867436746244</v>
      </c>
      <c r="CB37" s="20">
        <f t="shared" si="10"/>
        <v>168.8822311899971</v>
      </c>
      <c r="CC37" s="59">
        <f t="shared" si="11"/>
        <v>462.21556452333039</v>
      </c>
      <c r="CD37" s="59">
        <f ca="1">AVERAGE(OFFSET($CC$3,0,0,'Données projet'!$E$12+1,1))-AVERAGE(OFFSET($H$3,0,0,'Données projet'!$E$12+1,1))</f>
        <v>211.44496956344943</v>
      </c>
      <c r="CE37" s="59">
        <f t="shared" si="40"/>
        <v>98.543169293276662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6">
        <f t="shared" si="1"/>
        <v>327.61220793297304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5.6843418860808015E-14</v>
      </c>
      <c r="O38" s="13">
        <f>N38*VLOOKUP('Données projet'!$B$9,Paramètres!$A$1:$I$89,3,0)*VLOOKUP('Données projet'!$B$9,Paramètres!$A$1:$I$89,5,0)</f>
        <v>3.2810021366458389E-14</v>
      </c>
      <c r="P38" s="13">
        <f t="shared" si="33"/>
        <v>5.6117125884464641E-13</v>
      </c>
      <c r="Q38" s="20">
        <f t="shared" si="53"/>
        <v>1.0345173963676741E-12</v>
      </c>
      <c r="R38" s="59">
        <f t="shared" si="0"/>
        <v>293.33333333333434</v>
      </c>
      <c r="S38" s="59">
        <f ca="1">AVERAGE(OFFSET($R$3,0,0,'Données projet'!$E$9+1,1))-AVERAGE(OFFSET($H$3,0,0,'Données projet'!$E$9+1,1))</f>
        <v>162.0530649500439</v>
      </c>
      <c r="T38" s="59">
        <f t="shared" si="34"/>
        <v>450.88267959505049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94.545381437160316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0.64041995475618674</v>
      </c>
      <c r="AC38" s="22">
        <f t="shared" si="3"/>
        <v>95.185801391916499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148</v>
      </c>
      <c r="AJ38" s="13">
        <f>AI38*VLOOKUP('Données projet'!$B$10,Paramètres!$A$1:$I$89,3,0)*VLOOKUP('Données projet'!$B$10,Paramètres!$A$1:$I$89,5,0)</f>
        <v>124.6752</v>
      </c>
      <c r="AK38" s="13">
        <f t="shared" si="35"/>
        <v>32.762975561628714</v>
      </c>
      <c r="AL38" s="20">
        <f t="shared" si="4"/>
        <v>274.20482243650338</v>
      </c>
      <c r="AM38" s="59">
        <f t="shared" si="5"/>
        <v>567.53815576983675</v>
      </c>
      <c r="AN38" s="59">
        <f ca="1">AVERAGE(OFFSET($AM$3,0,0,'Données projet'!$E$10+1,1))-AVERAGE(OFFSET($H$3,0,0,'Données projet'!$E$10+1,1))</f>
        <v>328.34986205643321</v>
      </c>
      <c r="AO38" s="59">
        <f t="shared" si="36"/>
        <v>251.60894449147008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5.2</v>
      </c>
      <c r="BD38" s="12">
        <f>IF('Données projet'!$A$88&gt;35,BD37+BC38-BL37,IF(A38&lt;'Données projet'!$A$88,$BA$205^A38,IF(A38='Données projet'!$A$88,'Données projet'!$B$88,BD37+BC38-BL37)))</f>
        <v>80.000000000000014</v>
      </c>
      <c r="BE38" s="13">
        <f>BD38*VLOOKUP('Données projet'!$B$11,Paramètres!$A$1:$I$89,3,0)*VLOOKUP('Données projet'!$B$11,Paramètres!$A$1:$I$89,5,0)</f>
        <v>91.104000000000013</v>
      </c>
      <c r="BF38" s="13">
        <f t="shared" si="37"/>
        <v>24.831293984707884</v>
      </c>
      <c r="BG38" s="20">
        <f t="shared" si="7"/>
        <v>201.92063702336625</v>
      </c>
      <c r="BH38" s="59">
        <f t="shared" si="8"/>
        <v>495.2539703566996</v>
      </c>
      <c r="BI38" s="59">
        <f ca="1">AVERAGE(OFFSET($BH$3,0,0,'Données projet'!$E$11+1,1))-AVERAGE(OFFSET($H$3,0,0,'Données projet'!$E$11+1,1))</f>
        <v>250.68173853329841</v>
      </c>
      <c r="BJ38" s="59">
        <f t="shared" si="38"/>
        <v>113.25940301904359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5.2</v>
      </c>
      <c r="BY38" s="12">
        <f>IF('Données projet'!$A$114&gt;35,BY37+BX38-CG37,IF(A38&lt;'Données projet'!$A$114,$BV$205^A38,IF(A38='Données projet'!$A$114,'Données projet'!$B$114,BY37+BX38-CG37)))</f>
        <v>80.000000000000014</v>
      </c>
      <c r="BZ38" s="13">
        <f>BY38*VLOOKUP('Données projet'!$B$12,Paramètres!$A$1:$I$89,3,0)*VLOOKUP('Données projet'!$B$12,Paramètres!$A$1:$I$89,5,0)</f>
        <v>81.120000000000019</v>
      </c>
      <c r="CA38" s="13">
        <f t="shared" si="39"/>
        <v>22.410807975569174</v>
      </c>
      <c r="CB38" s="20">
        <f t="shared" si="10"/>
        <v>180.31615722411632</v>
      </c>
      <c r="CC38" s="59">
        <f t="shared" si="11"/>
        <v>473.64949055744967</v>
      </c>
      <c r="CD38" s="59">
        <f ca="1">AVERAGE(OFFSET($CC$3,0,0,'Données projet'!$E$12+1,1))-AVERAGE(OFFSET($H$3,0,0,'Données projet'!$E$12+1,1))</f>
        <v>211.44496956344943</v>
      </c>
      <c r="CE38" s="59">
        <f t="shared" si="40"/>
        <v>98.543169293276662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6">
        <f t="shared" si="1"/>
        <v>329.58285087123795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5.6843418860808015E-14</v>
      </c>
      <c r="O39" s="13">
        <f>N39*VLOOKUP('Données projet'!$B$9,Paramètres!$A$1:$I$89,3,0)*VLOOKUP('Données projet'!$B$9,Paramètres!$A$1:$I$89,5,0)</f>
        <v>3.2810021366458389E-14</v>
      </c>
      <c r="P39" s="13">
        <f t="shared" si="33"/>
        <v>5.6117125884464641E-13</v>
      </c>
      <c r="Q39" s="20">
        <f t="shared" si="53"/>
        <v>1.0345173963676741E-12</v>
      </c>
      <c r="R39" s="59">
        <f t="shared" si="0"/>
        <v>293.33333333333434</v>
      </c>
      <c r="S39" s="59">
        <f ca="1">AVERAGE(OFFSET($R$3,0,0,'Données projet'!$E$9+1,1))-AVERAGE(OFFSET($H$3,0,0,'Données projet'!$E$9+1,1))</f>
        <v>162.0530649500439</v>
      </c>
      <c r="T39" s="59">
        <f t="shared" si="34"/>
        <v>450.88267959505049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92.691404174166138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0.45284529281528163</v>
      </c>
      <c r="AC39" s="22">
        <f t="shared" si="3"/>
        <v>93.144249466981421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159</v>
      </c>
      <c r="AJ39" s="13">
        <f>AI39*VLOOKUP('Données projet'!$B$10,Paramètres!$A$1:$I$89,3,0)*VLOOKUP('Données projet'!$B$10,Paramètres!$A$1:$I$89,5,0)</f>
        <v>133.94159999999999</v>
      </c>
      <c r="AK39" s="13">
        <f t="shared" si="35"/>
        <v>34.905558014330531</v>
      </c>
      <c r="AL39" s="20">
        <f t="shared" si="4"/>
        <v>294.07546687495898</v>
      </c>
      <c r="AM39" s="59">
        <f t="shared" si="5"/>
        <v>587.40880020829229</v>
      </c>
      <c r="AN39" s="59">
        <f ca="1">AVERAGE(OFFSET($AM$3,0,0,'Données projet'!$E$10+1,1))-AVERAGE(OFFSET($H$3,0,0,'Données projet'!$E$10+1,1))</f>
        <v>328.34986205643321</v>
      </c>
      <c r="AO39" s="59">
        <f t="shared" si="36"/>
        <v>251.60894449147008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5.2</v>
      </c>
      <c r="BD39" s="12">
        <f>IF('Données projet'!$A$88&gt;35,BD38+BC39-BL38,IF(A39&lt;'Données projet'!$A$88,$BA$205^A39,IF(A39='Données projet'!$A$88,'Données projet'!$B$88,BD38+BC39-BL38)))</f>
        <v>85.200000000000017</v>
      </c>
      <c r="BE39" s="13">
        <f>BD39*VLOOKUP('Données projet'!$B$11,Paramètres!$A$1:$I$89,3,0)*VLOOKUP('Données projet'!$B$11,Paramètres!$A$1:$I$89,5,0)</f>
        <v>97.02576000000002</v>
      </c>
      <c r="BF39" s="13">
        <f t="shared" si="37"/>
        <v>26.252185545896502</v>
      </c>
      <c r="BG39" s="20">
        <f t="shared" si="7"/>
        <v>214.70908849243642</v>
      </c>
      <c r="BH39" s="59">
        <f t="shared" si="8"/>
        <v>508.04242182576974</v>
      </c>
      <c r="BI39" s="59">
        <f ca="1">AVERAGE(OFFSET($BH$3,0,0,'Données projet'!$E$11+1,1))-AVERAGE(OFFSET($H$3,0,0,'Données projet'!$E$11+1,1))</f>
        <v>250.68173853329841</v>
      </c>
      <c r="BJ39" s="59">
        <f t="shared" si="38"/>
        <v>113.25940301904359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5.2</v>
      </c>
      <c r="BY39" s="12">
        <f>IF('Données projet'!$A$114&gt;35,BY38+BX39-CG38,IF(A39&lt;'Données projet'!$A$114,$BV$205^A39,IF(A39='Données projet'!$A$114,'Données projet'!$B$114,BY38+BX39-CG38)))</f>
        <v>85.200000000000017</v>
      </c>
      <c r="BZ39" s="13">
        <f>BY39*VLOOKUP('Données projet'!$B$12,Paramètres!$A$1:$I$89,3,0)*VLOOKUP('Données projet'!$B$12,Paramètres!$A$1:$I$89,5,0)</f>
        <v>86.392800000000022</v>
      </c>
      <c r="CA39" s="13">
        <f t="shared" si="39"/>
        <v>23.693194948697332</v>
      </c>
      <c r="CB39" s="20">
        <f t="shared" si="10"/>
        <v>191.73310786898125</v>
      </c>
      <c r="CC39" s="59">
        <f t="shared" si="11"/>
        <v>485.06644120231454</v>
      </c>
      <c r="CD39" s="59">
        <f ca="1">AVERAGE(OFFSET($CC$3,0,0,'Données projet'!$E$12+1,1))-AVERAGE(OFFSET($H$3,0,0,'Données projet'!$E$12+1,1))</f>
        <v>211.44496956344943</v>
      </c>
      <c r="CE39" s="59">
        <f t="shared" si="40"/>
        <v>98.543169293276662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6">
        <f t="shared" si="1"/>
        <v>331.55213151314524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5.6843418860808015E-14</v>
      </c>
      <c r="O40" s="13">
        <f>N40*VLOOKUP('Données projet'!$B$9,Paramètres!$A$1:$I$89,3,0)*VLOOKUP('Données projet'!$B$9,Paramètres!$A$1:$I$89,5,0)</f>
        <v>3.2810021366458389E-14</v>
      </c>
      <c r="P40" s="13">
        <f t="shared" si="33"/>
        <v>5.6117125884464641E-13</v>
      </c>
      <c r="Q40" s="20">
        <f t="shared" si="53"/>
        <v>1.0345173963676741E-12</v>
      </c>
      <c r="R40" s="59">
        <f t="shared" si="0"/>
        <v>293.33333333333434</v>
      </c>
      <c r="S40" s="59">
        <f ca="1">AVERAGE(OFFSET($R$3,0,0,'Données projet'!$E$9+1,1))-AVERAGE(OFFSET($H$3,0,0,'Données projet'!$E$9+1,1))</f>
        <v>162.0530649500439</v>
      </c>
      <c r="T40" s="59">
        <f t="shared" si="34"/>
        <v>450.88267959505049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90.873782274484796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0.32020997737809342</v>
      </c>
      <c r="AC40" s="22">
        <f t="shared" si="3"/>
        <v>91.193992251862895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170</v>
      </c>
      <c r="AJ40" s="13">
        <f>AI40*VLOOKUP('Données projet'!$B$10,Paramètres!$A$1:$I$89,3,0)*VLOOKUP('Données projet'!$B$10,Paramètres!$A$1:$I$89,5,0)</f>
        <v>143.20800000000003</v>
      </c>
      <c r="AK40" s="13">
        <f t="shared" si="35"/>
        <v>37.030941422835831</v>
      </c>
      <c r="AL40" s="20">
        <f t="shared" si="4"/>
        <v>313.91615631143912</v>
      </c>
      <c r="AM40" s="59">
        <f t="shared" si="5"/>
        <v>607.24948964477244</v>
      </c>
      <c r="AN40" s="59">
        <f ca="1">AVERAGE(OFFSET($AM$3,0,0,'Données projet'!$E$10+1,1))-AVERAGE(OFFSET($H$3,0,0,'Données projet'!$E$10+1,1))</f>
        <v>328.34986205643321</v>
      </c>
      <c r="AO40" s="59">
        <f t="shared" si="36"/>
        <v>251.60894449147008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5.2</v>
      </c>
      <c r="BD40" s="12">
        <f>IF('Données projet'!$A$88&gt;35,BD39+BC40-BL39,IF(A40&lt;'Données projet'!$A$88,$BA$205^A40,IF(A40='Données projet'!$A$88,'Données projet'!$B$88,BD39+BC40-BL39)))</f>
        <v>90.40000000000002</v>
      </c>
      <c r="BE40" s="13">
        <f>BD40*VLOOKUP('Données projet'!$B$11,Paramètres!$A$1:$I$89,3,0)*VLOOKUP('Données projet'!$B$11,Paramètres!$A$1:$I$89,5,0)</f>
        <v>102.94752000000003</v>
      </c>
      <c r="BF40" s="13">
        <f t="shared" si="37"/>
        <v>27.663011949702902</v>
      </c>
      <c r="BG40" s="20">
        <f t="shared" si="7"/>
        <v>227.48000981239929</v>
      </c>
      <c r="BH40" s="59">
        <f t="shared" si="8"/>
        <v>520.81334314573257</v>
      </c>
      <c r="BI40" s="59">
        <f ca="1">AVERAGE(OFFSET($BH$3,0,0,'Données projet'!$E$11+1,1))-AVERAGE(OFFSET($H$3,0,0,'Données projet'!$E$11+1,1))</f>
        <v>250.68173853329841</v>
      </c>
      <c r="BJ40" s="59">
        <f t="shared" si="38"/>
        <v>113.25940301904359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5.2</v>
      </c>
      <c r="BY40" s="12">
        <f>IF('Données projet'!$A$114&gt;35,BY39+BX40-CG39,IF(A40&lt;'Données projet'!$A$114,$BV$205^A40,IF(A40='Données projet'!$A$114,'Données projet'!$B$114,BY39+BX40-CG39)))</f>
        <v>90.40000000000002</v>
      </c>
      <c r="BZ40" s="13">
        <f>BY40*VLOOKUP('Données projet'!$B$12,Paramètres!$A$1:$I$89,3,0)*VLOOKUP('Données projet'!$B$12,Paramètres!$A$1:$I$89,5,0)</f>
        <v>91.665600000000026</v>
      </c>
      <c r="CA40" s="13">
        <f t="shared" si="39"/>
        <v>24.966497888207439</v>
      </c>
      <c r="CB40" s="20">
        <f t="shared" si="10"/>
        <v>203.1342371552947</v>
      </c>
      <c r="CC40" s="59">
        <f t="shared" si="11"/>
        <v>496.46757048862798</v>
      </c>
      <c r="CD40" s="59">
        <f ca="1">AVERAGE(OFFSET($CC$3,0,0,'Données projet'!$E$12+1,1))-AVERAGE(OFFSET($H$3,0,0,'Données projet'!$E$12+1,1))</f>
        <v>211.44496956344943</v>
      </c>
      <c r="CE40" s="59">
        <f t="shared" si="40"/>
        <v>98.543169293276662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6">
        <f t="shared" si="1"/>
        <v>333.52009090875754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5.6843418860808015E-14</v>
      </c>
      <c r="O41" s="13">
        <f>N41*VLOOKUP('Données projet'!$B$9,Paramètres!$A$1:$I$89,3,0)*VLOOKUP('Données projet'!$B$9,Paramètres!$A$1:$I$89,5,0)</f>
        <v>3.2810021366458389E-14</v>
      </c>
      <c r="P41" s="13">
        <f t="shared" si="33"/>
        <v>5.6117125884464641E-13</v>
      </c>
      <c r="Q41" s="20">
        <f t="shared" si="53"/>
        <v>1.0345173963676741E-12</v>
      </c>
      <c r="R41" s="59">
        <f t="shared" si="0"/>
        <v>293.33333333333434</v>
      </c>
      <c r="S41" s="59">
        <f ca="1">AVERAGE(OFFSET($R$3,0,0,'Données projet'!$E$9+1,1))-AVERAGE(OFFSET($H$3,0,0,'Données projet'!$E$9+1,1))</f>
        <v>162.0530649500439</v>
      </c>
      <c r="T41" s="59">
        <f t="shared" si="34"/>
        <v>450.88267959505049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89.09180283161632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0.22642264640764084</v>
      </c>
      <c r="AC41" s="22">
        <f t="shared" si="3"/>
        <v>89.318225478023962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181</v>
      </c>
      <c r="AJ41" s="13">
        <f>AI41*VLOOKUP('Données projet'!$B$10,Paramètres!$A$1:$I$89,3,0)*VLOOKUP('Données projet'!$B$10,Paramètres!$A$1:$I$89,5,0)</f>
        <v>152.47440000000003</v>
      </c>
      <c r="AK41" s="13">
        <f t="shared" si="35"/>
        <v>39.140365323908171</v>
      </c>
      <c r="AL41" s="20">
        <f t="shared" si="4"/>
        <v>333.72904960580678</v>
      </c>
      <c r="AM41" s="59">
        <f t="shared" si="5"/>
        <v>627.06238293914009</v>
      </c>
      <c r="AN41" s="59">
        <f ca="1">AVERAGE(OFFSET($AM$3,0,0,'Données projet'!$E$10+1,1))-AVERAGE(OFFSET($H$3,0,0,'Données projet'!$E$10+1,1))</f>
        <v>328.34986205643321</v>
      </c>
      <c r="AO41" s="59">
        <f t="shared" si="36"/>
        <v>251.60894449147008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5.2</v>
      </c>
      <c r="BD41" s="12">
        <f>IF('Données projet'!$A$88&gt;35,BD40+BC41-BL40,IF(A41&lt;'Données projet'!$A$88,$BA$205^A41,IF(A41='Données projet'!$A$88,'Données projet'!$B$88,BD40+BC41-BL40)))</f>
        <v>95.600000000000023</v>
      </c>
      <c r="BE41" s="13">
        <f>BD41*VLOOKUP('Données projet'!$B$11,Paramètres!$A$1:$I$89,3,0)*VLOOKUP('Données projet'!$B$11,Paramètres!$A$1:$I$89,5,0)</f>
        <v>108.86928000000002</v>
      </c>
      <c r="BF41" s="13">
        <f t="shared" si="37"/>
        <v>29.064418129628898</v>
      </c>
      <c r="BG41" s="20">
        <f t="shared" si="7"/>
        <v>240.234524242437</v>
      </c>
      <c r="BH41" s="59">
        <f t="shared" si="8"/>
        <v>533.56785757577029</v>
      </c>
      <c r="BI41" s="59">
        <f ca="1">AVERAGE(OFFSET($BH$3,0,0,'Données projet'!$E$11+1,1))-AVERAGE(OFFSET($H$3,0,0,'Données projet'!$E$11+1,1))</f>
        <v>250.68173853329841</v>
      </c>
      <c r="BJ41" s="59">
        <f t="shared" si="38"/>
        <v>113.25940301904359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5.2</v>
      </c>
      <c r="BY41" s="12">
        <f>IF('Données projet'!$A$114&gt;35,BY40+BX41-CG40,IF(A41&lt;'Données projet'!$A$114,$BV$205^A41,IF(A41='Données projet'!$A$114,'Données projet'!$B$114,BY40+BX41-CG40)))</f>
        <v>95.600000000000023</v>
      </c>
      <c r="BZ41" s="13">
        <f>BY41*VLOOKUP('Données projet'!$B$12,Paramètres!$A$1:$I$89,3,0)*VLOOKUP('Données projet'!$B$12,Paramètres!$A$1:$I$89,5,0)</f>
        <v>96.93840000000003</v>
      </c>
      <c r="CA41" s="13">
        <f t="shared" si="39"/>
        <v>26.231298861263387</v>
      </c>
      <c r="CB41" s="20">
        <f t="shared" si="10"/>
        <v>214.52055885003378</v>
      </c>
      <c r="CC41" s="59">
        <f t="shared" si="11"/>
        <v>507.85389218336707</v>
      </c>
      <c r="CD41" s="59">
        <f ca="1">AVERAGE(OFFSET($CC$3,0,0,'Données projet'!$E$12+1,1))-AVERAGE(OFFSET($H$3,0,0,'Données projet'!$E$12+1,1))</f>
        <v>211.44496956344943</v>
      </c>
      <c r="CE41" s="59">
        <f t="shared" si="40"/>
        <v>98.543169293276662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6">
        <f t="shared" si="1"/>
        <v>335.48676782456732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5.6843418860808015E-14</v>
      </c>
      <c r="O42" s="13">
        <f>N42*VLOOKUP('Données projet'!$B$9,Paramètres!$A$1:$I$89,3,0)*VLOOKUP('Données projet'!$B$9,Paramètres!$A$1:$I$89,5,0)</f>
        <v>3.2810021366458389E-14</v>
      </c>
      <c r="P42" s="13">
        <f t="shared" si="33"/>
        <v>5.6117125884464641E-13</v>
      </c>
      <c r="Q42" s="20">
        <f t="shared" si="53"/>
        <v>1.0345173963676741E-12</v>
      </c>
      <c r="R42" s="59">
        <f t="shared" si="0"/>
        <v>293.33333333333434</v>
      </c>
      <c r="S42" s="59">
        <f ca="1">AVERAGE(OFFSET($R$3,0,0,'Données projet'!$E$9+1,1))-AVERAGE(OFFSET($H$3,0,0,'Données projet'!$E$9+1,1))</f>
        <v>162.0530649500439</v>
      </c>
      <c r="T42" s="59">
        <f t="shared" si="34"/>
        <v>450.88267959505049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87.344766918722357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0.16010498868904671</v>
      </c>
      <c r="AC42" s="22">
        <f t="shared" si="3"/>
        <v>87.504871907411399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192</v>
      </c>
      <c r="AJ42" s="13">
        <f>AI42*VLOOKUP('Données projet'!$B$10,Paramètres!$A$1:$I$89,3,0)*VLOOKUP('Données projet'!$B$10,Paramètres!$A$1:$I$89,5,0)</f>
        <v>161.74080000000001</v>
      </c>
      <c r="AK42" s="13">
        <f t="shared" si="35"/>
        <v>41.234910079352424</v>
      </c>
      <c r="AL42" s="20">
        <f t="shared" si="4"/>
        <v>353.51602838820548</v>
      </c>
      <c r="AM42" s="59">
        <f t="shared" si="5"/>
        <v>646.8493617215388</v>
      </c>
      <c r="AN42" s="59">
        <f ca="1">AVERAGE(OFFSET($AM$3,0,0,'Données projet'!$E$10+1,1))-AVERAGE(OFFSET($H$3,0,0,'Données projet'!$E$10+1,1))</f>
        <v>328.34986205643321</v>
      </c>
      <c r="AO42" s="59">
        <f t="shared" si="36"/>
        <v>251.60894449147008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5.2</v>
      </c>
      <c r="BD42" s="12">
        <f>IF('Données projet'!$A$88&gt;35,BD41+BC42-BL41,IF(A42&lt;'Données projet'!$A$88,$BA$205^A42,IF(A42='Données projet'!$A$88,'Données projet'!$B$88,BD41+BC42-BL41)))</f>
        <v>100.80000000000003</v>
      </c>
      <c r="BE42" s="13">
        <f>BD42*VLOOKUP('Données projet'!$B$11,Paramètres!$A$1:$I$89,3,0)*VLOOKUP('Données projet'!$B$11,Paramètres!$A$1:$I$89,5,0)</f>
        <v>114.79104000000004</v>
      </c>
      <c r="BF42" s="13">
        <f t="shared" si="37"/>
        <v>30.456974896543485</v>
      </c>
      <c r="BG42" s="20">
        <f t="shared" si="7"/>
        <v>252.97362594481328</v>
      </c>
      <c r="BH42" s="59">
        <f t="shared" si="8"/>
        <v>546.30695927814656</v>
      </c>
      <c r="BI42" s="59">
        <f ca="1">AVERAGE(OFFSET($BH$3,0,0,'Données projet'!$E$11+1,1))-AVERAGE(OFFSET($H$3,0,0,'Données projet'!$E$11+1,1))</f>
        <v>250.68173853329841</v>
      </c>
      <c r="BJ42" s="59">
        <f t="shared" si="38"/>
        <v>113.25940301904359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5.2</v>
      </c>
      <c r="BY42" s="12">
        <f>IF('Données projet'!$A$114&gt;35,BY41+BX42-CG41,IF(A42&lt;'Données projet'!$A$114,$BV$205^A42,IF(A42='Données projet'!$A$114,'Données projet'!$B$114,BY41+BX42-CG41)))</f>
        <v>100.80000000000003</v>
      </c>
      <c r="BZ42" s="13">
        <f>BY42*VLOOKUP('Données projet'!$B$12,Paramètres!$A$1:$I$89,3,0)*VLOOKUP('Données projet'!$B$12,Paramètres!$A$1:$I$89,5,0)</f>
        <v>102.21120000000005</v>
      </c>
      <c r="CA42" s="13">
        <f t="shared" si="39"/>
        <v>27.488113037666043</v>
      </c>
      <c r="CB42" s="20">
        <f t="shared" si="10"/>
        <v>225.89297020726841</v>
      </c>
      <c r="CC42" s="59">
        <f t="shared" si="11"/>
        <v>519.22630354060175</v>
      </c>
      <c r="CD42" s="59">
        <f ca="1">AVERAGE(OFFSET($CC$3,0,0,'Données projet'!$E$12+1,1))-AVERAGE(OFFSET($H$3,0,0,'Données projet'!$E$12+1,1))</f>
        <v>211.44496956344943</v>
      </c>
      <c r="CE42" s="59">
        <f t="shared" si="40"/>
        <v>98.543169293276662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6">
        <f t="shared" si="1"/>
        <v>337.45219892578052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5.6843418860808015E-14</v>
      </c>
      <c r="O43" s="13">
        <f>N43*VLOOKUP('Données projet'!$B$9,Paramètres!$A$1:$I$89,3,0)*VLOOKUP('Données projet'!$B$9,Paramètres!$A$1:$I$89,5,0)</f>
        <v>3.2810021366458389E-14</v>
      </c>
      <c r="P43" s="13">
        <f t="shared" si="33"/>
        <v>5.6117125884464641E-13</v>
      </c>
      <c r="Q43" s="20">
        <f t="shared" si="53"/>
        <v>1.0345173963676741E-12</v>
      </c>
      <c r="R43" s="59">
        <f t="shared" si="0"/>
        <v>293.33333333333434</v>
      </c>
      <c r="S43" s="59">
        <f ca="1">AVERAGE(OFFSET($R$3,0,0,'Données projet'!$E$9+1,1))-AVERAGE(OFFSET($H$3,0,0,'Données projet'!$E$9+1,1))</f>
        <v>162.0530649500439</v>
      </c>
      <c r="T43" s="59">
        <f t="shared" si="34"/>
        <v>450.88267959505049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85.631989314493552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0.11321132320382042</v>
      </c>
      <c r="AC43" s="22">
        <f t="shared" si="3"/>
        <v>85.745200637697366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203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203</v>
      </c>
      <c r="AJ43" s="13">
        <f>AI43*VLOOKUP('Données projet'!$B$10,Paramètres!$A$1:$I$89,3,0)*VLOOKUP('Données projet'!$B$10,Paramètres!$A$1:$I$89,5,0)</f>
        <v>171.00720000000001</v>
      </c>
      <c r="AK43" s="13">
        <f t="shared" si="35"/>
        <v>43.315525267338089</v>
      </c>
      <c r="AL43" s="20">
        <f t="shared" si="4"/>
        <v>373.27874650728057</v>
      </c>
      <c r="AM43" s="59">
        <f t="shared" si="5"/>
        <v>666.61207984061389</v>
      </c>
      <c r="AN43" s="59">
        <f ca="1">AVERAGE(OFFSET($AM$3,0,0,'Données projet'!$E$10+1,1))-AVERAGE(OFFSET($H$3,0,0,'Données projet'!$E$10+1,1))</f>
        <v>328.34986205643321</v>
      </c>
      <c r="AO43" s="59">
        <f t="shared" si="36"/>
        <v>251.60894449147008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106</v>
      </c>
      <c r="BB43" s="12">
        <f>VLOOKUP(A43,'Données projet'!$A$87:$I$107,9,0)</f>
        <v>5.2</v>
      </c>
      <c r="BC43" s="12">
        <f t="array" ref="BC43">INDEX(BB:BB,MIN(IF(ISNUMBER(BB43:BB239),ROW(BB43:BB239),"")))</f>
        <v>5.2</v>
      </c>
      <c r="BD43" s="12">
        <f>IF('Données projet'!$A$88&gt;35,BD42+BC43-BL42,IF(A43&lt;'Données projet'!$A$88,$BA$205^A43,IF(A43='Données projet'!$A$88,'Données projet'!$B$88,BD42+BC43-BL42)))</f>
        <v>106.00000000000003</v>
      </c>
      <c r="BE43" s="13">
        <f>BD43*VLOOKUP('Données projet'!$B$11,Paramètres!$A$1:$I$89,3,0)*VLOOKUP('Données projet'!$B$11,Paramètres!$A$1:$I$89,5,0)</f>
        <v>120.71280000000004</v>
      </c>
      <c r="BF43" s="13">
        <f t="shared" si="37"/>
        <v>31.841190841691311</v>
      </c>
      <c r="BG43" s="20">
        <f t="shared" si="7"/>
        <v>265.6982007159458</v>
      </c>
      <c r="BH43" s="59">
        <f t="shared" si="8"/>
        <v>559.03153404927912</v>
      </c>
      <c r="BI43" s="59">
        <f ca="1">AVERAGE(OFFSET($BH$3,0,0,'Données projet'!$E$11+1,1))-AVERAGE(OFFSET($H$3,0,0,'Données projet'!$E$11+1,1))</f>
        <v>250.68173853329841</v>
      </c>
      <c r="BJ43" s="59">
        <f t="shared" si="38"/>
        <v>113.25940301904359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106</v>
      </c>
      <c r="BW43" s="12">
        <f>VLOOKUP(A43,'Données projet'!$A$113:$I$133,9,0)</f>
        <v>5.2</v>
      </c>
      <c r="BX43" s="12">
        <f t="array" ref="BX43">INDEX(BW:BW,MIN(IF(ISNUMBER(BW43:BW239),ROW(BW43:BW239),"")))</f>
        <v>5.2</v>
      </c>
      <c r="BY43" s="12">
        <f>IF('Données projet'!$A$114&gt;35,BY42+BX43-CG42,IF(A43&lt;'Données projet'!$A$114,$BV$205^A43,IF(A43='Données projet'!$A$114,'Données projet'!$B$114,BY42+BX43-CG42)))</f>
        <v>106.00000000000003</v>
      </c>
      <c r="BZ43" s="13">
        <f>BY43*VLOOKUP('Données projet'!$B$12,Paramètres!$A$1:$I$89,3,0)*VLOOKUP('Données projet'!$B$12,Paramètres!$A$1:$I$89,5,0)</f>
        <v>107.48400000000004</v>
      </c>
      <c r="CA43" s="13">
        <f t="shared" si="39"/>
        <v>28.737399432589044</v>
      </c>
      <c r="CB43" s="20">
        <f t="shared" si="10"/>
        <v>237.25227067842596</v>
      </c>
      <c r="CC43" s="59">
        <f t="shared" si="11"/>
        <v>530.5856040117593</v>
      </c>
      <c r="CD43" s="59">
        <f ca="1">AVERAGE(OFFSET($CC$3,0,0,'Données projet'!$E$12+1,1))-AVERAGE(OFFSET($H$3,0,0,'Données projet'!$E$12+1,1))</f>
        <v>211.44496956344943</v>
      </c>
      <c r="CE43" s="59">
        <f t="shared" si="40"/>
        <v>98.543169293276662</v>
      </c>
      <c r="CF43" s="15">
        <f>IF(ISNA(VLOOKUP(A43,'Données projet'!$A$113:$I$133,3,0)),0,VLOOKUP(A43,'Données projet'!$A$113:$I$133,3,0))</f>
        <v>2</v>
      </c>
      <c r="CG43" s="15">
        <f>IF(ISNA(VLOOKUP(A43,'Données projet'!$A$113:$I$133,4,0)),0,VLOOKUP(A43,'Données projet'!$A$113:$I$133,4,0))</f>
        <v>27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6">
        <f t="shared" si="1"/>
        <v>339.41641893985832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5.6843418860808015E-14</v>
      </c>
      <c r="O44" s="13">
        <f>N44*VLOOKUP('Données projet'!$B$9,Paramètres!$A$1:$I$89,3,0)*VLOOKUP('Données projet'!$B$9,Paramètres!$A$1:$I$89,5,0)</f>
        <v>3.2810021366458389E-14</v>
      </c>
      <c r="P44" s="13">
        <f t="shared" si="33"/>
        <v>5.6117125884464641E-13</v>
      </c>
      <c r="Q44" s="20">
        <f t="shared" si="53"/>
        <v>1.0345173963676741E-12</v>
      </c>
      <c r="R44" s="59">
        <f t="shared" si="0"/>
        <v>293.33333333333434</v>
      </c>
      <c r="S44" s="59">
        <f ca="1">AVERAGE(OFFSET($R$3,0,0,'Données projet'!$E$9+1,1))-AVERAGE(OFFSET($H$3,0,0,'Données projet'!$E$9+1,1))</f>
        <v>162.0530649500439</v>
      </c>
      <c r="T44" s="59">
        <f t="shared" si="34"/>
        <v>450.88267959505049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83.952798234392489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8.0052494344523356E-2</v>
      </c>
      <c r="AC44" s="22">
        <f t="shared" si="3"/>
        <v>84.032850728737017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158.19999999999999</v>
      </c>
      <c r="AJ44" s="13">
        <f>AI44*VLOOKUP('Données projet'!$B$10,Paramètres!$A$1:$I$89,3,0)*VLOOKUP('Données projet'!$B$10,Paramètres!$A$1:$I$89,5,0)</f>
        <v>133.26768000000001</v>
      </c>
      <c r="AK44" s="13">
        <f t="shared" si="35"/>
        <v>34.750329840004937</v>
      </c>
      <c r="AL44" s="20">
        <f t="shared" si="4"/>
        <v>292.63136713800856</v>
      </c>
      <c r="AM44" s="59">
        <f t="shared" si="5"/>
        <v>585.96470047134187</v>
      </c>
      <c r="AN44" s="59">
        <f ca="1">AVERAGE(OFFSET($AM$3,0,0,'Données projet'!$E$10+1,1))-AVERAGE(OFFSET($H$3,0,0,'Données projet'!$E$10+1,1))</f>
        <v>328.34986205643321</v>
      </c>
      <c r="AO44" s="59">
        <f t="shared" si="36"/>
        <v>251.60894449147008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84.600000000000023</v>
      </c>
      <c r="BE44" s="13">
        <f>BD44*VLOOKUP('Données projet'!$B$11,Paramètres!$A$1:$I$89,3,0)*VLOOKUP('Données projet'!$B$11,Paramètres!$A$1:$I$89,5,0)</f>
        <v>96.342480000000023</v>
      </c>
      <c r="BF44" s="13">
        <f t="shared" si="37"/>
        <v>26.088763268244669</v>
      </c>
      <c r="BG44" s="20">
        <f t="shared" si="7"/>
        <v>213.23441535885948</v>
      </c>
      <c r="BH44" s="59">
        <f t="shared" si="8"/>
        <v>506.56774869219282</v>
      </c>
      <c r="BI44" s="59">
        <f ca="1">AVERAGE(OFFSET($BH$3,0,0,'Données projet'!$E$11+1,1))-AVERAGE(OFFSET($H$3,0,0,'Données projet'!$E$11+1,1))</f>
        <v>250.68173853329841</v>
      </c>
      <c r="BJ44" s="59">
        <f t="shared" si="38"/>
        <v>113.25940301904359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84.600000000000023</v>
      </c>
      <c r="BZ44" s="13">
        <f>BY44*VLOOKUP('Données projet'!$B$12,Paramètres!$A$1:$I$89,3,0)*VLOOKUP('Données projet'!$B$12,Paramètres!$A$1:$I$89,5,0)</f>
        <v>85.784400000000034</v>
      </c>
      <c r="CA44" s="13">
        <f t="shared" si="39"/>
        <v>23.545702623664209</v>
      </c>
      <c r="CB44" s="20">
        <f t="shared" si="10"/>
        <v>190.41659540288188</v>
      </c>
      <c r="CC44" s="59">
        <f t="shared" si="11"/>
        <v>483.74992873621522</v>
      </c>
      <c r="CD44" s="59">
        <f ca="1">AVERAGE(OFFSET($CC$3,0,0,'Données projet'!$E$12+1,1))-AVERAGE(OFFSET($H$3,0,0,'Données projet'!$E$12+1,1))</f>
        <v>211.44496956344943</v>
      </c>
      <c r="CE44" s="59">
        <f t="shared" si="40"/>
        <v>98.543169293276662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6">
        <f t="shared" si="1"/>
        <v>341.37946080365469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5.6843418860808015E-14</v>
      </c>
      <c r="O45" s="13">
        <f>N45*VLOOKUP('Données projet'!$B$9,Paramètres!$A$1:$I$89,3,0)*VLOOKUP('Données projet'!$B$9,Paramètres!$A$1:$I$89,5,0)</f>
        <v>3.2810021366458389E-14</v>
      </c>
      <c r="P45" s="13">
        <f t="shared" si="33"/>
        <v>5.6117125884464641E-13</v>
      </c>
      <c r="Q45" s="20">
        <f t="shared" si="53"/>
        <v>1.0345173963676741E-12</v>
      </c>
      <c r="R45" s="59">
        <f t="shared" si="0"/>
        <v>293.33333333333434</v>
      </c>
      <c r="S45" s="59">
        <f ca="1">AVERAGE(OFFSET($R$3,0,0,'Données projet'!$E$9+1,1))-AVERAGE(OFFSET($H$3,0,0,'Données projet'!$E$9+1,1))</f>
        <v>162.0530649500439</v>
      </c>
      <c r="T45" s="59">
        <f t="shared" si="34"/>
        <v>450.88267959505049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82.306535067166791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5.6605661601910211E-2</v>
      </c>
      <c r="AC45" s="22">
        <f t="shared" si="3"/>
        <v>82.363140728768698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169.39999999999998</v>
      </c>
      <c r="AJ45" s="13">
        <f>AI45*VLOOKUP('Données projet'!$B$10,Paramètres!$A$1:$I$89,3,0)*VLOOKUP('Données projet'!$B$10,Paramètres!$A$1:$I$89,5,0)</f>
        <v>142.70256000000001</v>
      </c>
      <c r="AK45" s="13">
        <f t="shared" si="35"/>
        <v>36.91543341153259</v>
      </c>
      <c r="AL45" s="20">
        <f t="shared" si="4"/>
        <v>312.83467185841931</v>
      </c>
      <c r="AM45" s="59">
        <f t="shared" si="5"/>
        <v>606.16800519175263</v>
      </c>
      <c r="AN45" s="59">
        <f ca="1">AVERAGE(OFFSET($AM$3,0,0,'Données projet'!$E$10+1,1))-AVERAGE(OFFSET($H$3,0,0,'Données projet'!$E$10+1,1))</f>
        <v>328.34986205643321</v>
      </c>
      <c r="AO45" s="59">
        <f t="shared" si="36"/>
        <v>251.60894449147008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90.200000000000017</v>
      </c>
      <c r="BE45" s="13">
        <f>BD45*VLOOKUP('Données projet'!$B$11,Paramètres!$A$1:$I$89,3,0)*VLOOKUP('Données projet'!$B$11,Paramètres!$A$1:$I$89,5,0)</f>
        <v>102.71976000000004</v>
      </c>
      <c r="BF45" s="13">
        <f t="shared" si="37"/>
        <v>27.608927464604609</v>
      </c>
      <c r="BG45" s="20">
        <f t="shared" si="7"/>
        <v>226.98913066751979</v>
      </c>
      <c r="BH45" s="59">
        <f t="shared" si="8"/>
        <v>520.32246400085307</v>
      </c>
      <c r="BI45" s="59">
        <f ca="1">AVERAGE(OFFSET($BH$3,0,0,'Données projet'!$E$11+1,1))-AVERAGE(OFFSET($H$3,0,0,'Données projet'!$E$11+1,1))</f>
        <v>250.68173853329841</v>
      </c>
      <c r="BJ45" s="59">
        <f t="shared" si="38"/>
        <v>113.25940301904359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90.200000000000017</v>
      </c>
      <c r="BZ45" s="13">
        <f>BY45*VLOOKUP('Données projet'!$B$12,Paramètres!$A$1:$I$89,3,0)*VLOOKUP('Données projet'!$B$12,Paramètres!$A$1:$I$89,5,0)</f>
        <v>91.462800000000016</v>
      </c>
      <c r="CA45" s="13">
        <f t="shared" si="39"/>
        <v>24.917685409456144</v>
      </c>
      <c r="CB45" s="20">
        <f t="shared" si="10"/>
        <v>202.69601208813614</v>
      </c>
      <c r="CC45" s="59">
        <f t="shared" si="11"/>
        <v>496.02934542146943</v>
      </c>
      <c r="CD45" s="59">
        <f ca="1">AVERAGE(OFFSET($CC$3,0,0,'Données projet'!$E$12+1,1))-AVERAGE(OFFSET($H$3,0,0,'Données projet'!$E$12+1,1))</f>
        <v>211.44496956344943</v>
      </c>
      <c r="CE45" s="59">
        <f t="shared" si="40"/>
        <v>98.543169293276662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6">
        <f t="shared" si="1"/>
        <v>343.34135579614605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5.6843418860808015E-14</v>
      </c>
      <c r="O46" s="13">
        <f>N46*VLOOKUP('Données projet'!$B$9,Paramètres!$A$1:$I$89,3,0)*VLOOKUP('Données projet'!$B$9,Paramètres!$A$1:$I$89,5,0)</f>
        <v>3.2810021366458389E-14</v>
      </c>
      <c r="P46" s="13">
        <f t="shared" si="33"/>
        <v>5.6117125884464641E-13</v>
      </c>
      <c r="Q46" s="20">
        <f t="shared" si="53"/>
        <v>1.0345173963676741E-12</v>
      </c>
      <c r="R46" s="59">
        <f t="shared" si="0"/>
        <v>293.33333333333434</v>
      </c>
      <c r="S46" s="59">
        <f ca="1">AVERAGE(OFFSET($R$3,0,0,'Données projet'!$E$9+1,1))-AVERAGE(OFFSET($H$3,0,0,'Données projet'!$E$9+1,1))</f>
        <v>162.0530649500439</v>
      </c>
      <c r="T46" s="59">
        <f t="shared" si="34"/>
        <v>450.88267959505049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80.69255411652901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4.0026247172261678E-2</v>
      </c>
      <c r="AC46" s="22">
        <f t="shared" si="3"/>
        <v>80.732580363701274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180.59999999999997</v>
      </c>
      <c r="AJ46" s="13">
        <f>AI46*VLOOKUP('Données projet'!$B$10,Paramètres!$A$1:$I$89,3,0)*VLOOKUP('Données projet'!$B$10,Paramètres!$A$1:$I$89,5,0)</f>
        <v>152.13744</v>
      </c>
      <c r="AK46" s="13">
        <f t="shared" si="35"/>
        <v>39.063925813036093</v>
      </c>
      <c r="AL46" s="20">
        <f t="shared" si="4"/>
        <v>333.00904545770453</v>
      </c>
      <c r="AM46" s="59">
        <f t="shared" si="5"/>
        <v>626.34237879103785</v>
      </c>
      <c r="AN46" s="59">
        <f ca="1">AVERAGE(OFFSET($AM$3,0,0,'Données projet'!$E$10+1,1))-AVERAGE(OFFSET($H$3,0,0,'Données projet'!$E$10+1,1))</f>
        <v>328.34986205643321</v>
      </c>
      <c r="AO46" s="59">
        <f t="shared" si="36"/>
        <v>251.60894449147008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95.800000000000011</v>
      </c>
      <c r="BE46" s="13">
        <f>BD46*VLOOKUP('Données projet'!$B$11,Paramètres!$A$1:$I$89,3,0)*VLOOKUP('Données projet'!$B$11,Paramètres!$A$1:$I$89,5,0)</f>
        <v>109.09704000000002</v>
      </c>
      <c r="BF46" s="13">
        <f t="shared" si="37"/>
        <v>29.118138203692205</v>
      </c>
      <c r="BG46" s="20">
        <f t="shared" si="7"/>
        <v>240.72476870476396</v>
      </c>
      <c r="BH46" s="59">
        <f t="shared" si="8"/>
        <v>534.05810203809733</v>
      </c>
      <c r="BI46" s="59">
        <f ca="1">AVERAGE(OFFSET($BH$3,0,0,'Données projet'!$E$11+1,1))-AVERAGE(OFFSET($H$3,0,0,'Données projet'!$E$11+1,1))</f>
        <v>250.68173853329841</v>
      </c>
      <c r="BJ46" s="59">
        <f t="shared" si="38"/>
        <v>113.25940301904359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95.800000000000011</v>
      </c>
      <c r="BZ46" s="13">
        <f>BY46*VLOOKUP('Données projet'!$B$12,Paramètres!$A$1:$I$89,3,0)*VLOOKUP('Données projet'!$B$12,Paramètres!$A$1:$I$89,5,0)</f>
        <v>97.141200000000026</v>
      </c>
      <c r="CA46" s="13">
        <f t="shared" si="39"/>
        <v>26.279782450761708</v>
      </c>
      <c r="CB46" s="20">
        <f t="shared" si="10"/>
        <v>214.95821110174333</v>
      </c>
      <c r="CC46" s="59">
        <f t="shared" si="11"/>
        <v>508.29154443507662</v>
      </c>
      <c r="CD46" s="59">
        <f ca="1">AVERAGE(OFFSET($CC$3,0,0,'Données projet'!$E$12+1,1))-AVERAGE(OFFSET($H$3,0,0,'Données projet'!$E$12+1,1))</f>
        <v>211.44496956344943</v>
      </c>
      <c r="CE46" s="59">
        <f t="shared" si="40"/>
        <v>98.543169293276662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6">
        <f t="shared" si="1"/>
        <v>345.30213365846572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5.6843418860808015E-14</v>
      </c>
      <c r="O47" s="13">
        <f>N47*VLOOKUP('Données projet'!$B$9,Paramètres!$A$1:$I$89,3,0)*VLOOKUP('Données projet'!$B$9,Paramètres!$A$1:$I$89,5,0)</f>
        <v>3.2810021366458389E-14</v>
      </c>
      <c r="P47" s="13">
        <f t="shared" si="33"/>
        <v>5.6117125884464641E-13</v>
      </c>
      <c r="Q47" s="20">
        <f t="shared" si="53"/>
        <v>1.0345173963676741E-12</v>
      </c>
      <c r="R47" s="59">
        <f t="shared" si="0"/>
        <v>293.33333333333434</v>
      </c>
      <c r="S47" s="59">
        <f ca="1">AVERAGE(OFFSET($R$3,0,0,'Données projet'!$E$9+1,1))-AVERAGE(OFFSET($H$3,0,0,'Données projet'!$E$9+1,1))</f>
        <v>162.0530649500439</v>
      </c>
      <c r="T47" s="59">
        <f t="shared" si="34"/>
        <v>450.88267959505049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79.110222347902052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2.8302830800955105E-2</v>
      </c>
      <c r="AC47" s="22">
        <f t="shared" si="3"/>
        <v>79.138525178703006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191.79999999999995</v>
      </c>
      <c r="AJ47" s="13">
        <f>AI47*VLOOKUP('Données projet'!$B$10,Paramètres!$A$1:$I$89,3,0)*VLOOKUP('Données projet'!$B$10,Paramètres!$A$1:$I$89,5,0)</f>
        <v>161.57231999999999</v>
      </c>
      <c r="AK47" s="13">
        <f t="shared" si="35"/>
        <v>41.196954479055741</v>
      </c>
      <c r="AL47" s="20">
        <f t="shared" si="4"/>
        <v>353.15648638435545</v>
      </c>
      <c r="AM47" s="59">
        <f t="shared" si="5"/>
        <v>646.48981971768876</v>
      </c>
      <c r="AN47" s="59">
        <f ca="1">AVERAGE(OFFSET($AM$3,0,0,'Données projet'!$E$10+1,1))-AVERAGE(OFFSET($H$3,0,0,'Données projet'!$E$10+1,1))</f>
        <v>328.34986205643321</v>
      </c>
      <c r="AO47" s="59">
        <f t="shared" si="36"/>
        <v>251.60894449147008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101.4</v>
      </c>
      <c r="BE47" s="13">
        <f>BD47*VLOOKUP('Données projet'!$B$11,Paramètres!$A$1:$I$89,3,0)*VLOOKUP('Données projet'!$B$11,Paramètres!$A$1:$I$89,5,0)</f>
        <v>115.47432000000001</v>
      </c>
      <c r="BF47" s="13">
        <f t="shared" si="37"/>
        <v>30.617108709605674</v>
      </c>
      <c r="BG47" s="20">
        <f t="shared" si="7"/>
        <v>254.44257166922989</v>
      </c>
      <c r="BH47" s="59">
        <f t="shared" si="8"/>
        <v>547.77590500256315</v>
      </c>
      <c r="BI47" s="59">
        <f ca="1">AVERAGE(OFFSET($BH$3,0,0,'Données projet'!$E$11+1,1))-AVERAGE(OFFSET($H$3,0,0,'Données projet'!$E$11+1,1))</f>
        <v>250.68173853329841</v>
      </c>
      <c r="BJ47" s="59">
        <f t="shared" si="38"/>
        <v>113.25940301904359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101.4</v>
      </c>
      <c r="BZ47" s="13">
        <f>BY47*VLOOKUP('Données projet'!$B$12,Paramètres!$A$1:$I$89,3,0)*VLOOKUP('Données projet'!$B$12,Paramètres!$A$1:$I$89,5,0)</f>
        <v>102.81960000000002</v>
      </c>
      <c r="CA47" s="13">
        <f t="shared" si="39"/>
        <v>27.632637448562328</v>
      </c>
      <c r="CB47" s="20">
        <f t="shared" si="10"/>
        <v>227.20431355624609</v>
      </c>
      <c r="CC47" s="59">
        <f t="shared" si="11"/>
        <v>520.53764688957938</v>
      </c>
      <c r="CD47" s="59">
        <f ca="1">AVERAGE(OFFSET($CC$3,0,0,'Données projet'!$E$12+1,1))-AVERAGE(OFFSET($H$3,0,0,'Données projet'!$E$12+1,1))</f>
        <v>211.44496956344943</v>
      </c>
      <c r="CE47" s="59">
        <f t="shared" si="40"/>
        <v>98.543169293276662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6">
        <f t="shared" si="1"/>
        <v>347.2618227027192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5.6843418860808015E-14</v>
      </c>
      <c r="O48" s="13">
        <f>N48*VLOOKUP('Données projet'!$B$9,Paramètres!$A$1:$I$89,3,0)*VLOOKUP('Données projet'!$B$9,Paramètres!$A$1:$I$89,5,0)</f>
        <v>3.2810021366458389E-14</v>
      </c>
      <c r="P48" s="13">
        <f t="shared" si="33"/>
        <v>5.6117125884464641E-13</v>
      </c>
      <c r="Q48" s="20">
        <f t="shared" si="53"/>
        <v>1.0345173963676741E-12</v>
      </c>
      <c r="R48" s="59">
        <f t="shared" si="0"/>
        <v>293.33333333333434</v>
      </c>
      <c r="S48" s="59">
        <f ca="1">AVERAGE(OFFSET($R$3,0,0,'Données projet'!$E$9+1,1))-AVERAGE(OFFSET($H$3,0,0,'Données projet'!$E$9+1,1))</f>
        <v>162.0530649500439</v>
      </c>
      <c r="T48" s="59">
        <f t="shared" si="34"/>
        <v>450.88267959505049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77.558919140130783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2.0013123586130839E-2</v>
      </c>
      <c r="AC48" s="22">
        <f t="shared" si="3"/>
        <v>77.578932263716908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202.99999999999994</v>
      </c>
      <c r="AJ48" s="13">
        <f>AI48*VLOOKUP('Données projet'!$B$10,Paramètres!$A$1:$I$89,3,0)*VLOOKUP('Données projet'!$B$10,Paramètres!$A$1:$I$89,5,0)</f>
        <v>171.00719999999995</v>
      </c>
      <c r="AK48" s="13">
        <f t="shared" si="35"/>
        <v>43.315525267338089</v>
      </c>
      <c r="AL48" s="20">
        <f t="shared" si="4"/>
        <v>373.27874650728046</v>
      </c>
      <c r="AM48" s="59">
        <f t="shared" si="5"/>
        <v>666.61207984061377</v>
      </c>
      <c r="AN48" s="59">
        <f ca="1">AVERAGE(OFFSET($AM$3,0,0,'Données projet'!$E$10+1,1))-AVERAGE(OFFSET($H$3,0,0,'Données projet'!$E$10+1,1))</f>
        <v>328.34986205643321</v>
      </c>
      <c r="AO48" s="59">
        <f t="shared" si="36"/>
        <v>251.60894449147008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107</v>
      </c>
      <c r="BE48" s="13">
        <f>BD48*VLOOKUP('Données projet'!$B$11,Paramètres!$A$1:$I$89,3,0)*VLOOKUP('Données projet'!$B$11,Paramètres!$A$1:$I$89,5,0)</f>
        <v>121.8516</v>
      </c>
      <c r="BF48" s="13">
        <f t="shared" si="37"/>
        <v>32.106468978964067</v>
      </c>
      <c r="BG48" s="20">
        <f t="shared" si="7"/>
        <v>268.14363680502908</v>
      </c>
      <c r="BH48" s="59">
        <f t="shared" si="8"/>
        <v>561.47697013836239</v>
      </c>
      <c r="BI48" s="59">
        <f ca="1">AVERAGE(OFFSET($BH$3,0,0,'Données projet'!$E$11+1,1))-AVERAGE(OFFSET($H$3,0,0,'Données projet'!$E$11+1,1))</f>
        <v>250.68173853329841</v>
      </c>
      <c r="BJ48" s="59">
        <f t="shared" si="38"/>
        <v>113.25940301904359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107</v>
      </c>
      <c r="BZ48" s="13">
        <f>BY48*VLOOKUP('Données projet'!$B$12,Paramètres!$A$1:$I$89,3,0)*VLOOKUP('Données projet'!$B$12,Paramètres!$A$1:$I$89,5,0)</f>
        <v>108.498</v>
      </c>
      <c r="CA48" s="13">
        <f t="shared" si="39"/>
        <v>28.976818989145283</v>
      </c>
      <c r="CB48" s="20">
        <f t="shared" si="10"/>
        <v>239.43530973942802</v>
      </c>
      <c r="CC48" s="59">
        <f t="shared" si="11"/>
        <v>532.76864307276128</v>
      </c>
      <c r="CD48" s="59">
        <f ca="1">AVERAGE(OFFSET($CC$3,0,0,'Données projet'!$E$12+1,1))-AVERAGE(OFFSET($H$3,0,0,'Données projet'!$E$12+1,1))</f>
        <v>211.44496956344943</v>
      </c>
      <c r="CE48" s="59">
        <f t="shared" si="40"/>
        <v>98.543169293276662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6">
        <f t="shared" si="1"/>
        <v>349.22044991085374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5.6843418860808015E-14</v>
      </c>
      <c r="O49" s="13">
        <f>N49*VLOOKUP('Données projet'!$B$9,Paramètres!$A$1:$I$89,3,0)*VLOOKUP('Données projet'!$B$9,Paramètres!$A$1:$I$89,5,0)</f>
        <v>3.2810021366458389E-14</v>
      </c>
      <c r="P49" s="13">
        <f t="shared" si="33"/>
        <v>5.6117125884464641E-13</v>
      </c>
      <c r="Q49" s="20">
        <f t="shared" si="53"/>
        <v>1.0345173963676741E-12</v>
      </c>
      <c r="R49" s="59">
        <f t="shared" si="0"/>
        <v>293.33333333333434</v>
      </c>
      <c r="S49" s="59">
        <f ca="1">AVERAGE(OFFSET($R$3,0,0,'Données projet'!$E$9+1,1))-AVERAGE(OFFSET($H$3,0,0,'Données projet'!$E$9+1,1))</f>
        <v>162.0530649500439</v>
      </c>
      <c r="T49" s="59">
        <f t="shared" si="34"/>
        <v>450.88267959505049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76.038036042062387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1.4151415400477553E-2</v>
      </c>
      <c r="AC49" s="22">
        <f t="shared" si="3"/>
        <v>76.052187457462864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214.19999999999993</v>
      </c>
      <c r="AJ49" s="13">
        <f>AI49*VLOOKUP('Données projet'!$B$10,Paramètres!$A$1:$I$89,3,0)*VLOOKUP('Données projet'!$B$10,Paramètres!$A$1:$I$89,5,0)</f>
        <v>180.44207999999995</v>
      </c>
      <c r="AK49" s="13">
        <f t="shared" si="35"/>
        <v>45.420526775820029</v>
      </c>
      <c r="AL49" s="20">
        <f t="shared" si="4"/>
        <v>393.37737346788646</v>
      </c>
      <c r="AM49" s="59">
        <f t="shared" si="5"/>
        <v>686.71070680121977</v>
      </c>
      <c r="AN49" s="59">
        <f ca="1">AVERAGE(OFFSET($AM$3,0,0,'Données projet'!$E$10+1,1))-AVERAGE(OFFSET($H$3,0,0,'Données projet'!$E$10+1,1))</f>
        <v>328.34986205643321</v>
      </c>
      <c r="AO49" s="59">
        <f t="shared" si="36"/>
        <v>251.60894449147008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112.6</v>
      </c>
      <c r="BE49" s="13">
        <f>BD49*VLOOKUP('Données projet'!$B$11,Paramètres!$A$1:$I$89,3,0)*VLOOKUP('Données projet'!$B$11,Paramètres!$A$1:$I$89,5,0)</f>
        <v>128.22888</v>
      </c>
      <c r="BF49" s="13">
        <f t="shared" si="37"/>
        <v>33.586779340295337</v>
      </c>
      <c r="BG49" s="20">
        <f t="shared" si="7"/>
        <v>281.82894001768102</v>
      </c>
      <c r="BH49" s="59">
        <f t="shared" si="8"/>
        <v>575.16227335101439</v>
      </c>
      <c r="BI49" s="59">
        <f ca="1">AVERAGE(OFFSET($BH$3,0,0,'Données projet'!$E$11+1,1))-AVERAGE(OFFSET($H$3,0,0,'Données projet'!$E$11+1,1))</f>
        <v>250.68173853329841</v>
      </c>
      <c r="BJ49" s="59">
        <f t="shared" si="38"/>
        <v>113.25940301904359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112.6</v>
      </c>
      <c r="BZ49" s="13">
        <f>BY49*VLOOKUP('Données projet'!$B$12,Paramètres!$A$1:$I$89,3,0)*VLOOKUP('Données projet'!$B$12,Paramètres!$A$1:$I$89,5,0)</f>
        <v>114.1764</v>
      </c>
      <c r="CA49" s="13">
        <f t="shared" si="39"/>
        <v>30.312832781759997</v>
      </c>
      <c r="CB49" s="20">
        <f t="shared" si="10"/>
        <v>251.65208042823193</v>
      </c>
      <c r="CC49" s="59">
        <f t="shared" si="11"/>
        <v>544.98541376156527</v>
      </c>
      <c r="CD49" s="59">
        <f ca="1">AVERAGE(OFFSET($CC$3,0,0,'Données projet'!$E$12+1,1))-AVERAGE(OFFSET($H$3,0,0,'Données projet'!$E$12+1,1))</f>
        <v>211.44496956344943</v>
      </c>
      <c r="CE49" s="59">
        <f t="shared" si="40"/>
        <v>98.543169293276662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6">
        <f t="shared" si="1"/>
        <v>351.17804102468818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5.6843418860808015E-14</v>
      </c>
      <c r="O50" s="13">
        <f>N50*VLOOKUP('Données projet'!$B$9,Paramètres!$A$1:$I$89,3,0)*VLOOKUP('Données projet'!$B$9,Paramètres!$A$1:$I$89,5,0)</f>
        <v>3.2810021366458389E-14</v>
      </c>
      <c r="P50" s="13">
        <f t="shared" si="33"/>
        <v>5.6117125884464641E-13</v>
      </c>
      <c r="Q50" s="20">
        <f t="shared" si="53"/>
        <v>1.0345173963676741E-12</v>
      </c>
      <c r="R50" s="59">
        <f t="shared" si="0"/>
        <v>293.33333333333434</v>
      </c>
      <c r="S50" s="59">
        <f ca="1">AVERAGE(OFFSET($R$3,0,0,'Données projet'!$E$9+1,1))-AVERAGE(OFFSET($H$3,0,0,'Données projet'!$E$9+1,1))</f>
        <v>162.0530649500439</v>
      </c>
      <c r="T50" s="59">
        <f t="shared" si="34"/>
        <v>450.88267959505049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74.546976533900022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1.000656179306542E-2</v>
      </c>
      <c r="AC50" s="22">
        <f t="shared" si="3"/>
        <v>74.556983095693084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225.39999999999992</v>
      </c>
      <c r="AJ50" s="13">
        <f>AI50*VLOOKUP('Données projet'!$B$10,Paramètres!$A$1:$I$89,3,0)*VLOOKUP('Données projet'!$B$10,Paramètres!$A$1:$I$89,5,0)</f>
        <v>189.87695999999994</v>
      </c>
      <c r="AK50" s="13">
        <f t="shared" si="35"/>
        <v>47.5127494286954</v>
      </c>
      <c r="AL50" s="20">
        <f t="shared" si="4"/>
        <v>413.45374392164439</v>
      </c>
      <c r="AM50" s="59">
        <f t="shared" si="5"/>
        <v>706.7870772549777</v>
      </c>
      <c r="AN50" s="59">
        <f ca="1">AVERAGE(OFFSET($AM$3,0,0,'Données projet'!$E$10+1,1))-AVERAGE(OFFSET($H$3,0,0,'Données projet'!$E$10+1,1))</f>
        <v>328.34986205643321</v>
      </c>
      <c r="AO50" s="59">
        <f t="shared" si="36"/>
        <v>251.60894449147008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118.19999999999999</v>
      </c>
      <c r="BE50" s="13">
        <f>BD50*VLOOKUP('Données projet'!$B$11,Paramètres!$A$1:$I$89,3,0)*VLOOKUP('Données projet'!$B$11,Paramètres!$A$1:$I$89,5,0)</f>
        <v>134.60615999999999</v>
      </c>
      <c r="BF50" s="13">
        <f t="shared" si="37"/>
        <v>35.05854123936858</v>
      </c>
      <c r="BG50" s="20">
        <f t="shared" si="7"/>
        <v>295.49935465856692</v>
      </c>
      <c r="BH50" s="59">
        <f t="shared" si="8"/>
        <v>588.83268799190023</v>
      </c>
      <c r="BI50" s="59">
        <f ca="1">AVERAGE(OFFSET($BH$3,0,0,'Données projet'!$E$11+1,1))-AVERAGE(OFFSET($H$3,0,0,'Données projet'!$E$11+1,1))</f>
        <v>250.68173853329841</v>
      </c>
      <c r="BJ50" s="59">
        <f t="shared" si="38"/>
        <v>113.25940301904359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118.19999999999999</v>
      </c>
      <c r="BZ50" s="13">
        <f>BY50*VLOOKUP('Données projet'!$B$12,Paramètres!$A$1:$I$89,3,0)*VLOOKUP('Données projet'!$B$12,Paramètres!$A$1:$I$89,5,0)</f>
        <v>119.8548</v>
      </c>
      <c r="CA50" s="13">
        <f t="shared" si="39"/>
        <v>31.641131392625841</v>
      </c>
      <c r="CB50" s="20">
        <f t="shared" si="10"/>
        <v>263.85541384215662</v>
      </c>
      <c r="CC50" s="59">
        <f t="shared" si="11"/>
        <v>557.18874717548988</v>
      </c>
      <c r="CD50" s="59">
        <f ca="1">AVERAGE(OFFSET($CC$3,0,0,'Données projet'!$E$12+1,1))-AVERAGE(OFFSET($H$3,0,0,'Données projet'!$E$12+1,1))</f>
        <v>211.44496956344943</v>
      </c>
      <c r="CE50" s="59">
        <f t="shared" si="40"/>
        <v>98.543169293276662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6">
        <f t="shared" si="1"/>
        <v>353.13462062806445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5.6843418860808015E-14</v>
      </c>
      <c r="O51" s="13">
        <f>N51*VLOOKUP('Données projet'!$B$9,Paramètres!$A$1:$I$89,3,0)*VLOOKUP('Données projet'!$B$9,Paramètres!$A$1:$I$89,5,0)</f>
        <v>3.2810021366458389E-14</v>
      </c>
      <c r="P51" s="13">
        <f t="shared" si="33"/>
        <v>5.6117125884464641E-13</v>
      </c>
      <c r="Q51" s="20">
        <f t="shared" si="53"/>
        <v>1.0345173963676741E-12</v>
      </c>
      <c r="R51" s="59">
        <f t="shared" si="0"/>
        <v>293.33333333333434</v>
      </c>
      <c r="S51" s="59">
        <f ca="1">AVERAGE(OFFSET($R$3,0,0,'Données projet'!$E$9+1,1))-AVERAGE(OFFSET($H$3,0,0,'Données projet'!$E$9+1,1))</f>
        <v>162.0530649500439</v>
      </c>
      <c r="T51" s="59">
        <f t="shared" si="34"/>
        <v>450.88267959505049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73.085155793236225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7.0757077002387763E-3</v>
      </c>
      <c r="AC51" s="22">
        <f t="shared" si="3"/>
        <v>73.092231500936464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236.59999999999991</v>
      </c>
      <c r="AJ51" s="13">
        <f>AI51*VLOOKUP('Données projet'!$B$10,Paramètres!$A$1:$I$89,3,0)*VLOOKUP('Données projet'!$B$10,Paramètres!$A$1:$I$89,5,0)</f>
        <v>199.31183999999993</v>
      </c>
      <c r="AK51" s="13">
        <f t="shared" si="35"/>
        <v>49.592900661217925</v>
      </c>
      <c r="AL51" s="20">
        <f t="shared" si="4"/>
        <v>433.50908998495447</v>
      </c>
      <c r="AM51" s="59">
        <f t="shared" si="5"/>
        <v>726.84242331828773</v>
      </c>
      <c r="AN51" s="59">
        <f ca="1">AVERAGE(OFFSET($AM$3,0,0,'Données projet'!$E$10+1,1))-AVERAGE(OFFSET($H$3,0,0,'Données projet'!$E$10+1,1))</f>
        <v>328.34986205643321</v>
      </c>
      <c r="AO51" s="59">
        <f t="shared" si="36"/>
        <v>251.60894449147008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123.79999999999998</v>
      </c>
      <c r="BE51" s="13">
        <f>BD51*VLOOKUP('Données projet'!$B$11,Paramètres!$A$1:$I$89,3,0)*VLOOKUP('Données projet'!$B$11,Paramètres!$A$1:$I$89,5,0)</f>
        <v>140.98343999999997</v>
      </c>
      <c r="BF51" s="13">
        <f t="shared" si="37"/>
        <v>36.522205922710093</v>
      </c>
      <c r="BG51" s="20">
        <f t="shared" si="7"/>
        <v>309.15566664872</v>
      </c>
      <c r="BH51" s="59">
        <f t="shared" si="8"/>
        <v>602.48899998205331</v>
      </c>
      <c r="BI51" s="59">
        <f ca="1">AVERAGE(OFFSET($BH$3,0,0,'Données projet'!$E$11+1,1))-AVERAGE(OFFSET($H$3,0,0,'Données projet'!$E$11+1,1))</f>
        <v>250.68173853329841</v>
      </c>
      <c r="BJ51" s="59">
        <f t="shared" si="38"/>
        <v>113.25940301904359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123.79999999999998</v>
      </c>
      <c r="BZ51" s="13">
        <f>BY51*VLOOKUP('Données projet'!$B$12,Paramètres!$A$1:$I$89,3,0)*VLOOKUP('Données projet'!$B$12,Paramètres!$A$1:$I$89,5,0)</f>
        <v>125.53319999999998</v>
      </c>
      <c r="CA51" s="13">
        <f t="shared" si="39"/>
        <v>32.962122082003134</v>
      </c>
      <c r="CB51" s="20">
        <f t="shared" si="10"/>
        <v>276.046019292822</v>
      </c>
      <c r="CC51" s="59">
        <f t="shared" si="11"/>
        <v>569.37935262615531</v>
      </c>
      <c r="CD51" s="59">
        <f ca="1">AVERAGE(OFFSET($CC$3,0,0,'Données projet'!$E$12+1,1))-AVERAGE(OFFSET($H$3,0,0,'Données projet'!$E$12+1,1))</f>
        <v>211.44496956344943</v>
      </c>
      <c r="CE51" s="59">
        <f t="shared" si="40"/>
        <v>98.543169293276662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6">
        <f t="shared" si="1"/>
        <v>355.09021222196009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5.6843418860808015E-14</v>
      </c>
      <c r="O52" s="13">
        <f>N52*VLOOKUP('Données projet'!$B$9,Paramètres!$A$1:$I$89,3,0)*VLOOKUP('Données projet'!$B$9,Paramètres!$A$1:$I$89,5,0)</f>
        <v>3.2810021366458389E-14</v>
      </c>
      <c r="P52" s="13">
        <f t="shared" si="33"/>
        <v>5.6117125884464641E-13</v>
      </c>
      <c r="Q52" s="20">
        <f t="shared" si="53"/>
        <v>1.0345173963676741E-12</v>
      </c>
      <c r="R52" s="59">
        <f t="shared" si="0"/>
        <v>293.33333333333434</v>
      </c>
      <c r="S52" s="59">
        <f ca="1">AVERAGE(OFFSET($R$3,0,0,'Données projet'!$E$9+1,1))-AVERAGE(OFFSET($H$3,0,0,'Données projet'!$E$9+1,1))</f>
        <v>162.0530649500439</v>
      </c>
      <c r="T52" s="59">
        <f t="shared" si="34"/>
        <v>450.88267959505049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71.652000465674234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5.0032808965327098E-3</v>
      </c>
      <c r="AC52" s="22">
        <f t="shared" si="3"/>
        <v>71.657003746570766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247.7999999999999</v>
      </c>
      <c r="AJ52" s="13">
        <f>AI52*VLOOKUP('Données projet'!$B$10,Paramètres!$A$1:$I$89,3,0)*VLOOKUP('Données projet'!$B$10,Paramètres!$A$1:$I$89,5,0)</f>
        <v>208.74671999999993</v>
      </c>
      <c r="AK52" s="13">
        <f t="shared" si="35"/>
        <v>51.661617147836218</v>
      </c>
      <c r="AL52" s="20">
        <f t="shared" si="4"/>
        <v>453.54452053248133</v>
      </c>
      <c r="AM52" s="59">
        <f t="shared" si="5"/>
        <v>746.87785386581459</v>
      </c>
      <c r="AN52" s="59">
        <f ca="1">AVERAGE(OFFSET($AM$3,0,0,'Données projet'!$E$10+1,1))-AVERAGE(OFFSET($H$3,0,0,'Données projet'!$E$10+1,1))</f>
        <v>328.34986205643321</v>
      </c>
      <c r="AO52" s="59">
        <f t="shared" si="36"/>
        <v>251.60894449147008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129.39999999999998</v>
      </c>
      <c r="BE52" s="13">
        <f>BD52*VLOOKUP('Données projet'!$B$11,Paramètres!$A$1:$I$89,3,0)*VLOOKUP('Données projet'!$B$11,Paramètres!$A$1:$I$89,5,0)</f>
        <v>147.36071999999996</v>
      </c>
      <c r="BF52" s="13">
        <f t="shared" si="37"/>
        <v>37.978181505546587</v>
      </c>
      <c r="BG52" s="20">
        <f t="shared" si="7"/>
        <v>322.79858678882687</v>
      </c>
      <c r="BH52" s="59">
        <f t="shared" si="8"/>
        <v>616.13192012216018</v>
      </c>
      <c r="BI52" s="59">
        <f ca="1">AVERAGE(OFFSET($BH$3,0,0,'Données projet'!$E$11+1,1))-AVERAGE(OFFSET($H$3,0,0,'Données projet'!$E$11+1,1))</f>
        <v>250.68173853329841</v>
      </c>
      <c r="BJ52" s="59">
        <f t="shared" si="38"/>
        <v>113.25940301904359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129.39999999999998</v>
      </c>
      <c r="BZ52" s="13">
        <f>BY52*VLOOKUP('Données projet'!$B$12,Paramètres!$A$1:$I$89,3,0)*VLOOKUP('Données projet'!$B$12,Paramètres!$A$1:$I$89,5,0)</f>
        <v>131.21159999999998</v>
      </c>
      <c r="CA52" s="13">
        <f t="shared" si="39"/>
        <v>34.276173183172517</v>
      </c>
      <c r="CB52" s="20">
        <f t="shared" si="10"/>
        <v>288.22453829402542</v>
      </c>
      <c r="CC52" s="59">
        <f t="shared" si="11"/>
        <v>581.55787162735874</v>
      </c>
      <c r="CD52" s="59">
        <f ca="1">AVERAGE(OFFSET($CC$3,0,0,'Données projet'!$E$12+1,1))-AVERAGE(OFFSET($H$3,0,0,'Données projet'!$E$12+1,1))</f>
        <v>211.44496956344943</v>
      </c>
      <c r="CE52" s="59">
        <f t="shared" si="40"/>
        <v>98.543169293276662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6">
        <f t="shared" si="1"/>
        <v>357.0448382932957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5.6843418860808015E-14</v>
      </c>
      <c r="O53" s="13">
        <f>N53*VLOOKUP('Données projet'!$B$9,Paramètres!$A$1:$I$89,3,0)*VLOOKUP('Données projet'!$B$9,Paramètres!$A$1:$I$89,5,0)</f>
        <v>3.2810021366458389E-14</v>
      </c>
      <c r="P53" s="13">
        <f t="shared" si="33"/>
        <v>5.6117125884464641E-13</v>
      </c>
      <c r="Q53" s="20">
        <f t="shared" si="53"/>
        <v>1.0345173963676741E-12</v>
      </c>
      <c r="R53" s="59">
        <f t="shared" si="0"/>
        <v>293.33333333333434</v>
      </c>
      <c r="S53" s="59">
        <f ca="1">AVERAGE(OFFSET($R$3,0,0,'Données projet'!$E$9+1,1))-AVERAGE(OFFSET($H$3,0,0,'Données projet'!$E$9+1,1))</f>
        <v>162.0530649500439</v>
      </c>
      <c r="T53" s="59">
        <f t="shared" si="34"/>
        <v>450.88267959505049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70.246948439947289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3.5378538501193882E-3</v>
      </c>
      <c r="AC53" s="22">
        <f t="shared" si="3"/>
        <v>70.250486293797408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259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258.99999999999989</v>
      </c>
      <c r="AJ53" s="13">
        <f>AI53*VLOOKUP('Données projet'!$B$10,Paramètres!$A$1:$I$89,3,0)*VLOOKUP('Données projet'!$B$10,Paramètres!$A$1:$I$89,5,0)</f>
        <v>218.18159999999995</v>
      </c>
      <c r="AK53" s="13">
        <f t="shared" si="35"/>
        <v>53.719474757115933</v>
      </c>
      <c r="AL53" s="20">
        <f t="shared" si="4"/>
        <v>473.56103853531016</v>
      </c>
      <c r="AM53" s="59">
        <f t="shared" si="5"/>
        <v>766.89437186864347</v>
      </c>
      <c r="AN53" s="59">
        <f ca="1">AVERAGE(OFFSET($AM$3,0,0,'Données projet'!$E$10+1,1))-AVERAGE(OFFSET($H$3,0,0,'Données projet'!$E$10+1,1))</f>
        <v>328.34986205643321</v>
      </c>
      <c r="AO53" s="59">
        <f t="shared" si="36"/>
        <v>251.60894449147008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0.36549999999999999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19.06078913430343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19.06078913430343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135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134.99999999999997</v>
      </c>
      <c r="BE53" s="13">
        <f>BD53*VLOOKUP('Données projet'!$B$11,Paramètres!$A$1:$I$89,3,0)*VLOOKUP('Données projet'!$B$11,Paramètres!$A$1:$I$89,5,0)</f>
        <v>153.73799999999997</v>
      </c>
      <c r="BF53" s="13">
        <f t="shared" si="37"/>
        <v>39.426838781722438</v>
      </c>
      <c r="BG53" s="20">
        <f t="shared" si="7"/>
        <v>336.42876087816649</v>
      </c>
      <c r="BH53" s="59">
        <f t="shared" si="8"/>
        <v>629.76209421149974</v>
      </c>
      <c r="BI53" s="59">
        <f ca="1">AVERAGE(OFFSET($BH$3,0,0,'Données projet'!$E$11+1,1))-AVERAGE(OFFSET($H$3,0,0,'Données projet'!$E$11+1,1))</f>
        <v>250.68173853329841</v>
      </c>
      <c r="BJ53" s="59">
        <f t="shared" si="38"/>
        <v>113.25940301904359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135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134.99999999999997</v>
      </c>
      <c r="BZ53" s="13">
        <f>BY53*VLOOKUP('Données projet'!$B$12,Paramètres!$A$1:$I$89,3,0)*VLOOKUP('Données projet'!$B$12,Paramètres!$A$1:$I$89,5,0)</f>
        <v>136.88999999999999</v>
      </c>
      <c r="CA53" s="13">
        <f t="shared" si="39"/>
        <v>35.583619346017713</v>
      </c>
      <c r="CB53" s="20">
        <f t="shared" si="10"/>
        <v>300.39155369431415</v>
      </c>
      <c r="CC53" s="59">
        <f t="shared" si="11"/>
        <v>593.72488702764747</v>
      </c>
      <c r="CD53" s="59">
        <f ca="1">AVERAGE(OFFSET($CC$3,0,0,'Données projet'!$E$12+1,1))-AVERAGE(OFFSET($H$3,0,0,'Données projet'!$E$12+1,1))</f>
        <v>211.44496956344943</v>
      </c>
      <c r="CE53" s="59">
        <f t="shared" si="40"/>
        <v>98.543169293276662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6">
        <f t="shared" si="1"/>
        <v>358.99852037808239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5.6843418860808015E-14</v>
      </c>
      <c r="O54" s="13">
        <f>N54*VLOOKUP('Données projet'!$B$9,Paramètres!$A$1:$I$89,3,0)*VLOOKUP('Données projet'!$B$9,Paramètres!$A$1:$I$89,5,0)</f>
        <v>3.2810021366458389E-14</v>
      </c>
      <c r="P54" s="13">
        <f t="shared" si="33"/>
        <v>5.6117125884464641E-13</v>
      </c>
      <c r="Q54" s="20">
        <f t="shared" si="53"/>
        <v>1.0345173963676741E-12</v>
      </c>
      <c r="R54" s="59">
        <f t="shared" si="0"/>
        <v>293.33333333333434</v>
      </c>
      <c r="S54" s="59">
        <f ca="1">AVERAGE(OFFSET($R$3,0,0,'Données projet'!$E$9+1,1))-AVERAGE(OFFSET($H$3,0,0,'Données projet'!$E$9+1,1))</f>
        <v>162.0530649500439</v>
      </c>
      <c r="T54" s="59">
        <f t="shared" si="34"/>
        <v>450.88267959505049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68.869448627447738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2.5016404482663549E-3</v>
      </c>
      <c r="AC54" s="22">
        <f t="shared" si="3"/>
        <v>68.871950267896011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212.7999999999999</v>
      </c>
      <c r="AJ54" s="13">
        <f>AI54*VLOOKUP('Données projet'!$B$10,Paramètres!$A$1:$I$89,3,0)*VLOOKUP('Données projet'!$B$10,Paramètres!$A$1:$I$89,5,0)</f>
        <v>179.26271999999992</v>
      </c>
      <c r="AK54" s="13">
        <f t="shared" si="35"/>
        <v>45.158115787467111</v>
      </c>
      <c r="AL54" s="20">
        <f t="shared" si="4"/>
        <v>390.86628899650503</v>
      </c>
      <c r="AM54" s="59">
        <f t="shared" si="5"/>
        <v>684.19962232983835</v>
      </c>
      <c r="AN54" s="59">
        <f ca="1">AVERAGE(OFFSET($AM$3,0,0,'Données projet'!$E$10+1,1))-AVERAGE(OFFSET($H$3,0,0,'Données projet'!$E$10+1,1))</f>
        <v>328.34986205643321</v>
      </c>
      <c r="AO54" s="59">
        <f t="shared" si="36"/>
        <v>251.60894449147008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18.687018685313145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18.687018685313145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5.6</v>
      </c>
      <c r="BD54" s="12">
        <f>IF('Données projet'!$A$88&gt;35,BD53+BC54-BL53,IF(A54&lt;'Données projet'!$A$88,$BA$205^A54,IF(A54='Données projet'!$A$88,'Données projet'!$B$88,BD53+BC54-BL53)))</f>
        <v>112.59999999999997</v>
      </c>
      <c r="BE54" s="13">
        <f>BD54*VLOOKUP('Données projet'!$B$11,Paramètres!$A$1:$I$89,3,0)*VLOOKUP('Données projet'!$B$11,Paramètres!$A$1:$I$89,5,0)</f>
        <v>128.22887999999998</v>
      </c>
      <c r="BF54" s="13">
        <f t="shared" si="37"/>
        <v>33.586779340295337</v>
      </c>
      <c r="BG54" s="20">
        <f t="shared" si="7"/>
        <v>281.82894001768102</v>
      </c>
      <c r="BH54" s="59">
        <f t="shared" si="8"/>
        <v>575.16227335101439</v>
      </c>
      <c r="BI54" s="59">
        <f ca="1">AVERAGE(OFFSET($BH$3,0,0,'Données projet'!$E$11+1,1))-AVERAGE(OFFSET($H$3,0,0,'Données projet'!$E$11+1,1))</f>
        <v>250.68173853329841</v>
      </c>
      <c r="BJ54" s="59">
        <f t="shared" si="38"/>
        <v>113.25940301904359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112.59999999999997</v>
      </c>
      <c r="BZ54" s="13">
        <f>BY54*VLOOKUP('Données projet'!$B$12,Paramètres!$A$1:$I$89,3,0)*VLOOKUP('Données projet'!$B$12,Paramètres!$A$1:$I$89,5,0)</f>
        <v>114.17639999999997</v>
      </c>
      <c r="CA54" s="13">
        <f t="shared" si="39"/>
        <v>30.312832781759997</v>
      </c>
      <c r="CB54" s="20">
        <f t="shared" si="10"/>
        <v>251.65208042823193</v>
      </c>
      <c r="CC54" s="59">
        <f t="shared" si="11"/>
        <v>544.98541376156527</v>
      </c>
      <c r="CD54" s="59">
        <f ca="1">AVERAGE(OFFSET($CC$3,0,0,'Données projet'!$E$12+1,1))-AVERAGE(OFFSET($H$3,0,0,'Données projet'!$E$12+1,1))</f>
        <v>211.44496956344943</v>
      </c>
      <c r="CE54" s="59">
        <f t="shared" si="40"/>
        <v>98.543169293276662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6">
        <f t="shared" si="1"/>
        <v>360.95127911947662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5.6843418860808015E-14</v>
      </c>
      <c r="O55" s="13">
        <f>N55*VLOOKUP('Données projet'!$B$9,Paramètres!$A$1:$I$89,3,0)*VLOOKUP('Données projet'!$B$9,Paramètres!$A$1:$I$89,5,0)</f>
        <v>3.2810021366458389E-14</v>
      </c>
      <c r="P55" s="13">
        <f t="shared" si="33"/>
        <v>5.6117125884464641E-13</v>
      </c>
      <c r="Q55" s="20">
        <f t="shared" si="53"/>
        <v>1.0345173963676741E-12</v>
      </c>
      <c r="R55" s="59">
        <f t="shared" si="0"/>
        <v>293.33333333333434</v>
      </c>
      <c r="S55" s="59">
        <f ca="1">AVERAGE(OFFSET($R$3,0,0,'Données projet'!$E$9+1,1))-AVERAGE(OFFSET($H$3,0,0,'Données projet'!$E$9+1,1))</f>
        <v>162.0530649500439</v>
      </c>
      <c r="T55" s="59">
        <f t="shared" si="34"/>
        <v>450.88267959505049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67.518960746079387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1.7689269250596941E-3</v>
      </c>
      <c r="AC55" s="22">
        <f t="shared" si="3"/>
        <v>67.520729673004453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222.59999999999991</v>
      </c>
      <c r="AJ55" s="13">
        <f>AI55*VLOOKUP('Données projet'!$B$10,Paramètres!$A$1:$I$89,3,0)*VLOOKUP('Données projet'!$B$10,Paramètres!$A$1:$I$89,5,0)</f>
        <v>187.51823999999996</v>
      </c>
      <c r="AK55" s="13">
        <f t="shared" si="35"/>
        <v>46.990851800962481</v>
      </c>
      <c r="AL55" s="20">
        <f t="shared" si="4"/>
        <v>408.43666822000955</v>
      </c>
      <c r="AM55" s="59">
        <f t="shared" si="5"/>
        <v>701.77000155334281</v>
      </c>
      <c r="AN55" s="59">
        <f ca="1">AVERAGE(OFFSET($AM$3,0,0,'Données projet'!$E$10+1,1))-AVERAGE(OFFSET($H$3,0,0,'Données projet'!$E$10+1,1))</f>
        <v>328.34986205643321</v>
      </c>
      <c r="AO55" s="59">
        <f t="shared" si="36"/>
        <v>251.60894449147008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18.320577646850097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18.320577646850097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5.6</v>
      </c>
      <c r="BD55" s="12">
        <f>IF('Données projet'!$A$88&gt;35,BD54+BC55-BL54,IF(A55&lt;'Données projet'!$A$88,$BA$205^A55,IF(A55='Données projet'!$A$88,'Données projet'!$B$88,BD54+BC55-BL54)))</f>
        <v>118.19999999999996</v>
      </c>
      <c r="BE55" s="13">
        <f>BD55*VLOOKUP('Données projet'!$B$11,Paramètres!$A$1:$I$89,3,0)*VLOOKUP('Données projet'!$B$11,Paramètres!$A$1:$I$89,5,0)</f>
        <v>134.60615999999996</v>
      </c>
      <c r="BF55" s="13">
        <f t="shared" si="37"/>
        <v>35.05854123936858</v>
      </c>
      <c r="BG55" s="20">
        <f t="shared" si="7"/>
        <v>295.49935465856686</v>
      </c>
      <c r="BH55" s="59">
        <f t="shared" si="8"/>
        <v>588.83268799190023</v>
      </c>
      <c r="BI55" s="59">
        <f ca="1">AVERAGE(OFFSET($BH$3,0,0,'Données projet'!$E$11+1,1))-AVERAGE(OFFSET($H$3,0,0,'Données projet'!$E$11+1,1))</f>
        <v>250.68173853329841</v>
      </c>
      <c r="BJ55" s="59">
        <f t="shared" si="38"/>
        <v>113.25940301904359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118.19999999999996</v>
      </c>
      <c r="BZ55" s="13">
        <f>BY55*VLOOKUP('Données projet'!$B$12,Paramètres!$A$1:$I$89,3,0)*VLOOKUP('Données projet'!$B$12,Paramètres!$A$1:$I$89,5,0)</f>
        <v>119.85479999999995</v>
      </c>
      <c r="CA55" s="13">
        <f t="shared" si="39"/>
        <v>31.641131392625841</v>
      </c>
      <c r="CB55" s="20">
        <f t="shared" si="10"/>
        <v>263.85541384215657</v>
      </c>
      <c r="CC55" s="59">
        <f t="shared" si="11"/>
        <v>557.18874717548988</v>
      </c>
      <c r="CD55" s="59">
        <f ca="1">AVERAGE(OFFSET($CC$3,0,0,'Données projet'!$E$12+1,1))-AVERAGE(OFFSET($H$3,0,0,'Données projet'!$E$12+1,1))</f>
        <v>211.44496956344943</v>
      </c>
      <c r="CE55" s="59">
        <f t="shared" si="40"/>
        <v>98.543169293276662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6">
        <f t="shared" si="1"/>
        <v>362.90313432124293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5.6843418860808015E-14</v>
      </c>
      <c r="O56" s="13">
        <f>N56*VLOOKUP('Données projet'!$B$9,Paramètres!$A$1:$I$89,3,0)*VLOOKUP('Données projet'!$B$9,Paramètres!$A$1:$I$89,5,0)</f>
        <v>3.2810021366458389E-14</v>
      </c>
      <c r="P56" s="13">
        <f t="shared" si="33"/>
        <v>5.6117125884464641E-13</v>
      </c>
      <c r="Q56" s="20">
        <f t="shared" si="53"/>
        <v>1.0345173963676741E-12</v>
      </c>
      <c r="R56" s="59">
        <f t="shared" si="0"/>
        <v>293.33333333333434</v>
      </c>
      <c r="S56" s="59">
        <f ca="1">AVERAGE(OFFSET($R$3,0,0,'Données projet'!$E$9+1,1))-AVERAGE(OFFSET($H$3,0,0,'Données projet'!$E$9+1,1))</f>
        <v>162.0530649500439</v>
      </c>
      <c r="T56" s="59">
        <f t="shared" si="34"/>
        <v>450.88267959505049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66.194955108348395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1.2508202241331774E-3</v>
      </c>
      <c r="AC56" s="22">
        <f t="shared" si="3"/>
        <v>66.196205928572525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232.39999999999992</v>
      </c>
      <c r="AJ56" s="13">
        <f>AI56*VLOOKUP('Données projet'!$B$10,Paramètres!$A$1:$I$89,3,0)*VLOOKUP('Données projet'!$B$10,Paramètres!$A$1:$I$89,5,0)</f>
        <v>195.77375999999995</v>
      </c>
      <c r="AK56" s="13">
        <f t="shared" si="35"/>
        <v>48.814216733702644</v>
      </c>
      <c r="AL56" s="20">
        <f t="shared" si="4"/>
        <v>425.99072614453195</v>
      </c>
      <c r="AM56" s="59">
        <f t="shared" si="5"/>
        <v>719.32405947786526</v>
      </c>
      <c r="AN56" s="59">
        <f ca="1">AVERAGE(OFFSET($AM$3,0,0,'Données projet'!$E$10+1,1))-AVERAGE(OFFSET($H$3,0,0,'Données projet'!$E$10+1,1))</f>
        <v>328.34986205643321</v>
      </c>
      <c r="AO56" s="59">
        <f t="shared" si="36"/>
        <v>251.60894449147008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17.961322293644347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17.961322293644347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5.6</v>
      </c>
      <c r="BD56" s="12">
        <f>IF('Données projet'!$A$88&gt;35,BD55+BC56-BL55,IF(A56&lt;'Données projet'!$A$88,$BA$205^A56,IF(A56='Données projet'!$A$88,'Données projet'!$B$88,BD55+BC56-BL55)))</f>
        <v>123.79999999999995</v>
      </c>
      <c r="BE56" s="13">
        <f>BD56*VLOOKUP('Données projet'!$B$11,Paramètres!$A$1:$I$89,3,0)*VLOOKUP('Données projet'!$B$11,Paramètres!$A$1:$I$89,5,0)</f>
        <v>140.98343999999994</v>
      </c>
      <c r="BF56" s="13">
        <f t="shared" si="37"/>
        <v>36.522205922710093</v>
      </c>
      <c r="BG56" s="20">
        <f t="shared" si="7"/>
        <v>309.15566664872</v>
      </c>
      <c r="BH56" s="59">
        <f t="shared" si="8"/>
        <v>602.48899998205331</v>
      </c>
      <c r="BI56" s="59">
        <f ca="1">AVERAGE(OFFSET($BH$3,0,0,'Données projet'!$E$11+1,1))-AVERAGE(OFFSET($H$3,0,0,'Données projet'!$E$11+1,1))</f>
        <v>250.68173853329841</v>
      </c>
      <c r="BJ56" s="59">
        <f t="shared" si="38"/>
        <v>113.25940301904359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123.79999999999995</v>
      </c>
      <c r="BZ56" s="13">
        <f>BY56*VLOOKUP('Données projet'!$B$12,Paramètres!$A$1:$I$89,3,0)*VLOOKUP('Données projet'!$B$12,Paramètres!$A$1:$I$89,5,0)</f>
        <v>125.53319999999997</v>
      </c>
      <c r="CA56" s="13">
        <f t="shared" si="39"/>
        <v>32.962122082003134</v>
      </c>
      <c r="CB56" s="20">
        <f t="shared" si="10"/>
        <v>276.046019292822</v>
      </c>
      <c r="CC56" s="59">
        <f t="shared" si="11"/>
        <v>569.37935262615531</v>
      </c>
      <c r="CD56" s="59">
        <f ca="1">AVERAGE(OFFSET($CC$3,0,0,'Données projet'!$E$12+1,1))-AVERAGE(OFFSET($H$3,0,0,'Données projet'!$E$12+1,1))</f>
        <v>211.44496956344943</v>
      </c>
      <c r="CE56" s="59">
        <f t="shared" si="40"/>
        <v>98.543169293276662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6">
        <f t="shared" si="1"/>
        <v>364.85410499706774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5.6843418860808015E-14</v>
      </c>
      <c r="O57" s="13">
        <f>N57*VLOOKUP('Données projet'!$B$9,Paramètres!$A$1:$I$89,3,0)*VLOOKUP('Données projet'!$B$9,Paramètres!$A$1:$I$89,5,0)</f>
        <v>3.2810021366458389E-14</v>
      </c>
      <c r="P57" s="13">
        <f t="shared" si="33"/>
        <v>5.6117125884464641E-13</v>
      </c>
      <c r="Q57" s="20">
        <f t="shared" si="53"/>
        <v>1.0345173963676741E-12</v>
      </c>
      <c r="R57" s="59">
        <f t="shared" si="0"/>
        <v>293.33333333333434</v>
      </c>
      <c r="S57" s="59">
        <f ca="1">AVERAGE(OFFSET($R$3,0,0,'Données projet'!$E$9+1,1))-AVERAGE(OFFSET($H$3,0,0,'Données projet'!$E$9+1,1))</f>
        <v>162.0530649500439</v>
      </c>
      <c r="T57" s="59">
        <f t="shared" si="34"/>
        <v>450.88267959505049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64.896912413609613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8.8446346252984704E-4</v>
      </c>
      <c r="AC57" s="22">
        <f t="shared" si="3"/>
        <v>64.897796877072139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242.19999999999993</v>
      </c>
      <c r="AJ57" s="13">
        <f>AI57*VLOOKUP('Données projet'!$B$10,Paramètres!$A$1:$I$89,3,0)*VLOOKUP('Données projet'!$B$10,Paramètres!$A$1:$I$89,5,0)</f>
        <v>204.02927999999997</v>
      </c>
      <c r="AK57" s="13">
        <f t="shared" si="35"/>
        <v>50.628650934368238</v>
      </c>
      <c r="AL57" s="20">
        <f t="shared" si="4"/>
        <v>443.52922971069125</v>
      </c>
      <c r="AM57" s="59">
        <f t="shared" si="5"/>
        <v>736.86256304402457</v>
      </c>
      <c r="AN57" s="59">
        <f ca="1">AVERAGE(OFFSET($AM$3,0,0,'Données projet'!$E$10+1,1))-AVERAGE(OFFSET($H$3,0,0,'Données projet'!$E$10+1,1))</f>
        <v>328.34986205643321</v>
      </c>
      <c r="AO57" s="59">
        <f t="shared" si="36"/>
        <v>251.60894449147008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17.609111718790832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17.609111718790832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5.6</v>
      </c>
      <c r="BD57" s="12">
        <f>IF('Données projet'!$A$88&gt;35,BD56+BC57-BL56,IF(A57&lt;'Données projet'!$A$88,$BA$205^A57,IF(A57='Données projet'!$A$88,'Données projet'!$B$88,BD56+BC57-BL56)))</f>
        <v>129.39999999999995</v>
      </c>
      <c r="BE57" s="13">
        <f>BD57*VLOOKUP('Données projet'!$B$11,Paramètres!$A$1:$I$89,3,0)*VLOOKUP('Données projet'!$B$11,Paramètres!$A$1:$I$89,5,0)</f>
        <v>147.36071999999993</v>
      </c>
      <c r="BF57" s="13">
        <f t="shared" si="37"/>
        <v>37.978181505546587</v>
      </c>
      <c r="BG57" s="20">
        <f t="shared" si="7"/>
        <v>322.79858678882687</v>
      </c>
      <c r="BH57" s="59">
        <f t="shared" si="8"/>
        <v>616.13192012216018</v>
      </c>
      <c r="BI57" s="59">
        <f ca="1">AVERAGE(OFFSET($BH$3,0,0,'Données projet'!$E$11+1,1))-AVERAGE(OFFSET($H$3,0,0,'Données projet'!$E$11+1,1))</f>
        <v>250.68173853329841</v>
      </c>
      <c r="BJ57" s="59">
        <f t="shared" si="38"/>
        <v>113.25940301904359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129.39999999999995</v>
      </c>
      <c r="BZ57" s="13">
        <f>BY57*VLOOKUP('Données projet'!$B$12,Paramètres!$A$1:$I$89,3,0)*VLOOKUP('Données projet'!$B$12,Paramètres!$A$1:$I$89,5,0)</f>
        <v>131.21159999999995</v>
      </c>
      <c r="CA57" s="13">
        <f t="shared" si="39"/>
        <v>34.276173183172517</v>
      </c>
      <c r="CB57" s="20">
        <f t="shared" si="10"/>
        <v>288.22453829402536</v>
      </c>
      <c r="CC57" s="59">
        <f t="shared" si="11"/>
        <v>581.55787162735874</v>
      </c>
      <c r="CD57" s="59">
        <f ca="1">AVERAGE(OFFSET($CC$3,0,0,'Données projet'!$E$12+1,1))-AVERAGE(OFFSET($H$3,0,0,'Données projet'!$E$12+1,1))</f>
        <v>211.44496956344943</v>
      </c>
      <c r="CE57" s="59">
        <f t="shared" si="40"/>
        <v>98.543169293276662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6">
        <f t="shared" si="1"/>
        <v>366.80420941611692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5.6843418860808015E-14</v>
      </c>
      <c r="O58" s="13">
        <f>N58*VLOOKUP('Données projet'!$B$9,Paramètres!$A$1:$I$89,3,0)*VLOOKUP('Données projet'!$B$9,Paramètres!$A$1:$I$89,5,0)</f>
        <v>3.2810021366458389E-14</v>
      </c>
      <c r="P58" s="13">
        <f t="shared" si="33"/>
        <v>5.6117125884464641E-13</v>
      </c>
      <c r="Q58" s="20">
        <f t="shared" si="53"/>
        <v>1.0345173963676741E-12</v>
      </c>
      <c r="R58" s="59">
        <f t="shared" si="0"/>
        <v>293.33333333333434</v>
      </c>
      <c r="S58" s="59">
        <f ca="1">AVERAGE(OFFSET($R$3,0,0,'Données projet'!$E$9+1,1))-AVERAGE(OFFSET($H$3,0,0,'Données projet'!$E$9+1,1))</f>
        <v>162.0530649500439</v>
      </c>
      <c r="T58" s="59">
        <f t="shared" si="34"/>
        <v>450.88267959505049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63.624323544386783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6.2541011206658872E-4</v>
      </c>
      <c r="AC58" s="22">
        <f t="shared" si="3"/>
        <v>63.624948954498848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251.99999999999994</v>
      </c>
      <c r="AJ58" s="13">
        <f>AI58*VLOOKUP('Données projet'!$B$10,Paramètres!$A$1:$I$89,3,0)*VLOOKUP('Données projet'!$B$10,Paramètres!$A$1:$I$89,5,0)</f>
        <v>212.28479999999999</v>
      </c>
      <c r="AK58" s="13">
        <f t="shared" si="35"/>
        <v>52.434557099704193</v>
      </c>
      <c r="AL58" s="20">
        <f t="shared" si="4"/>
        <v>461.05288028198476</v>
      </c>
      <c r="AM58" s="59">
        <f t="shared" si="5"/>
        <v>754.38621361531807</v>
      </c>
      <c r="AN58" s="59">
        <f ca="1">AVERAGE(OFFSET($AM$3,0,0,'Données projet'!$E$10+1,1))-AVERAGE(OFFSET($H$3,0,0,'Données projet'!$E$10+1,1))</f>
        <v>328.34986205643321</v>
      </c>
      <c r="AO58" s="59">
        <f t="shared" si="36"/>
        <v>251.60894449147008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17.263807778482956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17.263807778482956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5.6</v>
      </c>
      <c r="BD58" s="12">
        <f>IF('Données projet'!$A$88&gt;35,BD57+BC58-BL57,IF(A58&lt;'Données projet'!$A$88,$BA$205^A58,IF(A58='Données projet'!$A$88,'Données projet'!$B$88,BD57+BC58-BL57)))</f>
        <v>134.99999999999994</v>
      </c>
      <c r="BE58" s="13">
        <f>BD58*VLOOKUP('Données projet'!$B$11,Paramètres!$A$1:$I$89,3,0)*VLOOKUP('Données projet'!$B$11,Paramètres!$A$1:$I$89,5,0)</f>
        <v>153.73799999999994</v>
      </c>
      <c r="BF58" s="13">
        <f t="shared" si="37"/>
        <v>39.426838781722438</v>
      </c>
      <c r="BG58" s="20">
        <f t="shared" si="7"/>
        <v>336.42876087816643</v>
      </c>
      <c r="BH58" s="59">
        <f t="shared" si="8"/>
        <v>629.76209421149974</v>
      </c>
      <c r="BI58" s="59">
        <f ca="1">AVERAGE(OFFSET($BH$3,0,0,'Données projet'!$E$11+1,1))-AVERAGE(OFFSET($H$3,0,0,'Données projet'!$E$11+1,1))</f>
        <v>250.68173853329841</v>
      </c>
      <c r="BJ58" s="59">
        <f t="shared" si="38"/>
        <v>113.25940301904359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134.99999999999994</v>
      </c>
      <c r="BZ58" s="13">
        <f>BY58*VLOOKUP('Données projet'!$B$12,Paramètres!$A$1:$I$89,3,0)*VLOOKUP('Données projet'!$B$12,Paramètres!$A$1:$I$89,5,0)</f>
        <v>136.88999999999996</v>
      </c>
      <c r="CA58" s="13">
        <f t="shared" si="39"/>
        <v>35.583619346017713</v>
      </c>
      <c r="CB58" s="20">
        <f t="shared" si="10"/>
        <v>300.3915536943141</v>
      </c>
      <c r="CC58" s="59">
        <f t="shared" si="11"/>
        <v>593.72488702764736</v>
      </c>
      <c r="CD58" s="59">
        <f ca="1">AVERAGE(OFFSET($CC$3,0,0,'Données projet'!$E$12+1,1))-AVERAGE(OFFSET($H$3,0,0,'Données projet'!$E$12+1,1))</f>
        <v>211.44496956344943</v>
      </c>
      <c r="CE58" s="59">
        <f t="shared" si="40"/>
        <v>98.543169293276662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6">
        <f t="shared" si="1"/>
        <v>368.75346514518651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5.6843418860808015E-14</v>
      </c>
      <c r="O59" s="13">
        <f>N59*VLOOKUP('Données projet'!$B$9,Paramètres!$A$1:$I$89,3,0)*VLOOKUP('Données projet'!$B$9,Paramètres!$A$1:$I$89,5,0)</f>
        <v>3.2810021366458389E-14</v>
      </c>
      <c r="P59" s="13">
        <f t="shared" si="33"/>
        <v>5.6117125884464641E-13</v>
      </c>
      <c r="Q59" s="20">
        <f t="shared" si="53"/>
        <v>1.0345173963676741E-12</v>
      </c>
      <c r="R59" s="59">
        <f t="shared" si="0"/>
        <v>293.33333333333434</v>
      </c>
      <c r="S59" s="59">
        <f ca="1">AVERAGE(OFFSET($R$3,0,0,'Données projet'!$E$9+1,1))-AVERAGE(OFFSET($H$3,0,0,'Données projet'!$E$9+1,1))</f>
        <v>162.0530649500439</v>
      </c>
      <c r="T59" s="59">
        <f t="shared" si="34"/>
        <v>450.88267959505049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62.376689366686847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4.4223173126492352E-4</v>
      </c>
      <c r="AC59" s="22">
        <f t="shared" si="3"/>
        <v>62.37713159841811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261.79999999999995</v>
      </c>
      <c r="AJ59" s="13">
        <f>AI59*VLOOKUP('Données projet'!$B$10,Paramètres!$A$1:$I$89,3,0)*VLOOKUP('Données projet'!$B$10,Paramètres!$A$1:$I$89,5,0)</f>
        <v>220.54031999999998</v>
      </c>
      <c r="AK59" s="13">
        <f t="shared" si="35"/>
        <v>54.232304832110685</v>
      </c>
      <c r="AL59" s="20">
        <f t="shared" si="4"/>
        <v>478.56232158259263</v>
      </c>
      <c r="AM59" s="59">
        <f t="shared" si="5"/>
        <v>771.89565491592589</v>
      </c>
      <c r="AN59" s="59">
        <f ca="1">AVERAGE(OFFSET($AM$3,0,0,'Données projet'!$E$10+1,1))-AVERAGE(OFFSET($H$3,0,0,'Données projet'!$E$10+1,1))</f>
        <v>328.34986205643321</v>
      </c>
      <c r="AO59" s="59">
        <f t="shared" si="36"/>
        <v>251.60894449147008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16.925275037829909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16.925275037829909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5.6</v>
      </c>
      <c r="BD59" s="12">
        <f>IF('Données projet'!$A$88&gt;35,BD58+BC59-BL58,IF(A59&lt;'Données projet'!$A$88,$BA$205^A59,IF(A59='Données projet'!$A$88,'Données projet'!$B$88,BD58+BC59-BL58)))</f>
        <v>140.59999999999994</v>
      </c>
      <c r="BE59" s="13">
        <f>BD59*VLOOKUP('Données projet'!$B$11,Paramètres!$A$1:$I$89,3,0)*VLOOKUP('Données projet'!$B$11,Paramètres!$A$1:$I$89,5,0)</f>
        <v>160.11527999999993</v>
      </c>
      <c r="BF59" s="13">
        <f t="shared" si="37"/>
        <v>40.868516042440028</v>
      </c>
      <c r="BG59" s="20">
        <f t="shared" si="7"/>
        <v>350.04677810724957</v>
      </c>
      <c r="BH59" s="59">
        <f t="shared" si="8"/>
        <v>643.38011144058282</v>
      </c>
      <c r="BI59" s="59">
        <f ca="1">AVERAGE(OFFSET($BH$3,0,0,'Données projet'!$E$11+1,1))-AVERAGE(OFFSET($H$3,0,0,'Données projet'!$E$11+1,1))</f>
        <v>250.68173853329841</v>
      </c>
      <c r="BJ59" s="59">
        <f t="shared" si="38"/>
        <v>113.25940301904359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5.6</v>
      </c>
      <c r="BY59" s="12">
        <f>IF('Données projet'!$A$114&gt;35,BY58+BX59-CG58,IF(A59&lt;'Données projet'!$A$114,$BV$205^A59,IF(A59='Données projet'!$A$114,'Données projet'!$B$114,BY58+BX59-CG58)))</f>
        <v>140.59999999999994</v>
      </c>
      <c r="BZ59" s="13">
        <f>BY59*VLOOKUP('Données projet'!$B$12,Paramètres!$A$1:$I$89,3,0)*VLOOKUP('Données projet'!$B$12,Paramètres!$A$1:$I$89,5,0)</f>
        <v>142.56839999999994</v>
      </c>
      <c r="CA59" s="13">
        <f t="shared" si="39"/>
        <v>36.884765886048363</v>
      </c>
      <c r="CB59" s="20">
        <f t="shared" si="10"/>
        <v>312.54759725153411</v>
      </c>
      <c r="CC59" s="59">
        <f t="shared" si="11"/>
        <v>605.88093058486743</v>
      </c>
      <c r="CD59" s="59">
        <f ca="1">AVERAGE(OFFSET($CC$3,0,0,'Données projet'!$E$12+1,1))-AVERAGE(OFFSET($H$3,0,0,'Données projet'!$E$12+1,1))</f>
        <v>211.44496956344943</v>
      </c>
      <c r="CE59" s="59">
        <f t="shared" si="40"/>
        <v>98.543169293276662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6">
        <f t="shared" si="1"/>
        <v>370.70188908775697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5.6843418860808015E-14</v>
      </c>
      <c r="O60" s="13">
        <f>N60*VLOOKUP('Données projet'!$B$9,Paramètres!$A$1:$I$89,3,0)*VLOOKUP('Données projet'!$B$9,Paramètres!$A$1:$I$89,5,0)</f>
        <v>3.2810021366458389E-14</v>
      </c>
      <c r="P60" s="13">
        <f t="shared" si="33"/>
        <v>5.6117125884464641E-13</v>
      </c>
      <c r="Q60" s="20">
        <f t="shared" si="53"/>
        <v>1.0345173963676741E-12</v>
      </c>
      <c r="R60" s="59">
        <f t="shared" si="0"/>
        <v>293.33333333333434</v>
      </c>
      <c r="S60" s="59">
        <f ca="1">AVERAGE(OFFSET($R$3,0,0,'Données projet'!$E$9+1,1))-AVERAGE(OFFSET($H$3,0,0,'Données projet'!$E$9+1,1))</f>
        <v>162.0530649500439</v>
      </c>
      <c r="T60" s="59">
        <f t="shared" si="34"/>
        <v>450.88267959505049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61.153520534229898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3.1270505603329436E-4</v>
      </c>
      <c r="AC60" s="22">
        <f t="shared" si="3"/>
        <v>61.15383323928593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271.59999999999997</v>
      </c>
      <c r="AJ60" s="13">
        <f>AI60*VLOOKUP('Données projet'!$B$10,Paramètres!$A$1:$I$89,3,0)*VLOOKUP('Données projet'!$B$10,Paramètres!$A$1:$I$89,5,0)</f>
        <v>228.79584</v>
      </c>
      <c r="AK60" s="13">
        <f t="shared" si="35"/>
        <v>56.022234495627458</v>
      </c>
      <c r="AL60" s="20">
        <f t="shared" si="4"/>
        <v>496.0581464132178</v>
      </c>
      <c r="AM60" s="59">
        <f t="shared" si="5"/>
        <v>789.39147974655111</v>
      </c>
      <c r="AN60" s="59">
        <f ca="1">AVERAGE(OFFSET($AM$3,0,0,'Données projet'!$E$10+1,1))-AVERAGE(OFFSET($H$3,0,0,'Données projet'!$E$10+1,1))</f>
        <v>328.34986205643321</v>
      </c>
      <c r="AO60" s="59">
        <f t="shared" si="36"/>
        <v>251.60894449147008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16.593380717736487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16.593380717736487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5.6</v>
      </c>
      <c r="BD60" s="12">
        <f>IF('Données projet'!$A$88&gt;35,BD59+BC60-BL59,IF(A60&lt;'Données projet'!$A$88,$BA$205^A60,IF(A60='Données projet'!$A$88,'Données projet'!$B$88,BD59+BC60-BL59)))</f>
        <v>146.19999999999993</v>
      </c>
      <c r="BE60" s="13">
        <f>BD60*VLOOKUP('Données projet'!$B$11,Paramètres!$A$1:$I$89,3,0)*VLOOKUP('Données projet'!$B$11,Paramètres!$A$1:$I$89,5,0)</f>
        <v>166.49255999999991</v>
      </c>
      <c r="BF60" s="13">
        <f t="shared" si="37"/>
        <v>42.303523105684178</v>
      </c>
      <c r="BG60" s="20">
        <f t="shared" si="7"/>
        <v>363.65317807573314</v>
      </c>
      <c r="BH60" s="59">
        <f t="shared" si="8"/>
        <v>656.98651140906645</v>
      </c>
      <c r="BI60" s="59">
        <f ca="1">AVERAGE(OFFSET($BH$3,0,0,'Données projet'!$E$11+1,1))-AVERAGE(OFFSET($H$3,0,0,'Données projet'!$E$11+1,1))</f>
        <v>250.68173853329841</v>
      </c>
      <c r="BJ60" s="59">
        <f t="shared" si="38"/>
        <v>113.25940301904359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5.6</v>
      </c>
      <c r="BY60" s="12">
        <f>IF('Données projet'!$A$114&gt;35,BY59+BX60-CG59,IF(A60&lt;'Données projet'!$A$114,$BV$205^A60,IF(A60='Données projet'!$A$114,'Données projet'!$B$114,BY59+BX60-CG59)))</f>
        <v>146.19999999999993</v>
      </c>
      <c r="BZ60" s="13">
        <f>BY60*VLOOKUP('Données projet'!$B$12,Paramètres!$A$1:$I$89,3,0)*VLOOKUP('Données projet'!$B$12,Paramètres!$A$1:$I$89,5,0)</f>
        <v>148.24679999999995</v>
      </c>
      <c r="CA60" s="13">
        <f t="shared" si="39"/>
        <v>38.17989242104715</v>
      </c>
      <c r="CB60" s="20">
        <f t="shared" si="10"/>
        <v>324.69315596665706</v>
      </c>
      <c r="CC60" s="59">
        <f t="shared" si="11"/>
        <v>618.02648929999032</v>
      </c>
      <c r="CD60" s="59">
        <f ca="1">AVERAGE(OFFSET($CC$3,0,0,'Données projet'!$E$12+1,1))-AVERAGE(OFFSET($H$3,0,0,'Données projet'!$E$12+1,1))</f>
        <v>211.44496956344943</v>
      </c>
      <c r="CE60" s="59">
        <f t="shared" si="40"/>
        <v>98.543169293276662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6">
        <f t="shared" si="1"/>
        <v>372.6494975202296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5.6843418860808015E-14</v>
      </c>
      <c r="O61" s="13">
        <f>N61*VLOOKUP('Données projet'!$B$9,Paramètres!$A$1:$I$89,3,0)*VLOOKUP('Données projet'!$B$9,Paramètres!$A$1:$I$89,5,0)</f>
        <v>3.2810021366458389E-14</v>
      </c>
      <c r="P61" s="13">
        <f t="shared" si="33"/>
        <v>5.6117125884464641E-13</v>
      </c>
      <c r="Q61" s="20">
        <f t="shared" si="53"/>
        <v>1.0345173963676741E-12</v>
      </c>
      <c r="R61" s="59">
        <f t="shared" si="0"/>
        <v>293.33333333333434</v>
      </c>
      <c r="S61" s="59">
        <f ca="1">AVERAGE(OFFSET($R$3,0,0,'Données projet'!$E$9+1,1))-AVERAGE(OFFSET($H$3,0,0,'Données projet'!$E$9+1,1))</f>
        <v>162.0530649500439</v>
      </c>
      <c r="T61" s="59">
        <f t="shared" si="34"/>
        <v>450.88267959505049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59.954337296518112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2.2111586563246176E-4</v>
      </c>
      <c r="AC61" s="22">
        <f t="shared" si="3"/>
        <v>59.954558412383747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281.39999999999998</v>
      </c>
      <c r="AJ61" s="13">
        <f>AI61*VLOOKUP('Données projet'!$B$10,Paramètres!$A$1:$I$89,3,0)*VLOOKUP('Données projet'!$B$10,Paramètres!$A$1:$I$89,5,0)</f>
        <v>237.05135999999999</v>
      </c>
      <c r="AK61" s="13">
        <f t="shared" si="35"/>
        <v>57.804660499743029</v>
      </c>
      <c r="AL61" s="20">
        <f t="shared" si="4"/>
        <v>513.54090237038565</v>
      </c>
      <c r="AM61" s="59">
        <f t="shared" si="5"/>
        <v>806.87423570371902</v>
      </c>
      <c r="AN61" s="59">
        <f ca="1">AVERAGE(OFFSET($AM$3,0,0,'Données projet'!$E$10+1,1))-AVERAGE(OFFSET($H$3,0,0,'Données projet'!$E$10+1,1))</f>
        <v>328.34986205643321</v>
      </c>
      <c r="AO61" s="59">
        <f t="shared" si="36"/>
        <v>251.60894449147008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16.267994642824551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16.267994642824551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5.6</v>
      </c>
      <c r="BD61" s="12">
        <f>IF('Données projet'!$A$88&gt;35,BD60+BC61-BL60,IF(A61&lt;'Données projet'!$A$88,$BA$205^A61,IF(A61='Données projet'!$A$88,'Données projet'!$B$88,BD60+BC61-BL60)))</f>
        <v>151.79999999999993</v>
      </c>
      <c r="BE61" s="13">
        <f>BD61*VLOOKUP('Données projet'!$B$11,Paramètres!$A$1:$I$89,3,0)*VLOOKUP('Données projet'!$B$11,Paramètres!$A$1:$I$89,5,0)</f>
        <v>172.86983999999993</v>
      </c>
      <c r="BF61" s="13">
        <f t="shared" si="37"/>
        <v>43.732144710915321</v>
      </c>
      <c r="BG61" s="20">
        <f t="shared" si="7"/>
        <v>377.24845670484405</v>
      </c>
      <c r="BH61" s="59">
        <f t="shared" si="8"/>
        <v>670.58179003817736</v>
      </c>
      <c r="BI61" s="59">
        <f ca="1">AVERAGE(OFFSET($BH$3,0,0,'Données projet'!$E$11+1,1))-AVERAGE(OFFSET($H$3,0,0,'Données projet'!$E$11+1,1))</f>
        <v>250.68173853329841</v>
      </c>
      <c r="BJ61" s="59">
        <f t="shared" si="38"/>
        <v>113.25940301904359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5.6</v>
      </c>
      <c r="BY61" s="12">
        <f>IF('Données projet'!$A$114&gt;35,BY60+BX61-CG60,IF(A61&lt;'Données projet'!$A$114,$BV$205^A61,IF(A61='Données projet'!$A$114,'Données projet'!$B$114,BY60+BX61-CG60)))</f>
        <v>151.79999999999993</v>
      </c>
      <c r="BZ61" s="13">
        <f>BY61*VLOOKUP('Données projet'!$B$12,Paramètres!$A$1:$I$89,3,0)*VLOOKUP('Données projet'!$B$12,Paramètres!$A$1:$I$89,5,0)</f>
        <v>153.92519999999993</v>
      </c>
      <c r="CA61" s="13">
        <f t="shared" si="39"/>
        <v>39.469255934857649</v>
      </c>
      <c r="CB61" s="20">
        <f t="shared" si="10"/>
        <v>336.8286774198769</v>
      </c>
      <c r="CC61" s="59">
        <f t="shared" si="11"/>
        <v>630.16201075321021</v>
      </c>
      <c r="CD61" s="59">
        <f ca="1">AVERAGE(OFFSET($CC$3,0,0,'Données projet'!$E$12+1,1))-AVERAGE(OFFSET($H$3,0,0,'Données projet'!$E$12+1,1))</f>
        <v>211.44496956344943</v>
      </c>
      <c r="CE61" s="59">
        <f t="shared" si="40"/>
        <v>98.543169293276662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6">
        <f t="shared" si="1"/>
        <v>374.59630612559323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5.6843418860808015E-14</v>
      </c>
      <c r="O62" s="13">
        <f>N62*VLOOKUP('Données projet'!$B$9,Paramètres!$A$1:$I$89,3,0)*VLOOKUP('Données projet'!$B$9,Paramètres!$A$1:$I$89,5,0)</f>
        <v>3.2810021366458389E-14</v>
      </c>
      <c r="P62" s="13">
        <f t="shared" si="33"/>
        <v>5.6117125884464641E-13</v>
      </c>
      <c r="Q62" s="20">
        <f t="shared" si="53"/>
        <v>1.0345173963676741E-12</v>
      </c>
      <c r="R62" s="59">
        <f t="shared" si="0"/>
        <v>293.33333333333434</v>
      </c>
      <c r="S62" s="59">
        <f ca="1">AVERAGE(OFFSET($R$3,0,0,'Données projet'!$E$9+1,1))-AVERAGE(OFFSET($H$3,0,0,'Données projet'!$E$9+1,1))</f>
        <v>162.0530649500439</v>
      </c>
      <c r="T62" s="59">
        <f t="shared" si="34"/>
        <v>450.88267959505049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58.778669310668299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1.5635252801664718E-4</v>
      </c>
      <c r="AC62" s="22">
        <f t="shared" si="3"/>
        <v>58.778825663196315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291.2</v>
      </c>
      <c r="AJ62" s="13">
        <f>AI62*VLOOKUP('Données projet'!$B$10,Paramètres!$A$1:$I$89,3,0)*VLOOKUP('Données projet'!$B$10,Paramètres!$A$1:$I$89,5,0)</f>
        <v>245.30688000000001</v>
      </c>
      <c r="AK62" s="13">
        <f t="shared" si="35"/>
        <v>59.579874112906374</v>
      </c>
      <c r="AL62" s="20">
        <f t="shared" si="4"/>
        <v>531.01109674664531</v>
      </c>
      <c r="AM62" s="59">
        <f t="shared" si="5"/>
        <v>824.34443007997857</v>
      </c>
      <c r="AN62" s="59">
        <f ca="1">AVERAGE(OFFSET($AM$3,0,0,'Données projet'!$E$10+1,1))-AVERAGE(OFFSET($H$3,0,0,'Données projet'!$E$10+1,1))</f>
        <v>328.34986205643321</v>
      </c>
      <c r="AO62" s="59">
        <f t="shared" si="36"/>
        <v>251.60894449147008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15.948989190375729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15.948989190375729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5.6</v>
      </c>
      <c r="BD62" s="12">
        <f>IF('Données projet'!$A$88&gt;35,BD61+BC62-BL61,IF(A62&lt;'Données projet'!$A$88,$BA$205^A62,IF(A62='Données projet'!$A$88,'Données projet'!$B$88,BD61+BC62-BL61)))</f>
        <v>157.39999999999992</v>
      </c>
      <c r="BE62" s="13">
        <f>BD62*VLOOKUP('Données projet'!$B$11,Paramètres!$A$1:$I$89,3,0)*VLOOKUP('Données projet'!$B$11,Paramètres!$A$1:$I$89,5,0)</f>
        <v>179.24711999999991</v>
      </c>
      <c r="BF62" s="13">
        <f t="shared" si="37"/>
        <v>45.154643398751574</v>
      </c>
      <c r="BG62" s="20">
        <f t="shared" si="7"/>
        <v>390.83307125282545</v>
      </c>
      <c r="BH62" s="59">
        <f t="shared" si="8"/>
        <v>684.16640458615871</v>
      </c>
      <c r="BI62" s="59">
        <f ca="1">AVERAGE(OFFSET($BH$3,0,0,'Données projet'!$E$11+1,1))-AVERAGE(OFFSET($H$3,0,0,'Données projet'!$E$11+1,1))</f>
        <v>250.68173853329841</v>
      </c>
      <c r="BJ62" s="59">
        <f t="shared" si="38"/>
        <v>113.25940301904359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5.6</v>
      </c>
      <c r="BY62" s="12">
        <f>IF('Données projet'!$A$114&gt;35,BY61+BX62-CG61,IF(A62&lt;'Données projet'!$A$114,$BV$205^A62,IF(A62='Données projet'!$A$114,'Données projet'!$B$114,BY61+BX62-CG61)))</f>
        <v>157.39999999999992</v>
      </c>
      <c r="BZ62" s="13">
        <f>BY62*VLOOKUP('Données projet'!$B$12,Paramètres!$A$1:$I$89,3,0)*VLOOKUP('Données projet'!$B$12,Paramètres!$A$1:$I$89,5,0)</f>
        <v>159.60359999999991</v>
      </c>
      <c r="CA62" s="13">
        <f t="shared" si="39"/>
        <v>40.753093376363118</v>
      </c>
      <c r="CB62" s="20">
        <f t="shared" si="10"/>
        <v>348.95457429716561</v>
      </c>
      <c r="CC62" s="59">
        <f t="shared" si="11"/>
        <v>642.28790763049892</v>
      </c>
      <c r="CD62" s="59">
        <f ca="1">AVERAGE(OFFSET($CC$3,0,0,'Données projet'!$E$12+1,1))-AVERAGE(OFFSET($H$3,0,0,'Données projet'!$E$12+1,1))</f>
        <v>211.44496956344943</v>
      </c>
      <c r="CE62" s="59">
        <f t="shared" si="40"/>
        <v>98.543169293276662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6">
        <f t="shared" si="1"/>
        <v>376.54233002474325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5.6843418860808015E-14</v>
      </c>
      <c r="O63" s="13">
        <f>N63*VLOOKUP('Données projet'!$B$9,Paramètres!$A$1:$I$89,3,0)*VLOOKUP('Données projet'!$B$9,Paramètres!$A$1:$I$89,5,0)</f>
        <v>3.2810021366458389E-14</v>
      </c>
      <c r="P63" s="13">
        <f t="shared" si="33"/>
        <v>5.6117125884464641E-13</v>
      </c>
      <c r="Q63" s="20">
        <f t="shared" si="53"/>
        <v>1.0345173963676741E-12</v>
      </c>
      <c r="R63" s="59">
        <f t="shared" si="0"/>
        <v>293.33333333333434</v>
      </c>
      <c r="S63" s="59">
        <f ca="1">AVERAGE(OFFSET($R$3,0,0,'Données projet'!$E$9+1,1))-AVERAGE(OFFSET($H$3,0,0,'Données projet'!$E$9+1,1))</f>
        <v>162.0530649500439</v>
      </c>
      <c r="T63" s="59">
        <f t="shared" si="34"/>
        <v>450.88267959505049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57.626055456934338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1.1055793281623088E-4</v>
      </c>
      <c r="AC63" s="22">
        <f t="shared" si="3"/>
        <v>57.626166014867152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301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301</v>
      </c>
      <c r="AJ63" s="13">
        <f>AI63*VLOOKUP('Données projet'!$B$10,Paramètres!$A$1:$I$89,3,0)*VLOOKUP('Données projet'!$B$10,Paramètres!$A$1:$I$89,5,0)</f>
        <v>253.56240000000005</v>
      </c>
      <c r="AK63" s="13">
        <f t="shared" si="35"/>
        <v>61.348145886656177</v>
      </c>
      <c r="AL63" s="20">
        <f t="shared" si="4"/>
        <v>548.46920075259288</v>
      </c>
      <c r="AM63" s="59">
        <f t="shared" si="5"/>
        <v>841.80253408592625</v>
      </c>
      <c r="AN63" s="59">
        <f ca="1">AVERAGE(OFFSET($AM$3,0,0,'Données projet'!$E$10+1,1))-AVERAGE(OFFSET($H$3,0,0,'Données projet'!$E$10+1,1))</f>
        <v>328.34986205643321</v>
      </c>
      <c r="AO63" s="59">
        <f t="shared" si="36"/>
        <v>251.60894449147008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0.36549999999999999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34.697028374578743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34.697028374578743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163</v>
      </c>
      <c r="BB63" s="12">
        <f>VLOOKUP(A63,'Données projet'!$A$87:$I$107,9,0)</f>
        <v>5.6</v>
      </c>
      <c r="BC63" s="12">
        <f t="array" ref="BC63">INDEX(BB:BB,MIN(IF(ISNUMBER(BB63:BB259),ROW(BB63:BB259),"")))</f>
        <v>5.6</v>
      </c>
      <c r="BD63" s="12">
        <f>IF('Données projet'!$A$88&gt;35,BD62+BC63-BL62,IF(A63&lt;'Données projet'!$A$88,$BA$205^A63,IF(A63='Données projet'!$A$88,'Données projet'!$B$88,BD62+BC63-BL62)))</f>
        <v>162.99999999999991</v>
      </c>
      <c r="BE63" s="13">
        <f>BD63*VLOOKUP('Données projet'!$B$11,Paramètres!$A$1:$I$89,3,0)*VLOOKUP('Données projet'!$B$11,Paramètres!$A$1:$I$89,5,0)</f>
        <v>185.62439999999992</v>
      </c>
      <c r="BF63" s="13">
        <f t="shared" si="37"/>
        <v>46.571261969320169</v>
      </c>
      <c r="BG63" s="20">
        <f t="shared" si="7"/>
        <v>404.40744459656588</v>
      </c>
      <c r="BH63" s="59">
        <f t="shared" si="8"/>
        <v>697.7407779298992</v>
      </c>
      <c r="BI63" s="59">
        <f ca="1">AVERAGE(OFFSET($BH$3,0,0,'Données projet'!$E$11+1,1))-AVERAGE(OFFSET($H$3,0,0,'Données projet'!$E$11+1,1))</f>
        <v>250.68173853329841</v>
      </c>
      <c r="BJ63" s="59">
        <f t="shared" si="38"/>
        <v>113.25940301904359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0.36549999999999999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12.883681544482874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12.883681544482874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163</v>
      </c>
      <c r="BW63" s="12">
        <f>VLOOKUP(A63,'Données projet'!$A$113:$I$133,9,0)</f>
        <v>5.6</v>
      </c>
      <c r="BX63" s="12">
        <f t="array" ref="BX63">INDEX(BW:BW,MIN(IF(ISNUMBER(BW63:BW259),ROW(BW63:BW259),"")))</f>
        <v>5.6</v>
      </c>
      <c r="BY63" s="12">
        <f>IF('Données projet'!$A$114&gt;35,BY62+BX63-CG62,IF(A63&lt;'Données projet'!$A$114,$BV$205^A63,IF(A63='Données projet'!$A$114,'Données projet'!$B$114,BY62+BX63-CG62)))</f>
        <v>162.99999999999991</v>
      </c>
      <c r="BZ63" s="13">
        <f>BY63*VLOOKUP('Données projet'!$B$12,Paramètres!$A$1:$I$89,3,0)*VLOOKUP('Données projet'!$B$12,Paramètres!$A$1:$I$89,5,0)</f>
        <v>165.28199999999993</v>
      </c>
      <c r="CA63" s="13">
        <f t="shared" si="39"/>
        <v>42.031623878204442</v>
      </c>
      <c r="CB63" s="20">
        <f t="shared" si="10"/>
        <v>361.07122825453922</v>
      </c>
      <c r="CC63" s="59">
        <f t="shared" si="11"/>
        <v>654.40456158787254</v>
      </c>
      <c r="CD63" s="59">
        <f ca="1">AVERAGE(OFFSET($CC$3,0,0,'Données projet'!$E$12+1,1))-AVERAGE(OFFSET($H$3,0,0,'Données projet'!$E$12+1,1))</f>
        <v>211.44496956344943</v>
      </c>
      <c r="CE63" s="59">
        <f t="shared" si="40"/>
        <v>98.543169293276662</v>
      </c>
      <c r="CF63" s="15">
        <f>IF(ISNA(VLOOKUP(A63,'Données projet'!$A$113:$I$133,3,0)),0,VLOOKUP(A63,'Données projet'!$A$113:$I$133,3,0))</f>
        <v>4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0.36549999999999999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11.471771238238174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11.471771238238174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6">
        <f t="shared" si="1"/>
        <v>378.48758380565391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5.6843418860808015E-14</v>
      </c>
      <c r="O64" s="13">
        <f>N64*VLOOKUP('Données projet'!$B$9,Paramètres!$A$1:$I$89,3,0)*VLOOKUP('Données projet'!$B$9,Paramètres!$A$1:$I$89,5,0)</f>
        <v>3.2810021366458389E-14</v>
      </c>
      <c r="P64" s="13">
        <f t="shared" si="33"/>
        <v>5.6117125884464641E-13</v>
      </c>
      <c r="Q64" s="20">
        <f t="shared" si="53"/>
        <v>1.0345173963676741E-12</v>
      </c>
      <c r="R64" s="59">
        <f t="shared" si="0"/>
        <v>293.33333333333434</v>
      </c>
      <c r="S64" s="59">
        <f ca="1">AVERAGE(OFFSET($R$3,0,0,'Données projet'!$E$9+1,1))-AVERAGE(OFFSET($H$3,0,0,'Données projet'!$E$9+1,1))</f>
        <v>162.0530649500439</v>
      </c>
      <c r="T64" s="59">
        <f t="shared" si="34"/>
        <v>450.88267959505049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56.496043657847068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7.817626400832359E-5</v>
      </c>
      <c r="AC64" s="22">
        <f t="shared" si="3"/>
        <v>56.496121834111079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253.5</v>
      </c>
      <c r="AJ64" s="13">
        <f>AI64*VLOOKUP('Données projet'!$B$10,Paramètres!$A$1:$I$89,3,0)*VLOOKUP('Données projet'!$B$10,Paramètres!$A$1:$I$89,5,0)</f>
        <v>213.54840000000004</v>
      </c>
      <c r="AK64" s="13">
        <f t="shared" si="35"/>
        <v>52.710242573823848</v>
      </c>
      <c r="AL64" s="20">
        <f t="shared" si="4"/>
        <v>463.73380248274316</v>
      </c>
      <c r="AM64" s="59">
        <f t="shared" si="5"/>
        <v>757.06713581607642</v>
      </c>
      <c r="AN64" s="59">
        <f ca="1">AVERAGE(OFFSET($AM$3,0,0,'Données projet'!$E$10+1,1))-AVERAGE(OFFSET($H$3,0,0,'Données projet'!$E$10+1,1))</f>
        <v>328.34986205643321</v>
      </c>
      <c r="AO64" s="59">
        <f t="shared" si="36"/>
        <v>251.60894449147008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34.01664081125088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34.01664081125088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140.1999999999999</v>
      </c>
      <c r="BE64" s="13">
        <f>BD64*VLOOKUP('Données projet'!$B$11,Paramètres!$A$1:$I$89,3,0)*VLOOKUP('Données projet'!$B$11,Paramètres!$A$1:$I$89,5,0)</f>
        <v>159.65975999999989</v>
      </c>
      <c r="BF64" s="13">
        <f t="shared" si="37"/>
        <v>40.765763819671534</v>
      </c>
      <c r="BG64" s="20">
        <f t="shared" si="7"/>
        <v>349.07445398592768</v>
      </c>
      <c r="BH64" s="59">
        <f t="shared" si="8"/>
        <v>642.40778731926093</v>
      </c>
      <c r="BI64" s="59">
        <f ca="1">AVERAGE(OFFSET($BH$3,0,0,'Données projet'!$E$11+1,1))-AVERAGE(OFFSET($H$3,0,0,'Données projet'!$E$11+1,1))</f>
        <v>250.68173853329841</v>
      </c>
      <c r="BJ64" s="59">
        <f t="shared" si="38"/>
        <v>113.25940301904359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12.631040407665367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12.631040407665367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140.1999999999999</v>
      </c>
      <c r="BZ64" s="13">
        <f>BY64*VLOOKUP('Données projet'!$B$12,Paramètres!$A$1:$I$89,3,0)*VLOOKUP('Données projet'!$B$12,Paramètres!$A$1:$I$89,5,0)</f>
        <v>142.16279999999992</v>
      </c>
      <c r="CA64" s="13">
        <f t="shared" si="39"/>
        <v>36.792029666383577</v>
      </c>
      <c r="CB64" s="20">
        <f t="shared" si="10"/>
        <v>311.67966166895121</v>
      </c>
      <c r="CC64" s="59">
        <f t="shared" si="11"/>
        <v>605.01299500228447</v>
      </c>
      <c r="CD64" s="59">
        <f ca="1">AVERAGE(OFFSET($CC$3,0,0,'Données projet'!$E$12+1,1))-AVERAGE(OFFSET($H$3,0,0,'Données projet'!$E$12+1,1))</f>
        <v>211.44496956344943</v>
      </c>
      <c r="CE64" s="59">
        <f t="shared" si="40"/>
        <v>98.543169293276662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11.246816801345874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11.246816801345874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6">
        <f t="shared" si="1"/>
        <v>380.43208155058352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5.6843418860808015E-14</v>
      </c>
      <c r="O65" s="13">
        <f>N65*VLOOKUP('Données projet'!$B$9,Paramètres!$A$1:$I$89,3,0)*VLOOKUP('Données projet'!$B$9,Paramètres!$A$1:$I$89,5,0)</f>
        <v>3.2810021366458389E-14</v>
      </c>
      <c r="P65" s="13">
        <f t="shared" si="33"/>
        <v>5.6117125884464641E-13</v>
      </c>
      <c r="Q65" s="20">
        <f t="shared" si="53"/>
        <v>1.0345173963676741E-12</v>
      </c>
      <c r="R65" s="59">
        <f t="shared" si="0"/>
        <v>293.33333333333434</v>
      </c>
      <c r="S65" s="59">
        <f ca="1">AVERAGE(OFFSET($R$3,0,0,'Données projet'!$E$9+1,1))-AVERAGE(OFFSET($H$3,0,0,'Données projet'!$E$9+1,1))</f>
        <v>162.0530649500439</v>
      </c>
      <c r="T65" s="59">
        <f t="shared" si="34"/>
        <v>450.88267959505049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55.388190700900758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5.527896640811544E-5</v>
      </c>
      <c r="AC65" s="22">
        <f t="shared" si="3"/>
        <v>55.388245979867165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262</v>
      </c>
      <c r="AJ65" s="13">
        <f>AI65*VLOOKUP('Données projet'!$B$10,Paramètres!$A$1:$I$89,3,0)*VLOOKUP('Données projet'!$B$10,Paramètres!$A$1:$I$89,5,0)</f>
        <v>220.70880000000002</v>
      </c>
      <c r="AK65" s="13">
        <f t="shared" si="35"/>
        <v>54.268911046456566</v>
      </c>
      <c r="AL65" s="20">
        <f t="shared" si="4"/>
        <v>478.91951340591186</v>
      </c>
      <c r="AM65" s="59">
        <f t="shared" si="5"/>
        <v>772.25284673924511</v>
      </c>
      <c r="AN65" s="59">
        <f ca="1">AVERAGE(OFFSET($AM$3,0,0,'Données projet'!$E$10+1,1))-AVERAGE(OFFSET($H$3,0,0,'Données projet'!$E$10+1,1))</f>
        <v>328.34986205643321</v>
      </c>
      <c r="AO65" s="59">
        <f t="shared" si="36"/>
        <v>251.60894449147008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33.34959523304444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33.34959523304444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145.39999999999989</v>
      </c>
      <c r="BE65" s="13">
        <f>BD65*VLOOKUP('Données projet'!$B$11,Paramètres!$A$1:$I$89,3,0)*VLOOKUP('Données projet'!$B$11,Paramètres!$A$1:$I$89,5,0)</f>
        <v>165.5815199999999</v>
      </c>
      <c r="BF65" s="13">
        <f t="shared" si="37"/>
        <v>42.098919431473661</v>
      </c>
      <c r="BG65" s="20">
        <f t="shared" si="7"/>
        <v>361.71009867648309</v>
      </c>
      <c r="BH65" s="59">
        <f t="shared" si="8"/>
        <v>655.04343200981634</v>
      </c>
      <c r="BI65" s="59">
        <f ca="1">AVERAGE(OFFSET($BH$3,0,0,'Données projet'!$E$11+1,1))-AVERAGE(OFFSET($H$3,0,0,'Données projet'!$E$11+1,1))</f>
        <v>250.68173853329841</v>
      </c>
      <c r="BJ65" s="59">
        <f t="shared" si="38"/>
        <v>113.25940301904359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12.383353409444974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12.383353409444974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145.39999999999989</v>
      </c>
      <c r="BZ65" s="13">
        <f>BY65*VLOOKUP('Données projet'!$B$12,Paramètres!$A$1:$I$89,3,0)*VLOOKUP('Données projet'!$B$12,Paramètres!$A$1:$I$89,5,0)</f>
        <v>147.43559999999991</v>
      </c>
      <c r="CA65" s="13">
        <f t="shared" si="39"/>
        <v>37.995232948340991</v>
      </c>
      <c r="CB65" s="20">
        <f t="shared" si="10"/>
        <v>322.95870071836038</v>
      </c>
      <c r="CC65" s="59">
        <f t="shared" si="11"/>
        <v>616.29203405169369</v>
      </c>
      <c r="CD65" s="59">
        <f ca="1">AVERAGE(OFFSET($CC$3,0,0,'Données projet'!$E$12+1,1))-AVERAGE(OFFSET($H$3,0,0,'Données projet'!$E$12+1,1))</f>
        <v>211.44496956344943</v>
      </c>
      <c r="CE65" s="59">
        <f t="shared" si="40"/>
        <v>98.543169293276662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11.026273583752372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11.026273583752372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6">
        <f t="shared" si="1"/>
        <v>382.37583686147428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5.6843418860808015E-14</v>
      </c>
      <c r="O66" s="13">
        <f>N66*VLOOKUP('Données projet'!$B$9,Paramètres!$A$1:$I$89,3,0)*VLOOKUP('Données projet'!$B$9,Paramètres!$A$1:$I$89,5,0)</f>
        <v>3.2810021366458389E-14</v>
      </c>
      <c r="P66" s="13">
        <f t="shared" si="33"/>
        <v>5.6117125884464641E-13</v>
      </c>
      <c r="Q66" s="20">
        <f t="shared" si="53"/>
        <v>1.0345173963676741E-12</v>
      </c>
      <c r="R66" s="59">
        <f t="shared" si="0"/>
        <v>293.33333333333434</v>
      </c>
      <c r="S66" s="59">
        <f ca="1">AVERAGE(OFFSET($R$3,0,0,'Données projet'!$E$9+1,1))-AVERAGE(OFFSET($H$3,0,0,'Données projet'!$E$9+1,1))</f>
        <v>162.0530649500439</v>
      </c>
      <c r="T66" s="59">
        <f t="shared" si="34"/>
        <v>450.88267959505049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54.30206206471658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3.9088132004161795E-5</v>
      </c>
      <c r="AC66" s="22">
        <f t="shared" si="3"/>
        <v>54.302101152848586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270.5</v>
      </c>
      <c r="AJ66" s="13">
        <f>AI66*VLOOKUP('Données projet'!$B$10,Paramètres!$A$1:$I$89,3,0)*VLOOKUP('Données projet'!$B$10,Paramètres!$A$1:$I$89,5,0)</f>
        <v>227.86920000000003</v>
      </c>
      <c r="AK66" s="13">
        <f t="shared" si="35"/>
        <v>55.82170347430052</v>
      </c>
      <c r="AL66" s="20">
        <f t="shared" si="4"/>
        <v>494.09499021774013</v>
      </c>
      <c r="AM66" s="59">
        <f t="shared" si="5"/>
        <v>787.42832355107339</v>
      </c>
      <c r="AN66" s="59">
        <f ca="1">AVERAGE(OFFSET($AM$3,0,0,'Données projet'!$E$10+1,1))-AVERAGE(OFFSET($H$3,0,0,'Données projet'!$E$10+1,1))</f>
        <v>328.34986205643321</v>
      </c>
      <c r="AO66" s="59">
        <f t="shared" si="36"/>
        <v>251.60894449147008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32.695630011768998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32.695630011768998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150.59999999999988</v>
      </c>
      <c r="BE66" s="13">
        <f>BD66*VLOOKUP('Données projet'!$B$11,Paramètres!$A$1:$I$89,3,0)*VLOOKUP('Données projet'!$B$11,Paramètres!$A$1:$I$89,5,0)</f>
        <v>171.50327999999988</v>
      </c>
      <c r="BF66" s="13">
        <f t="shared" si="37"/>
        <v>43.426535589704869</v>
      </c>
      <c r="BG66" s="20">
        <f t="shared" si="7"/>
        <v>374.33609548540238</v>
      </c>
      <c r="BH66" s="59">
        <f t="shared" si="8"/>
        <v>667.6694288187357</v>
      </c>
      <c r="BI66" s="59">
        <f ca="1">AVERAGE(OFFSET($BH$3,0,0,'Données projet'!$E$11+1,1))-AVERAGE(OFFSET($H$3,0,0,'Données projet'!$E$11+1,1))</f>
        <v>250.68173853329841</v>
      </c>
      <c r="BJ66" s="59">
        <f t="shared" si="38"/>
        <v>113.25940301904359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12.140523402185531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12.140523402185531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150.59999999999988</v>
      </c>
      <c r="BZ66" s="13">
        <f>BY66*VLOOKUP('Données projet'!$B$12,Paramètres!$A$1:$I$89,3,0)*VLOOKUP('Données projet'!$B$12,Paramètres!$A$1:$I$89,5,0)</f>
        <v>152.7083999999999</v>
      </c>
      <c r="CA66" s="13">
        <f t="shared" si="39"/>
        <v>39.193436747373994</v>
      </c>
      <c r="CB66" s="20">
        <f t="shared" si="10"/>
        <v>334.22903233500955</v>
      </c>
      <c r="CC66" s="59">
        <f t="shared" si="11"/>
        <v>627.56236566834286</v>
      </c>
      <c r="CD66" s="59">
        <f ca="1">AVERAGE(OFFSET($CC$3,0,0,'Données projet'!$E$12+1,1))-AVERAGE(OFFSET($H$3,0,0,'Données projet'!$E$12+1,1))</f>
        <v>211.44496956344943</v>
      </c>
      <c r="CE66" s="59">
        <f t="shared" si="40"/>
        <v>98.543169293276662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10.810055084137801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10.810055084137801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6">
        <f t="shared" si="1"/>
        <v>384.31886288369424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5.6843418860808015E-14</v>
      </c>
      <c r="O67" s="13">
        <f>N67*VLOOKUP('Données projet'!$B$9,Paramètres!$A$1:$I$89,3,0)*VLOOKUP('Données projet'!$B$9,Paramètres!$A$1:$I$89,5,0)</f>
        <v>3.2810021366458389E-14</v>
      </c>
      <c r="P67" s="13">
        <f t="shared" si="33"/>
        <v>5.6117125884464641E-13</v>
      </c>
      <c r="Q67" s="20">
        <f t="shared" ref="Q67:Q98" si="54">(O67+P67)*0.475*44/12</f>
        <v>1.0345173963676741E-12</v>
      </c>
      <c r="R67" s="59">
        <f t="shared" ref="R67:R130" si="55">Q67+(I67+J67)*44/12</f>
        <v>293.33333333333434</v>
      </c>
      <c r="S67" s="59">
        <f ca="1">AVERAGE(OFFSET($R$3,0,0,'Données projet'!$E$9+1,1))-AVERAGE(OFFSET($H$3,0,0,'Données projet'!$E$9+1,1))</f>
        <v>162.0530649500439</v>
      </c>
      <c r="T67" s="59">
        <f t="shared" si="34"/>
        <v>450.88267959505049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53.237231748614924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2.763948320405772E-5</v>
      </c>
      <c r="AC67" s="22">
        <f t="shared" si="3"/>
        <v>53.237259388098131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279</v>
      </c>
      <c r="AJ67" s="13">
        <f>AI67*VLOOKUP('Données projet'!$B$10,Paramètres!$A$1:$I$89,3,0)*VLOOKUP('Données projet'!$B$10,Paramètres!$A$1:$I$89,5,0)</f>
        <v>235.02960000000002</v>
      </c>
      <c r="AK67" s="13">
        <f t="shared" si="35"/>
        <v>57.368825686861157</v>
      </c>
      <c r="AL67" s="20">
        <f t="shared" si="4"/>
        <v>509.26059140461649</v>
      </c>
      <c r="AM67" s="59">
        <f t="shared" si="5"/>
        <v>802.59392473794981</v>
      </c>
      <c r="AN67" s="59">
        <f ca="1">AVERAGE(OFFSET($AM$3,0,0,'Données projet'!$E$10+1,1))-AVERAGE(OFFSET($H$3,0,0,'Données projet'!$E$10+1,1))</f>
        <v>328.34986205643321</v>
      </c>
      <c r="AO67" s="59">
        <f t="shared" si="36"/>
        <v>251.60894449147008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32.054488649603371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32.054488649603371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155.79999999999987</v>
      </c>
      <c r="BE67" s="13">
        <f>BD67*VLOOKUP('Données projet'!$B$11,Paramètres!$A$1:$I$89,3,0)*VLOOKUP('Données projet'!$B$11,Paramètres!$A$1:$I$89,5,0)</f>
        <v>177.42503999999985</v>
      </c>
      <c r="BF67" s="13">
        <f t="shared" si="37"/>
        <v>44.748825484986519</v>
      </c>
      <c r="BG67" s="20">
        <f t="shared" si="7"/>
        <v>386.95281571968462</v>
      </c>
      <c r="BH67" s="59">
        <f t="shared" si="8"/>
        <v>680.28614905301788</v>
      </c>
      <c r="BI67" s="59">
        <f ca="1">AVERAGE(OFFSET($BH$3,0,0,'Données projet'!$E$11+1,1))-AVERAGE(OFFSET($H$3,0,0,'Données projet'!$E$11+1,1))</f>
        <v>250.68173853329841</v>
      </c>
      <c r="BJ67" s="59">
        <f t="shared" si="38"/>
        <v>113.25940301904359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11.902455143256766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11.902455143256766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155.79999999999987</v>
      </c>
      <c r="BZ67" s="13">
        <f>BY67*VLOOKUP('Données projet'!$B$12,Paramètres!$A$1:$I$89,3,0)*VLOOKUP('Données projet'!$B$12,Paramètres!$A$1:$I$89,5,0)</f>
        <v>157.98119999999989</v>
      </c>
      <c r="CA67" s="13">
        <f t="shared" si="39"/>
        <v>40.386833472870542</v>
      </c>
      <c r="CB67" s="20">
        <f t="shared" si="10"/>
        <v>345.49099163191596</v>
      </c>
      <c r="CC67" s="59">
        <f t="shared" si="11"/>
        <v>638.82432496524928</v>
      </c>
      <c r="CD67" s="59">
        <f ca="1">AVERAGE(OFFSET($CC$3,0,0,'Données projet'!$E$12+1,1))-AVERAGE(OFFSET($H$3,0,0,'Données projet'!$E$12+1,1))</f>
        <v>211.44496956344943</v>
      </c>
      <c r="CE67" s="59">
        <f t="shared" si="40"/>
        <v>98.543169293276662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10.598076497420408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10.598076497420408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6">
        <f t="shared" ref="H68:H131" si="56">(B68+E68+F68)*44/12+(C68+D68)*0.475*44/12</f>
        <v>386.26117232825266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5.6843418860808015E-14</v>
      </c>
      <c r="O68" s="13">
        <f>N68*VLOOKUP('Données projet'!$B$9,Paramètres!$A$1:$I$89,3,0)*VLOOKUP('Données projet'!$B$9,Paramètres!$A$1:$I$89,5,0)</f>
        <v>3.2810021366458389E-14</v>
      </c>
      <c r="P68" s="13">
        <f t="shared" si="33"/>
        <v>5.6117125884464641E-13</v>
      </c>
      <c r="Q68" s="20">
        <f t="shared" si="54"/>
        <v>1.0345173963676741E-12</v>
      </c>
      <c r="R68" s="59">
        <f t="shared" si="55"/>
        <v>293.33333333333434</v>
      </c>
      <c r="S68" s="59">
        <f ca="1">AVERAGE(OFFSET($R$3,0,0,'Données projet'!$E$9+1,1))-AVERAGE(OFFSET($H$3,0,0,'Données projet'!$E$9+1,1))</f>
        <v>162.0530649500439</v>
      </c>
      <c r="T68" s="59">
        <f t="shared" si="34"/>
        <v>450.88267959505049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52.193282105529654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1.9544066002080897E-5</v>
      </c>
      <c r="AC68" s="22">
        <f t="shared" ref="AC68:AC131" si="57">SUM(Z68:AB68)</f>
        <v>52.193301649595654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287.5</v>
      </c>
      <c r="AJ68" s="13">
        <f>AI68*VLOOKUP('Données projet'!$B$10,Paramètres!$A$1:$I$89,3,0)*VLOOKUP('Données projet'!$B$10,Paramètres!$A$1:$I$89,5,0)</f>
        <v>242.19</v>
      </c>
      <c r="AK68" s="13">
        <f t="shared" si="35"/>
        <v>58.910470259429353</v>
      </c>
      <c r="AL68" s="20">
        <f t="shared" ref="AL68:AL131" si="58">(AJ68+AK68)*0.475*44/12</f>
        <v>524.41665236850611</v>
      </c>
      <c r="AM68" s="59">
        <f t="shared" ref="AM68:AM131" si="59">AL68+(AD68+AE68)*44/12</f>
        <v>817.74998570183948</v>
      </c>
      <c r="AN68" s="59">
        <f ca="1">AVERAGE(OFFSET($AM$3,0,0,'Données projet'!$E$10+1,1))-AVERAGE(OFFSET($H$3,0,0,'Données projet'!$E$10+1,1))</f>
        <v>328.34986205643321</v>
      </c>
      <c r="AO68" s="59">
        <f t="shared" si="36"/>
        <v>251.60894449147008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31.425919678492193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31.425919678492193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160.99999999999986</v>
      </c>
      <c r="BE68" s="13">
        <f>BD68*VLOOKUP('Données projet'!$B$11,Paramètres!$A$1:$I$89,3,0)*VLOOKUP('Données projet'!$B$11,Paramètres!$A$1:$I$89,5,0)</f>
        <v>183.34679999999983</v>
      </c>
      <c r="BF68" s="13">
        <f t="shared" si="37"/>
        <v>46.065987269469694</v>
      </c>
      <c r="BG68" s="20">
        <f t="shared" ref="BG68:BG131" si="61">(BE68+BF68)*0.475*44/12</f>
        <v>399.56060449432607</v>
      </c>
      <c r="BH68" s="59">
        <f t="shared" ref="BH68:BH131" si="62">BG68+(AY68+AZ68)*44/12</f>
        <v>692.89393782765933</v>
      </c>
      <c r="BI68" s="59">
        <f ca="1">AVERAGE(OFFSET($BH$3,0,0,'Données projet'!$E$11+1,1))-AVERAGE(OFFSET($H$3,0,0,'Données projet'!$E$11+1,1))</f>
        <v>250.68173853329841</v>
      </c>
      <c r="BJ68" s="59">
        <f t="shared" si="38"/>
        <v>113.25940301904359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11.669055257678295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11.669055257678295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160.99999999999986</v>
      </c>
      <c r="BZ68" s="13">
        <f>BY68*VLOOKUP('Données projet'!$B$12,Paramètres!$A$1:$I$89,3,0)*VLOOKUP('Données projet'!$B$12,Paramètres!$A$1:$I$89,5,0)</f>
        <v>163.25399999999985</v>
      </c>
      <c r="CA68" s="13">
        <f t="shared" si="39"/>
        <v>41.575601961656879</v>
      </c>
      <c r="CB68" s="20">
        <f t="shared" ref="CB68:CB131" si="64">(BZ68+CA68)*0.475*44/12</f>
        <v>356.74489008321876</v>
      </c>
      <c r="CC68" s="59">
        <f t="shared" ref="CC68:CC131" si="65">CB68+(BT68+BU68)*44/12</f>
        <v>650.07822341655208</v>
      </c>
      <c r="CD68" s="59">
        <f ca="1">AVERAGE(OFFSET($CC$3,0,0,'Données projet'!$E$12+1,1))-AVERAGE(OFFSET($H$3,0,0,'Données projet'!$E$12+1,1))</f>
        <v>211.44496956344943</v>
      </c>
      <c r="CE68" s="59">
        <f t="shared" si="40"/>
        <v>98.543169293276662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10.390254681494371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10.390254681494371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6">
        <f t="shared" si="56"/>
        <v>388.20277749261015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5.6843418860808015E-14</v>
      </c>
      <c r="O69" s="13">
        <f>N69*VLOOKUP('Données projet'!$B$9,Paramètres!$A$1:$I$89,3,0)*VLOOKUP('Données projet'!$B$9,Paramètres!$A$1:$I$89,5,0)</f>
        <v>3.2810021366458389E-14</v>
      </c>
      <c r="P69" s="13">
        <f t="shared" ref="P69:P132" si="87">EXP(-1.0587+0.8836*LN(O69)+0.284)</f>
        <v>5.6117125884464641E-13</v>
      </c>
      <c r="Q69" s="20">
        <f t="shared" si="54"/>
        <v>1.0345173963676741E-12</v>
      </c>
      <c r="R69" s="59">
        <f t="shared" si="55"/>
        <v>293.33333333333434</v>
      </c>
      <c r="S69" s="59">
        <f ca="1">AVERAGE(OFFSET($R$3,0,0,'Données projet'!$E$9+1,1))-AVERAGE(OFFSET($H$3,0,0,'Données projet'!$E$9+1,1))</f>
        <v>162.0530649500439</v>
      </c>
      <c r="T69" s="59">
        <f t="shared" ref="T69:T132" si="88">$T$3</f>
        <v>450.88267959505049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51.169803678198882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1.381974160202886E-5</v>
      </c>
      <c r="AC69" s="22">
        <f t="shared" si="57"/>
        <v>51.169817497940485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296</v>
      </c>
      <c r="AJ69" s="13">
        <f>AI69*VLOOKUP('Données projet'!$B$10,Paramètres!$A$1:$I$89,3,0)*VLOOKUP('Données projet'!$B$10,Paramètres!$A$1:$I$89,5,0)</f>
        <v>249.35040000000001</v>
      </c>
      <c r="AK69" s="13">
        <f t="shared" ref="AK69:AK132" si="89">EXP(-1.0587+0.8836*LN(AJ69)+0.284)</f>
        <v>60.446817732908166</v>
      </c>
      <c r="AL69" s="20">
        <f t="shared" si="58"/>
        <v>539.56348755148167</v>
      </c>
      <c r="AM69" s="59">
        <f t="shared" si="59"/>
        <v>832.89682088481504</v>
      </c>
      <c r="AN69" s="59">
        <f ca="1">AVERAGE(OFFSET($AM$3,0,0,'Données projet'!$E$10+1,1))-AVERAGE(OFFSET($H$3,0,0,'Données projet'!$E$10+1,1))</f>
        <v>328.34986205643321</v>
      </c>
      <c r="AO69" s="59">
        <f t="shared" ref="AO69:AO132" si="90">$AO$3</f>
        <v>251.60894449147008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30.809676561515289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30.809676561515289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166.19999999999985</v>
      </c>
      <c r="BE69" s="13">
        <f>BD69*VLOOKUP('Données projet'!$B$11,Paramètres!$A$1:$I$89,3,0)*VLOOKUP('Données projet'!$B$11,Paramètres!$A$1:$I$89,5,0)</f>
        <v>189.26855999999981</v>
      </c>
      <c r="BF69" s="13">
        <f t="shared" ref="BF69:BF132" si="91">EXP(-1.0587+0.8836*LN(BE69)+0.284)</f>
        <v>47.378205568746949</v>
      </c>
      <c r="BG69" s="20">
        <f t="shared" si="61"/>
        <v>412.15978336556719</v>
      </c>
      <c r="BH69" s="59">
        <f t="shared" si="62"/>
        <v>705.49311669890051</v>
      </c>
      <c r="BI69" s="59">
        <f ca="1">AVERAGE(OFFSET($BH$3,0,0,'Données projet'!$E$11+1,1))-AVERAGE(OFFSET($H$3,0,0,'Données projet'!$E$11+1,1))</f>
        <v>250.68173853329841</v>
      </c>
      <c r="BJ69" s="59">
        <f t="shared" ref="BJ69:BJ132" si="92">$BJ$3</f>
        <v>113.25940301904359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11.440232201496144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11.440232201496144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166.19999999999985</v>
      </c>
      <c r="BZ69" s="13">
        <f>BY69*VLOOKUP('Données projet'!$B$12,Paramètres!$A$1:$I$89,3,0)*VLOOKUP('Données projet'!$B$12,Paramètres!$A$1:$I$89,5,0)</f>
        <v>168.52679999999987</v>
      </c>
      <c r="CA69" s="13">
        <f t="shared" ref="CA69:CA132" si="93">EXP(-1.0587+0.8836*LN(BZ69)+0.284)</f>
        <v>42.759908842532326</v>
      </c>
      <c r="CB69" s="20">
        <f t="shared" si="64"/>
        <v>367.9910179007436</v>
      </c>
      <c r="CC69" s="59">
        <f t="shared" si="65"/>
        <v>661.32435123407686</v>
      </c>
      <c r="CD69" s="59">
        <f ca="1">AVERAGE(OFFSET($CC$3,0,0,'Données projet'!$E$12+1,1))-AVERAGE(OFFSET($H$3,0,0,'Données projet'!$E$12+1,1))</f>
        <v>211.44496956344943</v>
      </c>
      <c r="CE69" s="59">
        <f t="shared" ref="CE69:CE132" si="94">$CE$3</f>
        <v>98.543169293276662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10.186508124619852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10.186508124619852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6">
        <f t="shared" si="56"/>
        <v>390.14369028019127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5.6843418860808015E-14</v>
      </c>
      <c r="O70" s="13">
        <f>N70*VLOOKUP('Données projet'!$B$9,Paramètres!$A$1:$I$89,3,0)*VLOOKUP('Données projet'!$B$9,Paramètres!$A$1:$I$89,5,0)</f>
        <v>3.2810021366458389E-14</v>
      </c>
      <c r="P70" s="13">
        <f t="shared" si="87"/>
        <v>5.6117125884464641E-13</v>
      </c>
      <c r="Q70" s="20">
        <f t="shared" si="54"/>
        <v>1.0345173963676741E-12</v>
      </c>
      <c r="R70" s="59">
        <f t="shared" si="55"/>
        <v>293.33333333333434</v>
      </c>
      <c r="S70" s="59">
        <f ca="1">AVERAGE(OFFSET($R$3,0,0,'Données projet'!$E$9+1,1))-AVERAGE(OFFSET($H$3,0,0,'Données projet'!$E$9+1,1))</f>
        <v>162.0530649500439</v>
      </c>
      <c r="T70" s="59">
        <f t="shared" si="88"/>
        <v>450.88267959505049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50.166395038567863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9.7720330010404487E-6</v>
      </c>
      <c r="AC70" s="22">
        <f t="shared" si="57"/>
        <v>50.166404810600866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304.5</v>
      </c>
      <c r="AJ70" s="13">
        <f>AI70*VLOOKUP('Données projet'!$B$10,Paramètres!$A$1:$I$89,3,0)*VLOOKUP('Données projet'!$B$10,Paramètres!$A$1:$I$89,5,0)</f>
        <v>256.51080000000002</v>
      </c>
      <c r="AK70" s="13">
        <f t="shared" si="89"/>
        <v>61.978037689587161</v>
      </c>
      <c r="AL70" s="20">
        <f t="shared" si="58"/>
        <v>554.70139230936422</v>
      </c>
      <c r="AM70" s="59">
        <f t="shared" si="59"/>
        <v>848.03472564269759</v>
      </c>
      <c r="AN70" s="59">
        <f ca="1">AVERAGE(OFFSET($AM$3,0,0,'Données projet'!$E$10+1,1))-AVERAGE(OFFSET($H$3,0,0,'Données projet'!$E$10+1,1))</f>
        <v>328.34986205643321</v>
      </c>
      <c r="AO70" s="59">
        <f t="shared" si="90"/>
        <v>251.60894449147008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30.205517596191115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30.205517596191115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171.39999999999984</v>
      </c>
      <c r="BE70" s="13">
        <f>BD70*VLOOKUP('Données projet'!$B$11,Paramètres!$A$1:$I$89,3,0)*VLOOKUP('Données projet'!$B$11,Paramètres!$A$1:$I$89,5,0)</f>
        <v>195.19031999999982</v>
      </c>
      <c r="BF70" s="13">
        <f t="shared" si="91"/>
        <v>48.685652799232166</v>
      </c>
      <c r="BG70" s="20">
        <f t="shared" si="61"/>
        <v>424.750652625329</v>
      </c>
      <c r="BH70" s="59">
        <f t="shared" si="62"/>
        <v>718.08398595866231</v>
      </c>
      <c r="BI70" s="59">
        <f ca="1">AVERAGE(OFFSET($BH$3,0,0,'Données projet'!$E$11+1,1))-AVERAGE(OFFSET($H$3,0,0,'Données projet'!$E$11+1,1))</f>
        <v>250.68173853329841</v>
      </c>
      <c r="BJ70" s="59">
        <f t="shared" si="92"/>
        <v>113.25940301904359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11.215896225877442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11.215896225877442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171.39999999999984</v>
      </c>
      <c r="BZ70" s="13">
        <f>BY70*VLOOKUP('Données projet'!$B$12,Paramètres!$A$1:$I$89,3,0)*VLOOKUP('Données projet'!$B$12,Paramètres!$A$1:$I$89,5,0)</f>
        <v>173.79959999999986</v>
      </c>
      <c r="CA70" s="13">
        <f t="shared" si="93"/>
        <v>43.939909725234564</v>
      </c>
      <c r="CB70" s="20">
        <f t="shared" si="64"/>
        <v>379.22964610478328</v>
      </c>
      <c r="CC70" s="59">
        <f t="shared" si="65"/>
        <v>672.5629794381166</v>
      </c>
      <c r="CD70" s="59">
        <f ca="1">AVERAGE(OFFSET($CC$3,0,0,'Données projet'!$E$12+1,1))-AVERAGE(OFFSET($H$3,0,0,'Données projet'!$E$12+1,1))</f>
        <v>211.44496956344943</v>
      </c>
      <c r="CE70" s="59">
        <f t="shared" si="94"/>
        <v>98.543169293276662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9.9867569134525151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9.9867569134525151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6">
        <f t="shared" si="56"/>
        <v>392.08392221869906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5.6843418860808015E-14</v>
      </c>
      <c r="O71" s="13">
        <f>N71*VLOOKUP('Données projet'!$B$9,Paramètres!$A$1:$I$89,3,0)*VLOOKUP('Données projet'!$B$9,Paramètres!$A$1:$I$89,5,0)</f>
        <v>3.2810021366458389E-14</v>
      </c>
      <c r="P71" s="13">
        <f t="shared" si="87"/>
        <v>5.6117125884464641E-13</v>
      </c>
      <c r="Q71" s="20">
        <f t="shared" si="54"/>
        <v>1.0345173963676741E-12</v>
      </c>
      <c r="R71" s="59">
        <f t="shared" si="55"/>
        <v>293.33333333333434</v>
      </c>
      <c r="S71" s="59">
        <f ca="1">AVERAGE(OFFSET($R$3,0,0,'Données projet'!$E$9+1,1))-AVERAGE(OFFSET($H$3,0,0,'Données projet'!$E$9+1,1))</f>
        <v>162.0530649500439</v>
      </c>
      <c r="T71" s="59">
        <f t="shared" si="88"/>
        <v>450.88267959505049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49.18266263034117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6.90987080101443E-6</v>
      </c>
      <c r="AC71" s="22">
        <f t="shared" si="57"/>
        <v>49.182669540211968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313</v>
      </c>
      <c r="AJ71" s="13">
        <f>AI71*VLOOKUP('Données projet'!$B$10,Paramètres!$A$1:$I$89,3,0)*VLOOKUP('Données projet'!$B$10,Paramètres!$A$1:$I$89,5,0)</f>
        <v>263.6712</v>
      </c>
      <c r="AK71" s="13">
        <f t="shared" si="89"/>
        <v>63.504289705419772</v>
      </c>
      <c r="AL71" s="20">
        <f t="shared" si="58"/>
        <v>569.83064457027274</v>
      </c>
      <c r="AM71" s="59">
        <f t="shared" si="59"/>
        <v>863.16397790360611</v>
      </c>
      <c r="AN71" s="59">
        <f ca="1">AVERAGE(OFFSET($AM$3,0,0,'Données projet'!$E$10+1,1))-AVERAGE(OFFSET($H$3,0,0,'Données projet'!$E$10+1,1))</f>
        <v>328.34986205643321</v>
      </c>
      <c r="AO71" s="59">
        <f t="shared" si="90"/>
        <v>251.60894449147008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29.613205819676367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29.613205819676367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176.59999999999982</v>
      </c>
      <c r="BE71" s="13">
        <f>BD71*VLOOKUP('Données projet'!$B$11,Paramètres!$A$1:$I$89,3,0)*VLOOKUP('Données projet'!$B$11,Paramètres!$A$1:$I$89,5,0)</f>
        <v>201.11207999999979</v>
      </c>
      <c r="BF71" s="13">
        <f t="shared" si="91"/>
        <v>49.988490321180137</v>
      </c>
      <c r="BG71" s="20">
        <f t="shared" si="61"/>
        <v>437.33349330938836</v>
      </c>
      <c r="BH71" s="59">
        <f t="shared" si="62"/>
        <v>730.66682664272162</v>
      </c>
      <c r="BI71" s="59">
        <f ca="1">AVERAGE(OFFSET($BH$3,0,0,'Données projet'!$E$11+1,1))-AVERAGE(OFFSET($H$3,0,0,'Données projet'!$E$11+1,1))</f>
        <v>250.68173853329841</v>
      </c>
      <c r="BJ71" s="59">
        <f t="shared" si="92"/>
        <v>113.25940301904359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10.995959341909188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10.995959341909188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176.59999999999982</v>
      </c>
      <c r="BZ71" s="13">
        <f>BY71*VLOOKUP('Données projet'!$B$12,Paramètres!$A$1:$I$89,3,0)*VLOOKUP('Données projet'!$B$12,Paramètres!$A$1:$I$89,5,0)</f>
        <v>179.07239999999985</v>
      </c>
      <c r="CA71" s="13">
        <f t="shared" si="93"/>
        <v>45.115750241066095</v>
      </c>
      <c r="CB71" s="20">
        <f t="shared" si="64"/>
        <v>390.46102833652321</v>
      </c>
      <c r="CC71" s="59">
        <f t="shared" si="65"/>
        <v>683.79436166985647</v>
      </c>
      <c r="CD71" s="59">
        <f ca="1">AVERAGE(OFFSET($CC$3,0,0,'Données projet'!$E$12+1,1))-AVERAGE(OFFSET($H$3,0,0,'Données projet'!$E$12+1,1))</f>
        <v>211.44496956344943</v>
      </c>
      <c r="CE71" s="59">
        <f t="shared" si="94"/>
        <v>98.543169293276662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9.7909227016999605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9.7909227016999605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6">
        <f t="shared" si="56"/>
        <v>394.02348447732243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5.6843418860808015E-14</v>
      </c>
      <c r="O72" s="13">
        <f>N72*VLOOKUP('Données projet'!$B$9,Paramètres!$A$1:$I$89,3,0)*VLOOKUP('Données projet'!$B$9,Paramètres!$A$1:$I$89,5,0)</f>
        <v>3.2810021366458389E-14</v>
      </c>
      <c r="P72" s="13">
        <f t="shared" si="87"/>
        <v>5.6117125884464641E-13</v>
      </c>
      <c r="Q72" s="20">
        <f t="shared" si="54"/>
        <v>1.0345173963676741E-12</v>
      </c>
      <c r="R72" s="59">
        <f t="shared" si="55"/>
        <v>293.33333333333434</v>
      </c>
      <c r="S72" s="59">
        <f ca="1">AVERAGE(OFFSET($R$3,0,0,'Données projet'!$E$9+1,1))-AVERAGE(OFFSET($H$3,0,0,'Données projet'!$E$9+1,1))</f>
        <v>162.0530649500439</v>
      </c>
      <c r="T72" s="59">
        <f t="shared" si="88"/>
        <v>450.88267959505049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48.218220614622282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4.8860165005202244E-6</v>
      </c>
      <c r="AC72" s="22">
        <f t="shared" si="57"/>
        <v>48.218225500638781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321.5</v>
      </c>
      <c r="AJ72" s="13">
        <f>AI72*VLOOKUP('Données projet'!$B$10,Paramètres!$A$1:$I$89,3,0)*VLOOKUP('Données projet'!$B$10,Paramètres!$A$1:$I$89,5,0)</f>
        <v>270.83160000000004</v>
      </c>
      <c r="AK72" s="13">
        <f t="shared" si="89"/>
        <v>65.025724195950417</v>
      </c>
      <c r="AL72" s="20">
        <f t="shared" si="58"/>
        <v>584.95150630794706</v>
      </c>
      <c r="AM72" s="59">
        <f t="shared" si="59"/>
        <v>878.28483964128031</v>
      </c>
      <c r="AN72" s="59">
        <f ca="1">AVERAGE(OFFSET($AM$3,0,0,'Données projet'!$E$10+1,1))-AVERAGE(OFFSET($H$3,0,0,'Données projet'!$E$10+1,1))</f>
        <v>328.34986205643321</v>
      </c>
      <c r="AO72" s="59">
        <f t="shared" si="90"/>
        <v>251.60894449147008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29.032508915824561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29.032508915824561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181.79999999999981</v>
      </c>
      <c r="BE72" s="13">
        <f>BD72*VLOOKUP('Données projet'!$B$11,Paramètres!$A$1:$I$89,3,0)*VLOOKUP('Données projet'!$B$11,Paramètres!$A$1:$I$89,5,0)</f>
        <v>207.03383999999977</v>
      </c>
      <c r="BF72" s="13">
        <f t="shared" si="91"/>
        <v>51.286869452087025</v>
      </c>
      <c r="BG72" s="20">
        <f t="shared" si="61"/>
        <v>449.90856896238455</v>
      </c>
      <c r="BH72" s="59">
        <f t="shared" si="62"/>
        <v>743.24190229571786</v>
      </c>
      <c r="BI72" s="59">
        <f ca="1">AVERAGE(OFFSET($BH$3,0,0,'Données projet'!$E$11+1,1))-AVERAGE(OFFSET($H$3,0,0,'Données projet'!$E$11+1,1))</f>
        <v>250.68173853329841</v>
      </c>
      <c r="BJ72" s="59">
        <f t="shared" si="92"/>
        <v>113.25940301904359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10.780335286087299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10.780335286087299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181.79999999999981</v>
      </c>
      <c r="BZ72" s="13">
        <f>BY72*VLOOKUP('Données projet'!$B$12,Paramètres!$A$1:$I$89,3,0)*VLOOKUP('Données projet'!$B$12,Paramètres!$A$1:$I$89,5,0)</f>
        <v>184.34519999999983</v>
      </c>
      <c r="CA72" s="13">
        <f t="shared" si="93"/>
        <v>46.287566957511046</v>
      </c>
      <c r="CB72" s="20">
        <f t="shared" si="64"/>
        <v>401.68540245099808</v>
      </c>
      <c r="CC72" s="59">
        <f t="shared" si="65"/>
        <v>695.0187357843314</v>
      </c>
      <c r="CD72" s="59">
        <f ca="1">AVERAGE(OFFSET($CC$3,0,0,'Données projet'!$E$12+1,1))-AVERAGE(OFFSET($H$3,0,0,'Données projet'!$E$12+1,1))</f>
        <v>211.44496956344943</v>
      </c>
      <c r="CE72" s="59">
        <f t="shared" si="94"/>
        <v>98.543169293276662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9.5989286793927988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9.5989286793927988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6">
        <f t="shared" si="56"/>
        <v>395.96238788291669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5.6843418860808015E-14</v>
      </c>
      <c r="O73" s="13">
        <f>N73*VLOOKUP('Données projet'!$B$9,Paramètres!$A$1:$I$89,3,0)*VLOOKUP('Données projet'!$B$9,Paramètres!$A$1:$I$89,5,0)</f>
        <v>3.2810021366458389E-14</v>
      </c>
      <c r="P73" s="13">
        <f t="shared" si="87"/>
        <v>5.6117125884464641E-13</v>
      </c>
      <c r="Q73" s="20">
        <f t="shared" si="54"/>
        <v>1.0345173963676741E-12</v>
      </c>
      <c r="R73" s="59">
        <f t="shared" si="55"/>
        <v>293.33333333333434</v>
      </c>
      <c r="S73" s="59">
        <f ca="1">AVERAGE(OFFSET($R$3,0,0,'Données projet'!$E$9+1,1))-AVERAGE(OFFSET($H$3,0,0,'Données projet'!$E$9+1,1))</f>
        <v>162.0530649500439</v>
      </c>
      <c r="T73" s="59">
        <f t="shared" si="88"/>
        <v>450.88267959505049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47.272690718580094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3.454935400507215E-6</v>
      </c>
      <c r="AC73" s="22">
        <f t="shared" si="57"/>
        <v>47.272694173515497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330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330</v>
      </c>
      <c r="AJ73" s="13">
        <f>AI73*VLOOKUP('Données projet'!$B$10,Paramètres!$A$1:$I$89,3,0)*VLOOKUP('Données projet'!$B$10,Paramètres!$A$1:$I$89,5,0)</f>
        <v>277.99200000000002</v>
      </c>
      <c r="AK73" s="13">
        <f t="shared" si="89"/>
        <v>66.542483170264177</v>
      </c>
      <c r="AL73" s="20">
        <f t="shared" si="58"/>
        <v>600.06422485487678</v>
      </c>
      <c r="AM73" s="59">
        <f t="shared" si="59"/>
        <v>893.39755818821004</v>
      </c>
      <c r="AN73" s="59">
        <f ca="1">AVERAGE(OFFSET($AM$3,0,0,'Données projet'!$E$10+1,1))-AVERAGE(OFFSET($H$3,0,0,'Données projet'!$E$10+1,1))</f>
        <v>328.34986205643321</v>
      </c>
      <c r="AO73" s="59">
        <f t="shared" si="90"/>
        <v>251.60894449147008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0.36549999999999999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47.523988258370579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47.523988258370579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187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186.9999999999998</v>
      </c>
      <c r="BE73" s="13">
        <f>BD73*VLOOKUP('Données projet'!$B$11,Paramètres!$A$1:$I$89,3,0)*VLOOKUP('Données projet'!$B$11,Paramètres!$A$1:$I$89,5,0)</f>
        <v>212.95559999999978</v>
      </c>
      <c r="BF73" s="13">
        <f t="shared" si="91"/>
        <v>52.580932360887161</v>
      </c>
      <c r="BG73" s="20">
        <f t="shared" si="61"/>
        <v>462.4761271952114</v>
      </c>
      <c r="BH73" s="59">
        <f t="shared" si="62"/>
        <v>755.80946052854472</v>
      </c>
      <c r="BI73" s="59">
        <f ca="1">AVERAGE(OFFSET($BH$3,0,0,'Données projet'!$E$11+1,1))-AVERAGE(OFFSET($H$3,0,0,'Données projet'!$E$11+1,1))</f>
        <v>250.68173853329841</v>
      </c>
      <c r="BJ73" s="59">
        <f t="shared" si="92"/>
        <v>113.25940301904359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0.36549999999999999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23.452621030965261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23.452621030965261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187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186.9999999999998</v>
      </c>
      <c r="BZ73" s="13">
        <f>BY73*VLOOKUP('Données projet'!$B$12,Paramètres!$A$1:$I$89,3,0)*VLOOKUP('Données projet'!$B$12,Paramètres!$A$1:$I$89,5,0)</f>
        <v>189.6179999999998</v>
      </c>
      <c r="CA73" s="13">
        <f t="shared" si="93"/>
        <v>47.4554881852685</v>
      </c>
      <c r="CB73" s="20">
        <f t="shared" si="64"/>
        <v>412.90299192267565</v>
      </c>
      <c r="CC73" s="59">
        <f t="shared" si="65"/>
        <v>706.23632525600897</v>
      </c>
      <c r="CD73" s="59">
        <f ca="1">AVERAGE(OFFSET($CC$3,0,0,'Données projet'!$E$12+1,1))-AVERAGE(OFFSET($H$3,0,0,'Données projet'!$E$12+1,1))</f>
        <v>211.44496956344943</v>
      </c>
      <c r="CE73" s="59">
        <f t="shared" si="94"/>
        <v>98.543169293276662</v>
      </c>
      <c r="CF73" s="15">
        <f>IF(ISNA(VLOOKUP(A73,'Données projet'!$A$113:$I$133,3,0)),0,VLOOKUP(A73,'Données projet'!$A$113:$I$133,3,0))</f>
        <v>5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0.36549999999999999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20.882470780996464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20.882470780996464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6">
        <f t="shared" si="56"/>
        <v>397.90064293523346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5.6843418860808015E-14</v>
      </c>
      <c r="O74" s="13">
        <f>N74*VLOOKUP('Données projet'!$B$9,Paramètres!$A$1:$I$89,3,0)*VLOOKUP('Données projet'!$B$9,Paramètres!$A$1:$I$89,5,0)</f>
        <v>3.2810021366458389E-14</v>
      </c>
      <c r="P74" s="13">
        <f t="shared" si="87"/>
        <v>5.6117125884464641E-13</v>
      </c>
      <c r="Q74" s="20">
        <f t="shared" si="54"/>
        <v>1.0345173963676741E-12</v>
      </c>
      <c r="R74" s="59">
        <f t="shared" si="55"/>
        <v>293.33333333333434</v>
      </c>
      <c r="S74" s="59">
        <f ca="1">AVERAGE(OFFSET($R$3,0,0,'Données projet'!$E$9+1,1))-AVERAGE(OFFSET($H$3,0,0,'Données projet'!$E$9+1,1))</f>
        <v>162.0530649500439</v>
      </c>
      <c r="T74" s="59">
        <f t="shared" si="88"/>
        <v>450.88267959505049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46.345702087083005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2.4430082502601122E-6</v>
      </c>
      <c r="AC74" s="22">
        <f t="shared" si="57"/>
        <v>46.345704530091254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281.39999999999998</v>
      </c>
      <c r="AJ74" s="13">
        <f>AI74*VLOOKUP('Données projet'!$B$10,Paramètres!$A$1:$I$89,3,0)*VLOOKUP('Données projet'!$B$10,Paramètres!$A$1:$I$89,5,0)</f>
        <v>237.05135999999999</v>
      </c>
      <c r="AK74" s="13">
        <f t="shared" si="89"/>
        <v>57.804660499743029</v>
      </c>
      <c r="AL74" s="20">
        <f t="shared" si="58"/>
        <v>513.54090237038565</v>
      </c>
      <c r="AM74" s="59">
        <f t="shared" si="59"/>
        <v>806.87423570371902</v>
      </c>
      <c r="AN74" s="59">
        <f ca="1">AVERAGE(OFFSET($AM$3,0,0,'Données projet'!$E$10+1,1))-AVERAGE(OFFSET($H$3,0,0,'Données projet'!$E$10+1,1))</f>
        <v>328.34986205643321</v>
      </c>
      <c r="AO74" s="59">
        <f t="shared" si="90"/>
        <v>251.60894449147008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46.592071835394563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46.592071835394563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4.7</v>
      </c>
      <c r="BD74" s="12">
        <f>IF('Données projet'!$A$88&gt;35,BD73+BC74-BL73,IF(A74&lt;'Données projet'!$A$88,$BA$205^A74,IF(A74='Données projet'!$A$88,'Données projet'!$B$88,BD73+BC74-BL73)))</f>
        <v>163.69999999999979</v>
      </c>
      <c r="BE74" s="13">
        <f>BD74*VLOOKUP('Données projet'!$B$11,Paramètres!$A$1:$I$89,3,0)*VLOOKUP('Données projet'!$B$11,Paramètres!$A$1:$I$89,5,0)</f>
        <v>186.42155999999977</v>
      </c>
      <c r="BF74" s="13">
        <f t="shared" si="91"/>
        <v>46.747937238558599</v>
      </c>
      <c r="BG74" s="20">
        <f t="shared" si="61"/>
        <v>406.1035410238224</v>
      </c>
      <c r="BH74" s="59">
        <f t="shared" si="62"/>
        <v>699.43687435715572</v>
      </c>
      <c r="BI74" s="59">
        <f ca="1">AVERAGE(OFFSET($BH$3,0,0,'Données projet'!$E$11+1,1))-AVERAGE(OFFSET($H$3,0,0,'Données projet'!$E$11+1,1))</f>
        <v>250.68173853329841</v>
      </c>
      <c r="BJ74" s="59">
        <f t="shared" si="92"/>
        <v>113.25940301904359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22.992729437234392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22.992729437234392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4.7</v>
      </c>
      <c r="BY74" s="12">
        <f>IF('Données projet'!$A$114&gt;35,BY73+BX74-CG73,IF(A74&lt;'Données projet'!$A$114,$BV$205^A74,IF(A74='Données projet'!$A$114,'Données projet'!$B$114,BY73+BX74-CG73)))</f>
        <v>163.69999999999979</v>
      </c>
      <c r="BZ74" s="13">
        <f>BY74*VLOOKUP('Données projet'!$B$12,Paramètres!$A$1:$I$89,3,0)*VLOOKUP('Données projet'!$B$12,Paramètres!$A$1:$I$89,5,0)</f>
        <v>165.99179999999981</v>
      </c>
      <c r="CA74" s="13">
        <f t="shared" si="93"/>
        <v>42.191077329779411</v>
      </c>
      <c r="CB74" s="20">
        <f t="shared" si="64"/>
        <v>362.58517801603216</v>
      </c>
      <c r="CC74" s="59">
        <f t="shared" si="65"/>
        <v>655.91851134936542</v>
      </c>
      <c r="CD74" s="59">
        <f ca="1">AVERAGE(OFFSET($CC$3,0,0,'Données projet'!$E$12+1,1))-AVERAGE(OFFSET($H$3,0,0,'Données projet'!$E$12+1,1))</f>
        <v>211.44496956344943</v>
      </c>
      <c r="CE74" s="59">
        <f t="shared" si="94"/>
        <v>98.543169293276662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20.472978266030619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20.472978266030619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6">
        <f t="shared" si="56"/>
        <v>399.83825982126905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5.6843418860808015E-14</v>
      </c>
      <c r="O75" s="13">
        <f>N75*VLOOKUP('Données projet'!$B$9,Paramètres!$A$1:$I$89,3,0)*VLOOKUP('Données projet'!$B$9,Paramètres!$A$1:$I$89,5,0)</f>
        <v>3.2810021366458389E-14</v>
      </c>
      <c r="P75" s="13">
        <f t="shared" si="87"/>
        <v>5.6117125884464641E-13</v>
      </c>
      <c r="Q75" s="20">
        <f t="shared" si="54"/>
        <v>1.0345173963676741E-12</v>
      </c>
      <c r="R75" s="59">
        <f t="shared" si="55"/>
        <v>293.33333333333434</v>
      </c>
      <c r="S75" s="59">
        <f ca="1">AVERAGE(OFFSET($R$3,0,0,'Données projet'!$E$9+1,1))-AVERAGE(OFFSET($H$3,0,0,'Données projet'!$E$9+1,1))</f>
        <v>162.0530649500439</v>
      </c>
      <c r="T75" s="59">
        <f t="shared" si="88"/>
        <v>450.88267959505049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45.436891137242341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1.7274677002536075E-6</v>
      </c>
      <c r="AC75" s="22">
        <f t="shared" si="57"/>
        <v>45.436892864710039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288.79999999999995</v>
      </c>
      <c r="AJ75" s="13">
        <f>AI75*VLOOKUP('Données projet'!$B$10,Paramètres!$A$1:$I$89,3,0)*VLOOKUP('Données projet'!$B$10,Paramètres!$A$1:$I$89,5,0)</f>
        <v>243.28512000000001</v>
      </c>
      <c r="AK75" s="13">
        <f t="shared" si="89"/>
        <v>59.145779826981617</v>
      </c>
      <c r="AL75" s="20">
        <f t="shared" si="58"/>
        <v>526.73381719865961</v>
      </c>
      <c r="AM75" s="59">
        <f t="shared" si="59"/>
        <v>820.06715053199287</v>
      </c>
      <c r="AN75" s="59">
        <f ca="1">AVERAGE(OFFSET($AM$3,0,0,'Données projet'!$E$10+1,1))-AVERAGE(OFFSET($H$3,0,0,'Données projet'!$E$10+1,1))</f>
        <v>328.34986205643321</v>
      </c>
      <c r="AO75" s="59">
        <f t="shared" si="90"/>
        <v>251.60894449147008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45.678429725060212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45.678429725060212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4.7</v>
      </c>
      <c r="BD75" s="12">
        <f>IF('Données projet'!$A$88&gt;35,BD74+BC75-BL74,IF(A75&lt;'Données projet'!$A$88,$BA$205^A75,IF(A75='Données projet'!$A$88,'Données projet'!$B$88,BD74+BC75-BL74)))</f>
        <v>168.39999999999978</v>
      </c>
      <c r="BE75" s="13">
        <f>BD75*VLOOKUP('Données projet'!$B$11,Paramètres!$A$1:$I$89,3,0)*VLOOKUP('Données projet'!$B$11,Paramètres!$A$1:$I$89,5,0)</f>
        <v>191.77391999999975</v>
      </c>
      <c r="BF75" s="13">
        <f t="shared" si="91"/>
        <v>47.931929006228962</v>
      </c>
      <c r="BG75" s="20">
        <f t="shared" si="61"/>
        <v>417.48768701918169</v>
      </c>
      <c r="BH75" s="59">
        <f t="shared" si="62"/>
        <v>710.82102035251501</v>
      </c>
      <c r="BI75" s="59">
        <f ca="1">AVERAGE(OFFSET($BH$3,0,0,'Données projet'!$E$11+1,1))-AVERAGE(OFFSET($H$3,0,0,'Données projet'!$E$11+1,1))</f>
        <v>250.68173853329841</v>
      </c>
      <c r="BJ75" s="59">
        <f t="shared" si="92"/>
        <v>113.25940301904359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22.54185603715041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22.54185603715041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4.7</v>
      </c>
      <c r="BY75" s="12">
        <f>IF('Données projet'!$A$114&gt;35,BY74+BX75-CG74,IF(A75&lt;'Données projet'!$A$114,$BV$205^A75,IF(A75='Données projet'!$A$114,'Données projet'!$B$114,BY74+BX75-CG74)))</f>
        <v>168.39999999999978</v>
      </c>
      <c r="BZ75" s="13">
        <f>BY75*VLOOKUP('Données projet'!$B$12,Paramètres!$A$1:$I$89,3,0)*VLOOKUP('Données projet'!$B$12,Paramètres!$A$1:$I$89,5,0)</f>
        <v>170.7575999999998</v>
      </c>
      <c r="CA75" s="13">
        <f t="shared" si="93"/>
        <v>43.25965684747414</v>
      </c>
      <c r="CB75" s="20">
        <f t="shared" si="64"/>
        <v>372.74672234268377</v>
      </c>
      <c r="CC75" s="59">
        <f t="shared" si="65"/>
        <v>666.08005567601708</v>
      </c>
      <c r="CD75" s="59">
        <f ca="1">AVERAGE(OFFSET($CC$3,0,0,'Données projet'!$E$12+1,1))-AVERAGE(OFFSET($H$3,0,0,'Données projet'!$E$12+1,1))</f>
        <v>211.44496956344943</v>
      </c>
      <c r="CE75" s="59">
        <f t="shared" si="94"/>
        <v>98.543169293276662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20.071515649517483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20.071515649517483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6">
        <f t="shared" si="56"/>
        <v>401.77524842879154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5.6843418860808015E-14</v>
      </c>
      <c r="O76" s="13">
        <f>N76*VLOOKUP('Données projet'!$B$9,Paramètres!$A$1:$I$89,3,0)*VLOOKUP('Données projet'!$B$9,Paramètres!$A$1:$I$89,5,0)</f>
        <v>3.2810021366458389E-14</v>
      </c>
      <c r="P76" s="13">
        <f t="shared" si="87"/>
        <v>5.6117125884464641E-13</v>
      </c>
      <c r="Q76" s="20">
        <f t="shared" si="54"/>
        <v>1.0345173963676741E-12</v>
      </c>
      <c r="R76" s="59">
        <f t="shared" si="55"/>
        <v>293.33333333333434</v>
      </c>
      <c r="S76" s="59">
        <f ca="1">AVERAGE(OFFSET($R$3,0,0,'Données projet'!$E$9+1,1))-AVERAGE(OFFSET($H$3,0,0,'Données projet'!$E$9+1,1))</f>
        <v>162.0530649500439</v>
      </c>
      <c r="T76" s="59">
        <f t="shared" si="88"/>
        <v>450.88267959505049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44.545901415808103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1.2215041251300561E-6</v>
      </c>
      <c r="AC76" s="22">
        <f t="shared" si="57"/>
        <v>44.545902637312231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296.19999999999993</v>
      </c>
      <c r="AJ76" s="13">
        <f>AI76*VLOOKUP('Données projet'!$B$10,Paramètres!$A$1:$I$89,3,0)*VLOOKUP('Données projet'!$B$10,Paramètres!$A$1:$I$89,5,0)</f>
        <v>249.51887999999997</v>
      </c>
      <c r="AK76" s="13">
        <f t="shared" si="89"/>
        <v>60.482904697997853</v>
      </c>
      <c r="AL76" s="20">
        <f t="shared" si="58"/>
        <v>539.91977501567953</v>
      </c>
      <c r="AM76" s="59">
        <f t="shared" si="59"/>
        <v>833.25310834901279</v>
      </c>
      <c r="AN76" s="59">
        <f ca="1">AVERAGE(OFFSET($AM$3,0,0,'Données projet'!$E$10+1,1))-AVERAGE(OFFSET($H$3,0,0,'Données projet'!$E$10+1,1))</f>
        <v>328.34986205643321</v>
      </c>
      <c r="AO76" s="59">
        <f t="shared" si="90"/>
        <v>251.60894449147008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44.782703579242856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44.782703579242856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4.7</v>
      </c>
      <c r="BD76" s="12">
        <f>IF('Données projet'!$A$88&gt;35,BD75+BC76-BL75,IF(A76&lt;'Données projet'!$A$88,$BA$205^A76,IF(A76='Données projet'!$A$88,'Données projet'!$B$88,BD75+BC76-BL75)))</f>
        <v>173.09999999999977</v>
      </c>
      <c r="BE76" s="13">
        <f>BD76*VLOOKUP('Données projet'!$B$11,Paramètres!$A$1:$I$89,3,0)*VLOOKUP('Données projet'!$B$11,Paramètres!$A$1:$I$89,5,0)</f>
        <v>197.12627999999975</v>
      </c>
      <c r="BF76" s="13">
        <f t="shared" si="91"/>
        <v>49.11208006172167</v>
      </c>
      <c r="BG76" s="20">
        <f t="shared" si="61"/>
        <v>428.86514377416484</v>
      </c>
      <c r="BH76" s="59">
        <f t="shared" si="62"/>
        <v>722.19847710749809</v>
      </c>
      <c r="BI76" s="59">
        <f ca="1">AVERAGE(OFFSET($BH$3,0,0,'Données projet'!$E$11+1,1))-AVERAGE(OFFSET($H$3,0,0,'Données projet'!$E$11+1,1))</f>
        <v>250.68173853329841</v>
      </c>
      <c r="BJ76" s="59">
        <f t="shared" si="92"/>
        <v>113.25940301904359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22.099823989436455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22.099823989436455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4.7</v>
      </c>
      <c r="BY76" s="12">
        <f>IF('Données projet'!$A$114&gt;35,BY75+BX76-CG75,IF(A76&lt;'Données projet'!$A$114,$BV$205^A76,IF(A76='Données projet'!$A$114,'Données projet'!$B$114,BY75+BX76-CG75)))</f>
        <v>173.09999999999977</v>
      </c>
      <c r="BZ76" s="13">
        <f>BY76*VLOOKUP('Données projet'!$B$12,Paramètres!$A$1:$I$89,3,0)*VLOOKUP('Données projet'!$B$12,Paramètres!$A$1:$I$89,5,0)</f>
        <v>175.52339999999978</v>
      </c>
      <c r="CA76" s="13">
        <f t="shared" si="93"/>
        <v>44.324770035014836</v>
      </c>
      <c r="CB76" s="20">
        <f t="shared" si="64"/>
        <v>382.90222947765045</v>
      </c>
      <c r="CC76" s="59">
        <f t="shared" si="65"/>
        <v>676.23556281098377</v>
      </c>
      <c r="CD76" s="59">
        <f ca="1">AVERAGE(OFFSET($CC$3,0,0,'Données projet'!$E$12+1,1))-AVERAGE(OFFSET($H$3,0,0,'Données projet'!$E$12+1,1))</f>
        <v>211.44496956344943</v>
      </c>
      <c r="CE76" s="59">
        <f t="shared" si="94"/>
        <v>98.543169293276662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19.677925470046155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19.677925470046155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6">
        <f t="shared" si="56"/>
        <v>403.71161835910709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5.6843418860808015E-14</v>
      </c>
      <c r="O77" s="13">
        <f>N77*VLOOKUP('Données projet'!$B$9,Paramètres!$A$1:$I$89,3,0)*VLOOKUP('Données projet'!$B$9,Paramètres!$A$1:$I$89,5,0)</f>
        <v>3.2810021366458389E-14</v>
      </c>
      <c r="P77" s="13">
        <f t="shared" si="87"/>
        <v>5.6117125884464641E-13</v>
      </c>
      <c r="Q77" s="20">
        <f t="shared" si="54"/>
        <v>1.0345173963676741E-12</v>
      </c>
      <c r="R77" s="59">
        <f t="shared" si="55"/>
        <v>293.33333333333434</v>
      </c>
      <c r="S77" s="59">
        <f ca="1">AVERAGE(OFFSET($R$3,0,0,'Données projet'!$E$9+1,1))-AVERAGE(OFFSET($H$3,0,0,'Données projet'!$E$9+1,1))</f>
        <v>162.0530649500439</v>
      </c>
      <c r="T77" s="59">
        <f t="shared" si="88"/>
        <v>450.88267959505049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43.672383459361122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8.6373385012680375E-7</v>
      </c>
      <c r="AC77" s="22">
        <f t="shared" si="57"/>
        <v>43.672384323094974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303.59999999999991</v>
      </c>
      <c r="AJ77" s="13">
        <f>AI77*VLOOKUP('Données projet'!$B$10,Paramètres!$A$1:$I$89,3,0)*VLOOKUP('Données projet'!$B$10,Paramètres!$A$1:$I$89,5,0)</f>
        <v>255.75263999999996</v>
      </c>
      <c r="AK77" s="13">
        <f t="shared" si="89"/>
        <v>61.816146384369418</v>
      </c>
      <c r="AL77" s="20">
        <f t="shared" si="58"/>
        <v>553.09896961944332</v>
      </c>
      <c r="AM77" s="59">
        <f t="shared" si="59"/>
        <v>846.43230295277658</v>
      </c>
      <c r="AN77" s="59">
        <f ca="1">AVERAGE(OFFSET($AM$3,0,0,'Données projet'!$E$10+1,1))-AVERAGE(OFFSET($H$3,0,0,'Données projet'!$E$10+1,1))</f>
        <v>328.34986205643321</v>
      </c>
      <c r="AO77" s="59">
        <f t="shared" si="90"/>
        <v>251.60894449147008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43.904542076805981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43.904542076805981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4.7</v>
      </c>
      <c r="BD77" s="12">
        <f>IF('Données projet'!$A$88&gt;35,BD76+BC77-BL76,IF(A77&lt;'Données projet'!$A$88,$BA$205^A77,IF(A77='Données projet'!$A$88,'Données projet'!$B$88,BD76+BC77-BL76)))</f>
        <v>177.79999999999976</v>
      </c>
      <c r="BE77" s="13">
        <f>BD77*VLOOKUP('Données projet'!$B$11,Paramètres!$A$1:$I$89,3,0)*VLOOKUP('Données projet'!$B$11,Paramètres!$A$1:$I$89,5,0)</f>
        <v>202.4786399999997</v>
      </c>
      <c r="BF77" s="13">
        <f t="shared" si="91"/>
        <v>50.288506671469428</v>
      </c>
      <c r="BG77" s="20">
        <f t="shared" si="61"/>
        <v>440.23611378614208</v>
      </c>
      <c r="BH77" s="59">
        <f t="shared" si="62"/>
        <v>733.5694471194754</v>
      </c>
      <c r="BI77" s="59">
        <f ca="1">AVERAGE(OFFSET($BH$3,0,0,'Données projet'!$E$11+1,1))-AVERAGE(OFFSET($H$3,0,0,'Données projet'!$E$11+1,1))</f>
        <v>250.68173853329841</v>
      </c>
      <c r="BJ77" s="59">
        <f t="shared" si="92"/>
        <v>113.25940301904359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21.666459920565245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21.666459920565245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4.7</v>
      </c>
      <c r="BY77" s="12">
        <f>IF('Données projet'!$A$114&gt;35,BY76+BX77-CG76,IF(A77&lt;'Données projet'!$A$114,$BV$205^A77,IF(A77='Données projet'!$A$114,'Données projet'!$B$114,BY76+BX77-CG76)))</f>
        <v>177.79999999999976</v>
      </c>
      <c r="BZ77" s="13">
        <f>BY77*VLOOKUP('Données projet'!$B$12,Paramètres!$A$1:$I$89,3,0)*VLOOKUP('Données projet'!$B$12,Paramètres!$A$1:$I$89,5,0)</f>
        <v>180.28919999999977</v>
      </c>
      <c r="CA77" s="13">
        <f t="shared" si="93"/>
        <v>45.386521825503216</v>
      </c>
      <c r="CB77" s="20">
        <f t="shared" si="64"/>
        <v>393.05188217941776</v>
      </c>
      <c r="CC77" s="59">
        <f t="shared" si="65"/>
        <v>686.38521551275107</v>
      </c>
      <c r="CD77" s="59">
        <f ca="1">AVERAGE(OFFSET($CC$3,0,0,'Données projet'!$E$12+1,1))-AVERAGE(OFFSET($H$3,0,0,'Données projet'!$E$12+1,1))</f>
        <v>211.44496956344943</v>
      </c>
      <c r="CE77" s="59">
        <f t="shared" si="94"/>
        <v>98.543169293276662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19.292053353927955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19.292053353927955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6">
        <f t="shared" si="56"/>
        <v>405.64737893911513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5.6843418860808015E-14</v>
      </c>
      <c r="O78" s="13">
        <f>N78*VLOOKUP('Données projet'!$B$9,Paramètres!$A$1:$I$89,3,0)*VLOOKUP('Données projet'!$B$9,Paramètres!$A$1:$I$89,5,0)</f>
        <v>3.2810021366458389E-14</v>
      </c>
      <c r="P78" s="13">
        <f t="shared" si="87"/>
        <v>5.6117125884464641E-13</v>
      </c>
      <c r="Q78" s="20">
        <f t="shared" si="54"/>
        <v>1.0345173963676741E-12</v>
      </c>
      <c r="R78" s="59">
        <f t="shared" si="55"/>
        <v>293.33333333333434</v>
      </c>
      <c r="S78" s="59">
        <f ca="1">AVERAGE(OFFSET($R$3,0,0,'Données projet'!$E$9+1,1))-AVERAGE(OFFSET($H$3,0,0,'Données projet'!$E$9+1,1))</f>
        <v>162.0530649500439</v>
      </c>
      <c r="T78" s="59">
        <f t="shared" si="88"/>
        <v>450.88267959505049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42.815994657246726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6.1075206256502805E-7</v>
      </c>
      <c r="AC78" s="22">
        <f t="shared" si="57"/>
        <v>42.815995267998787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310.99999999999989</v>
      </c>
      <c r="AJ78" s="13">
        <f>AI78*VLOOKUP('Données projet'!$B$10,Paramètres!$A$1:$I$89,3,0)*VLOOKUP('Données projet'!$B$10,Paramètres!$A$1:$I$89,5,0)</f>
        <v>261.98639999999989</v>
      </c>
      <c r="AK78" s="13">
        <f t="shared" si="89"/>
        <v>63.14561042409737</v>
      </c>
      <c r="AL78" s="20">
        <f t="shared" si="58"/>
        <v>566.27158482196944</v>
      </c>
      <c r="AM78" s="59">
        <f t="shared" si="59"/>
        <v>859.60491815530281</v>
      </c>
      <c r="AN78" s="59">
        <f ca="1">AVERAGE(OFFSET($AM$3,0,0,'Données projet'!$E$10+1,1))-AVERAGE(OFFSET($H$3,0,0,'Données projet'!$E$10+1,1))</f>
        <v>328.34986205643321</v>
      </c>
      <c r="AO78" s="59">
        <f t="shared" si="90"/>
        <v>251.60894449147008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43.043600785806262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43.043600785806262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4.7</v>
      </c>
      <c r="BD78" s="12">
        <f>IF('Données projet'!$A$88&gt;35,BD77+BC78-BL77,IF(A78&lt;'Données projet'!$A$88,$BA$205^A78,IF(A78='Données projet'!$A$88,'Données projet'!$B$88,BD77+BC78-BL77)))</f>
        <v>182.49999999999974</v>
      </c>
      <c r="BE78" s="13">
        <f>BD78*VLOOKUP('Données projet'!$B$11,Paramètres!$A$1:$I$89,3,0)*VLOOKUP('Données projet'!$B$11,Paramètres!$A$1:$I$89,5,0)</f>
        <v>207.83099999999973</v>
      </c>
      <c r="BF78" s="13">
        <f t="shared" si="91"/>
        <v>51.461318605053307</v>
      </c>
      <c r="BG78" s="20">
        <f t="shared" si="61"/>
        <v>451.60078823713394</v>
      </c>
      <c r="BH78" s="59">
        <f t="shared" si="62"/>
        <v>744.93412157046725</v>
      </c>
      <c r="BI78" s="59">
        <f ca="1">AVERAGE(OFFSET($BH$3,0,0,'Données projet'!$E$11+1,1))-AVERAGE(OFFSET($H$3,0,0,'Données projet'!$E$11+1,1))</f>
        <v>250.68173853329841</v>
      </c>
      <c r="BJ78" s="59">
        <f t="shared" si="92"/>
        <v>113.25940301904359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21.241593856758616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21.241593856758616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4.7</v>
      </c>
      <c r="BY78" s="12">
        <f>IF('Données projet'!$A$114&gt;35,BY77+BX78-CG77,IF(A78&lt;'Données projet'!$A$114,$BV$205^A78,IF(A78='Données projet'!$A$114,'Données projet'!$B$114,BY77+BX78-CG77)))</f>
        <v>182.49999999999974</v>
      </c>
      <c r="BZ78" s="13">
        <f>BY78*VLOOKUP('Données projet'!$B$12,Paramètres!$A$1:$I$89,3,0)*VLOOKUP('Données projet'!$B$12,Paramètres!$A$1:$I$89,5,0)</f>
        <v>185.05499999999975</v>
      </c>
      <c r="CA78" s="13">
        <f t="shared" si="93"/>
        <v>46.445011288484523</v>
      </c>
      <c r="CB78" s="20">
        <f t="shared" si="64"/>
        <v>403.19585299411011</v>
      </c>
      <c r="CC78" s="59">
        <f t="shared" si="65"/>
        <v>696.52918632744343</v>
      </c>
      <c r="CD78" s="59">
        <f ca="1">AVERAGE(OFFSET($CC$3,0,0,'Données projet'!$E$12+1,1))-AVERAGE(OFFSET($H$3,0,0,'Données projet'!$E$12+1,1))</f>
        <v>211.44496956344943</v>
      </c>
      <c r="CE78" s="59">
        <f t="shared" si="94"/>
        <v>98.543169293276662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18.91374795464808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18.91374795464808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6">
        <f t="shared" si="56"/>
        <v>407.58253923270354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5.6843418860808015E-14</v>
      </c>
      <c r="O79" s="13">
        <f>N79*VLOOKUP('Données projet'!$B$9,Paramètres!$A$1:$I$89,3,0)*VLOOKUP('Données projet'!$B$9,Paramètres!$A$1:$I$89,5,0)</f>
        <v>3.2810021366458389E-14</v>
      </c>
      <c r="P79" s="13">
        <f t="shared" si="87"/>
        <v>5.6117125884464641E-13</v>
      </c>
      <c r="Q79" s="20">
        <f t="shared" si="54"/>
        <v>1.0345173963676741E-12</v>
      </c>
      <c r="R79" s="59">
        <f t="shared" si="55"/>
        <v>293.33333333333434</v>
      </c>
      <c r="S79" s="59">
        <f ca="1">AVERAGE(OFFSET($R$3,0,0,'Données projet'!$E$9+1,1))-AVERAGE(OFFSET($H$3,0,0,'Données projet'!$E$9+1,1))</f>
        <v>162.0530649500439</v>
      </c>
      <c r="T79" s="59">
        <f t="shared" si="88"/>
        <v>450.88267959505049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41.976399117196202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4.3186692506340188E-7</v>
      </c>
      <c r="AC79" s="22">
        <f t="shared" si="57"/>
        <v>41.976399549063125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318.39999999999986</v>
      </c>
      <c r="AJ79" s="13">
        <f>AI79*VLOOKUP('Données projet'!$B$10,Paramètres!$A$1:$I$89,3,0)*VLOOKUP('Données projet'!$B$10,Paramètres!$A$1:$I$89,5,0)</f>
        <v>268.22015999999991</v>
      </c>
      <c r="AK79" s="13">
        <f t="shared" si="89"/>
        <v>64.471397046337671</v>
      </c>
      <c r="AL79" s="20">
        <f t="shared" si="58"/>
        <v>579.43779518903796</v>
      </c>
      <c r="AM79" s="59">
        <f t="shared" si="59"/>
        <v>872.77112852237133</v>
      </c>
      <c r="AN79" s="59">
        <f ca="1">AVERAGE(OFFSET($AM$3,0,0,'Données projet'!$E$10+1,1))-AVERAGE(OFFSET($H$3,0,0,'Données projet'!$E$10+1,1))</f>
        <v>328.34986205643321</v>
      </c>
      <c r="AO79" s="59">
        <f t="shared" si="90"/>
        <v>251.60894449147008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42.199542028400714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42.199542028400714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4.7</v>
      </c>
      <c r="BD79" s="12">
        <f>IF('Données projet'!$A$88&gt;35,BD78+BC79-BL78,IF(A79&lt;'Données projet'!$A$88,$BA$205^A79,IF(A79='Données projet'!$A$88,'Données projet'!$B$88,BD78+BC79-BL78)))</f>
        <v>187.19999999999973</v>
      </c>
      <c r="BE79" s="13">
        <f>BD79*VLOOKUP('Données projet'!$B$11,Paramètres!$A$1:$I$89,3,0)*VLOOKUP('Données projet'!$B$11,Paramètres!$A$1:$I$89,5,0)</f>
        <v>213.18335999999971</v>
      </c>
      <c r="BF79" s="13">
        <f t="shared" si="91"/>
        <v>52.630619656078458</v>
      </c>
      <c r="BG79" s="20">
        <f t="shared" si="61"/>
        <v>462.95934790100279</v>
      </c>
      <c r="BH79" s="59">
        <f t="shared" si="62"/>
        <v>756.2926812343361</v>
      </c>
      <c r="BI79" s="59">
        <f ca="1">AVERAGE(OFFSET($BH$3,0,0,'Données projet'!$E$11+1,1))-AVERAGE(OFFSET($H$3,0,0,'Données projet'!$E$11+1,1))</f>
        <v>250.68173853329841</v>
      </c>
      <c r="BJ79" s="59">
        <f t="shared" si="92"/>
        <v>113.25940301904359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20.825059157320524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20.825059157320524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4.7</v>
      </c>
      <c r="BY79" s="12">
        <f>IF('Données projet'!$A$114&gt;35,BY78+BX79-CG78,IF(A79&lt;'Données projet'!$A$114,$BV$205^A79,IF(A79='Données projet'!$A$114,'Données projet'!$B$114,BY78+BX79-CG78)))</f>
        <v>187.19999999999973</v>
      </c>
      <c r="BZ79" s="13">
        <f>BY79*VLOOKUP('Données projet'!$B$12,Paramètres!$A$1:$I$89,3,0)*VLOOKUP('Données projet'!$B$12,Paramètres!$A$1:$I$89,5,0)</f>
        <v>189.82079999999976</v>
      </c>
      <c r="CA79" s="13">
        <f t="shared" si="93"/>
        <v>47.500332100049754</v>
      </c>
      <c r="CB79" s="20">
        <f t="shared" si="64"/>
        <v>413.33430507425288</v>
      </c>
      <c r="CC79" s="59">
        <f t="shared" si="65"/>
        <v>706.6676384075862</v>
      </c>
      <c r="CD79" s="59">
        <f ca="1">AVERAGE(OFFSET($CC$3,0,0,'Données projet'!$E$12+1,1))-AVERAGE(OFFSET($H$3,0,0,'Données projet'!$E$12+1,1))</f>
        <v>211.44496956344943</v>
      </c>
      <c r="CE79" s="59">
        <f t="shared" si="94"/>
        <v>98.543169293276662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18.542860893504574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18.542860893504574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6">
        <f t="shared" si="56"/>
        <v>409.51710805152618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5.6843418860808015E-14</v>
      </c>
      <c r="O80" s="13">
        <f>N80*VLOOKUP('Données projet'!$B$9,Paramètres!$A$1:$I$89,3,0)*VLOOKUP('Données projet'!$B$9,Paramètres!$A$1:$I$89,5,0)</f>
        <v>3.2810021366458389E-14</v>
      </c>
      <c r="P80" s="13">
        <f t="shared" si="87"/>
        <v>5.6117125884464641E-13</v>
      </c>
      <c r="Q80" s="20">
        <f t="shared" si="54"/>
        <v>1.0345173963676741E-12</v>
      </c>
      <c r="R80" s="59">
        <f t="shared" si="55"/>
        <v>293.33333333333434</v>
      </c>
      <c r="S80" s="59">
        <f ca="1">AVERAGE(OFFSET($R$3,0,0,'Données projet'!$E$9+1,1))-AVERAGE(OFFSET($H$3,0,0,'Données projet'!$E$9+1,1))</f>
        <v>162.0530649500439</v>
      </c>
      <c r="T80" s="59">
        <f t="shared" si="88"/>
        <v>450.88267959505049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41.153267533583353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3.0537603128251402E-7</v>
      </c>
      <c r="AC80" s="22">
        <f t="shared" si="57"/>
        <v>41.153267838959387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325.79999999999984</v>
      </c>
      <c r="AJ80" s="13">
        <f>AI80*VLOOKUP('Données projet'!$B$10,Paramètres!$A$1:$I$89,3,0)*VLOOKUP('Données projet'!$B$10,Paramètres!$A$1:$I$89,5,0)</f>
        <v>274.45391999999993</v>
      </c>
      <c r="AK80" s="13">
        <f t="shared" si="89"/>
        <v>65.793601555534096</v>
      </c>
      <c r="AL80" s="20">
        <f t="shared" si="58"/>
        <v>592.59776670922179</v>
      </c>
      <c r="AM80" s="59">
        <f t="shared" si="59"/>
        <v>885.93110004255504</v>
      </c>
      <c r="AN80" s="59">
        <f ca="1">AVERAGE(OFFSET($AM$3,0,0,'Données projet'!$E$10+1,1))-AVERAGE(OFFSET($H$3,0,0,'Données projet'!$E$10+1,1))</f>
        <v>328.34986205643321</v>
      </c>
      <c r="AO80" s="59">
        <f t="shared" si="90"/>
        <v>251.60894449147008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41.372034748402882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41.372034748402882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4.7</v>
      </c>
      <c r="BD80" s="12">
        <f>IF('Données projet'!$A$88&gt;35,BD79+BC80-BL79,IF(A80&lt;'Données projet'!$A$88,$BA$205^A80,IF(A80='Données projet'!$A$88,'Données projet'!$B$88,BD79+BC80-BL79)))</f>
        <v>191.89999999999972</v>
      </c>
      <c r="BE80" s="13">
        <f>BD80*VLOOKUP('Données projet'!$B$11,Paramètres!$A$1:$I$89,3,0)*VLOOKUP('Données projet'!$B$11,Paramètres!$A$1:$I$89,5,0)</f>
        <v>218.53571999999969</v>
      </c>
      <c r="BF80" s="13">
        <f t="shared" si="91"/>
        <v>53.796508109267762</v>
      </c>
      <c r="BG80" s="20">
        <f t="shared" si="61"/>
        <v>474.31196395697413</v>
      </c>
      <c r="BH80" s="59">
        <f t="shared" si="62"/>
        <v>767.64529729030744</v>
      </c>
      <c r="BI80" s="59">
        <f ca="1">AVERAGE(OFFSET($BH$3,0,0,'Données projet'!$E$11+1,1))-AVERAGE(OFFSET($H$3,0,0,'Données projet'!$E$11+1,1))</f>
        <v>250.68173853329841</v>
      </c>
      <c r="BJ80" s="59">
        <f t="shared" si="92"/>
        <v>113.25940301904359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20.416692449277335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20.416692449277335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4.7</v>
      </c>
      <c r="BY80" s="12">
        <f>IF('Données projet'!$A$114&gt;35,BY79+BX80-CG79,IF(A80&lt;'Données projet'!$A$114,$BV$205^A80,IF(A80='Données projet'!$A$114,'Données projet'!$B$114,BY79+BX80-CG79)))</f>
        <v>191.89999999999972</v>
      </c>
      <c r="BZ80" s="13">
        <f>BY80*VLOOKUP('Données projet'!$B$12,Paramètres!$A$1:$I$89,3,0)*VLOOKUP('Données projet'!$B$12,Paramètres!$A$1:$I$89,5,0)</f>
        <v>194.58659999999975</v>
      </c>
      <c r="CA80" s="13">
        <f t="shared" si="93"/>
        <v>48.552572964398145</v>
      </c>
      <c r="CB80" s="20">
        <f t="shared" si="64"/>
        <v>423.46739291299292</v>
      </c>
      <c r="CC80" s="59">
        <f t="shared" si="65"/>
        <v>716.80072624632624</v>
      </c>
      <c r="CD80" s="59">
        <f ca="1">AVERAGE(OFFSET($CC$3,0,0,'Données projet'!$E$12+1,1))-AVERAGE(OFFSET($H$3,0,0,'Données projet'!$E$12+1,1))</f>
        <v>211.44496956344943</v>
      </c>
      <c r="CE80" s="59">
        <f t="shared" si="94"/>
        <v>98.543169293276662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18.179246701411323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18.179246701411323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6">
        <f t="shared" si="56"/>
        <v>411.45109396520513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5.6843418860808015E-14</v>
      </c>
      <c r="O81" s="13">
        <f>N81*VLOOKUP('Données projet'!$B$9,Paramètres!$A$1:$I$89,3,0)*VLOOKUP('Données projet'!$B$9,Paramètres!$A$1:$I$89,5,0)</f>
        <v>3.2810021366458389E-14</v>
      </c>
      <c r="P81" s="13">
        <f t="shared" si="87"/>
        <v>5.6117125884464641E-13</v>
      </c>
      <c r="Q81" s="20">
        <f t="shared" si="54"/>
        <v>1.0345173963676741E-12</v>
      </c>
      <c r="R81" s="59">
        <f t="shared" si="55"/>
        <v>293.33333333333434</v>
      </c>
      <c r="S81" s="59">
        <f ca="1">AVERAGE(OFFSET($R$3,0,0,'Données projet'!$E$9+1,1))-AVERAGE(OFFSET($H$3,0,0,'Données projet'!$E$9+1,1))</f>
        <v>162.0530649500439</v>
      </c>
      <c r="T81" s="59">
        <f t="shared" si="88"/>
        <v>450.88267959505049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40.346277058264462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2.1593346253170094E-7</v>
      </c>
      <c r="AC81" s="22">
        <f t="shared" si="57"/>
        <v>40.346277274197924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333.19999999999982</v>
      </c>
      <c r="AJ81" s="13">
        <f>AI81*VLOOKUP('Données projet'!$B$10,Paramètres!$A$1:$I$89,3,0)*VLOOKUP('Données projet'!$B$10,Paramètres!$A$1:$I$89,5,0)</f>
        <v>280.68767999999989</v>
      </c>
      <c r="AK81" s="13">
        <f t="shared" si="89"/>
        <v>67.11231467966806</v>
      </c>
      <c r="AL81" s="20">
        <f t="shared" si="58"/>
        <v>605.75165740042166</v>
      </c>
      <c r="AM81" s="59">
        <f t="shared" si="59"/>
        <v>899.08499073375492</v>
      </c>
      <c r="AN81" s="59">
        <f ca="1">AVERAGE(OFFSET($AM$3,0,0,'Données projet'!$E$10+1,1))-AVERAGE(OFFSET($H$3,0,0,'Données projet'!$E$10+1,1))</f>
        <v>328.34986205643321</v>
      </c>
      <c r="AO81" s="59">
        <f t="shared" si="90"/>
        <v>251.60894449147008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40.560754381436205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40.560754381436205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4.7</v>
      </c>
      <c r="BD81" s="12">
        <f>IF('Données projet'!$A$88&gt;35,BD80+BC81-BL80,IF(A81&lt;'Données projet'!$A$88,$BA$205^A81,IF(A81='Données projet'!$A$88,'Données projet'!$B$88,BD80+BC81-BL80)))</f>
        <v>196.59999999999971</v>
      </c>
      <c r="BE81" s="13">
        <f>BD81*VLOOKUP('Données projet'!$B$11,Paramètres!$A$1:$I$89,3,0)*VLOOKUP('Données projet'!$B$11,Paramètres!$A$1:$I$89,5,0)</f>
        <v>223.88807999999966</v>
      </c>
      <c r="BF81" s="13">
        <f t="shared" si="91"/>
        <v>54.95907716050629</v>
      </c>
      <c r="BG81" s="20">
        <f t="shared" si="61"/>
        <v>485.65879872121445</v>
      </c>
      <c r="BH81" s="59">
        <f t="shared" si="62"/>
        <v>778.99213205454771</v>
      </c>
      <c r="BI81" s="59">
        <f ca="1">AVERAGE(OFFSET($BH$3,0,0,'Données projet'!$E$11+1,1))-AVERAGE(OFFSET($H$3,0,0,'Données projet'!$E$11+1,1))</f>
        <v>250.68173853329841</v>
      </c>
      <c r="BJ81" s="59">
        <f t="shared" si="92"/>
        <v>113.25940301904359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20.016333563299774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20.016333563299774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4.7</v>
      </c>
      <c r="BY81" s="12">
        <f>IF('Données projet'!$A$114&gt;35,BY80+BX81-CG80,IF(A81&lt;'Données projet'!$A$114,$BV$205^A81,IF(A81='Données projet'!$A$114,'Données projet'!$B$114,BY80+BX81-CG80)))</f>
        <v>196.59999999999971</v>
      </c>
      <c r="BZ81" s="13">
        <f>BY81*VLOOKUP('Données projet'!$B$12,Paramètres!$A$1:$I$89,3,0)*VLOOKUP('Données projet'!$B$12,Paramètres!$A$1:$I$89,5,0)</f>
        <v>199.35239999999973</v>
      </c>
      <c r="CA81" s="13">
        <f t="shared" si="93"/>
        <v>49.601817992937185</v>
      </c>
      <c r="CB81" s="20">
        <f t="shared" si="64"/>
        <v>433.59526300436511</v>
      </c>
      <c r="CC81" s="59">
        <f t="shared" si="65"/>
        <v>726.92859633769842</v>
      </c>
      <c r="CD81" s="59">
        <f ca="1">AVERAGE(OFFSET($CC$3,0,0,'Données projet'!$E$12+1,1))-AVERAGE(OFFSET($H$3,0,0,'Données projet'!$E$12+1,1))</f>
        <v>211.44496956344943</v>
      </c>
      <c r="CE81" s="59">
        <f t="shared" si="94"/>
        <v>98.543169293276662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17.822762761842263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17.822762761842263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6">
        <f t="shared" si="56"/>
        <v>413.38450531099431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5.6843418860808015E-14</v>
      </c>
      <c r="O82" s="13">
        <f>N82*VLOOKUP('Données projet'!$B$9,Paramètres!$A$1:$I$89,3,0)*VLOOKUP('Données projet'!$B$9,Paramètres!$A$1:$I$89,5,0)</f>
        <v>3.2810021366458389E-14</v>
      </c>
      <c r="P82" s="13">
        <f t="shared" si="87"/>
        <v>5.6117125884464641E-13</v>
      </c>
      <c r="Q82" s="20">
        <f t="shared" si="54"/>
        <v>1.0345173963676741E-12</v>
      </c>
      <c r="R82" s="59">
        <f t="shared" si="55"/>
        <v>293.33333333333434</v>
      </c>
      <c r="S82" s="59">
        <f ca="1">AVERAGE(OFFSET($R$3,0,0,'Données projet'!$E$9+1,1))-AVERAGE(OFFSET($H$3,0,0,'Données projet'!$E$9+1,1))</f>
        <v>162.0530649500439</v>
      </c>
      <c r="T82" s="59">
        <f t="shared" si="88"/>
        <v>450.88267959505049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39.555111173950984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1.5268801564125701E-7</v>
      </c>
      <c r="AC82" s="22">
        <f t="shared" si="57"/>
        <v>39.555111326639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340.5999999999998</v>
      </c>
      <c r="AJ82" s="13">
        <f>AI82*VLOOKUP('Données projet'!$B$10,Paramètres!$A$1:$I$89,3,0)*VLOOKUP('Données projet'!$B$10,Paramètres!$A$1:$I$89,5,0)</f>
        <v>286.92143999999985</v>
      </c>
      <c r="AK82" s="13">
        <f t="shared" si="89"/>
        <v>68.427622886698884</v>
      </c>
      <c r="AL82" s="20">
        <f t="shared" si="58"/>
        <v>618.89961786100014</v>
      </c>
      <c r="AM82" s="59">
        <f t="shared" si="59"/>
        <v>912.23295119433351</v>
      </c>
      <c r="AN82" s="59">
        <f ca="1">AVERAGE(OFFSET($AM$3,0,0,'Données projet'!$E$10+1,1))-AVERAGE(OFFSET($H$3,0,0,'Données projet'!$E$10+1,1))</f>
        <v>328.34986205643321</v>
      </c>
      <c r="AO82" s="59">
        <f t="shared" si="90"/>
        <v>251.60894449147008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39.765382727633579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39.765382727633579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4.7</v>
      </c>
      <c r="BD82" s="12">
        <f>IF('Données projet'!$A$88&gt;35,BD81+BC82-BL81,IF(A82&lt;'Données projet'!$A$88,$BA$205^A82,IF(A82='Données projet'!$A$88,'Données projet'!$B$88,BD81+BC82-BL81)))</f>
        <v>201.2999999999997</v>
      </c>
      <c r="BE82" s="13">
        <f>BD82*VLOOKUP('Données projet'!$B$11,Paramètres!$A$1:$I$89,3,0)*VLOOKUP('Données projet'!$B$11,Paramètres!$A$1:$I$89,5,0)</f>
        <v>229.24043999999967</v>
      </c>
      <c r="BF82" s="13">
        <f t="shared" si="91"/>
        <v>56.118415295588143</v>
      </c>
      <c r="BG82" s="20">
        <f t="shared" si="61"/>
        <v>497.00000630648219</v>
      </c>
      <c r="BH82" s="59">
        <f t="shared" si="62"/>
        <v>790.33333963981545</v>
      </c>
      <c r="BI82" s="59">
        <f ca="1">AVERAGE(OFFSET($BH$3,0,0,'Données projet'!$E$11+1,1))-AVERAGE(OFFSET($H$3,0,0,'Données projet'!$E$11+1,1))</f>
        <v>250.68173853329841</v>
      </c>
      <c r="BJ82" s="59">
        <f t="shared" si="92"/>
        <v>113.25940301904359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19.623825470881425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19.623825470881425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4.7</v>
      </c>
      <c r="BY82" s="12">
        <f>IF('Données projet'!$A$114&gt;35,BY81+BX82-CG81,IF(A82&lt;'Données projet'!$A$114,$BV$205^A82,IF(A82='Données projet'!$A$114,'Données projet'!$B$114,BY81+BX82-CG81)))</f>
        <v>201.2999999999997</v>
      </c>
      <c r="BZ82" s="13">
        <f>BY82*VLOOKUP('Données projet'!$B$12,Paramètres!$A$1:$I$89,3,0)*VLOOKUP('Données projet'!$B$12,Paramètres!$A$1:$I$89,5,0)</f>
        <v>204.11819999999969</v>
      </c>
      <c r="CA82" s="13">
        <f t="shared" si="93"/>
        <v>50.648147046109948</v>
      </c>
      <c r="CB82" s="20">
        <f t="shared" si="64"/>
        <v>443.71805443864088</v>
      </c>
      <c r="CC82" s="59">
        <f t="shared" si="65"/>
        <v>737.05138777197419</v>
      </c>
      <c r="CD82" s="59">
        <f ca="1">AVERAGE(OFFSET($CC$3,0,0,'Données projet'!$E$12+1,1))-AVERAGE(OFFSET($H$3,0,0,'Données projet'!$E$12+1,1))</f>
        <v>211.44496956344943</v>
      </c>
      <c r="CE82" s="59">
        <f t="shared" si="94"/>
        <v>98.543169293276662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17.473269254894419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17.473269254894419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6">
        <f t="shared" si="56"/>
        <v>415.31735020294059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5.6843418860808015E-14</v>
      </c>
      <c r="O83" s="13">
        <f>N83*VLOOKUP('Données projet'!$B$9,Paramètres!$A$1:$I$89,3,0)*VLOOKUP('Données projet'!$B$9,Paramètres!$A$1:$I$89,5,0)</f>
        <v>3.2810021366458389E-14</v>
      </c>
      <c r="P83" s="13">
        <f t="shared" si="87"/>
        <v>5.6117125884464641E-13</v>
      </c>
      <c r="Q83" s="20">
        <f t="shared" si="54"/>
        <v>1.0345173963676741E-12</v>
      </c>
      <c r="R83" s="59">
        <f t="shared" si="55"/>
        <v>293.33333333333434</v>
      </c>
      <c r="S83" s="59">
        <f ca="1">AVERAGE(OFFSET($R$3,0,0,'Données projet'!$E$9+1,1))-AVERAGE(OFFSET($H$3,0,0,'Données projet'!$E$9+1,1))</f>
        <v>162.0530649500439</v>
      </c>
      <c r="T83" s="59">
        <f t="shared" si="88"/>
        <v>450.88267959505049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38.779459570065356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1.0796673126585047E-7</v>
      </c>
      <c r="AC83" s="22">
        <f t="shared" si="57"/>
        <v>38.77945967803209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348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347.99999999999977</v>
      </c>
      <c r="AJ83" s="13">
        <f>AI83*VLOOKUP('Données projet'!$B$10,Paramètres!$A$1:$I$89,3,0)*VLOOKUP('Données projet'!$B$10,Paramètres!$A$1:$I$89,5,0)</f>
        <v>293.15519999999987</v>
      </c>
      <c r="AK83" s="13">
        <f t="shared" si="89"/>
        <v>69.739608672728551</v>
      </c>
      <c r="AL83" s="20">
        <f t="shared" si="58"/>
        <v>632.0417917716685</v>
      </c>
      <c r="AM83" s="59">
        <f t="shared" si="59"/>
        <v>925.37512510500187</v>
      </c>
      <c r="AN83" s="59">
        <f ca="1">AVERAGE(OFFSET($AM$3,0,0,'Données projet'!$E$10+1,1))-AVERAGE(OFFSET($H$3,0,0,'Données projet'!$E$10+1,1))</f>
        <v>328.34986205643321</v>
      </c>
      <c r="AO83" s="59">
        <f t="shared" si="90"/>
        <v>251.60894449147008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0.36549999999999999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58.046396961136651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58.046396961136651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206</v>
      </c>
      <c r="BB83" s="12">
        <f>VLOOKUP(A83,'Données projet'!$A$87:$I$107,9,0)</f>
        <v>4.7</v>
      </c>
      <c r="BC83" s="12">
        <f t="array" ref="BC83">INDEX(BB:BB,MIN(IF(ISNUMBER(BB83:BB279),ROW(BB83:BB279),"")))</f>
        <v>4.7</v>
      </c>
      <c r="BD83" s="12">
        <f>IF('Données projet'!$A$88&gt;35,BD82+BC83-BL82,IF(A83&lt;'Données projet'!$A$88,$BA$205^A83,IF(A83='Données projet'!$A$88,'Données projet'!$B$88,BD82+BC83-BL82)))</f>
        <v>205.99999999999969</v>
      </c>
      <c r="BE83" s="13">
        <f>BD83*VLOOKUP('Données projet'!$B$11,Paramètres!$A$1:$I$89,3,0)*VLOOKUP('Données projet'!$B$11,Paramètres!$A$1:$I$89,5,0)</f>
        <v>234.59279999999964</v>
      </c>
      <c r="BF83" s="13">
        <f t="shared" si="91"/>
        <v>57.274606632593894</v>
      </c>
      <c r="BG83" s="20">
        <f t="shared" si="61"/>
        <v>508.33573321843375</v>
      </c>
      <c r="BH83" s="59">
        <f t="shared" si="62"/>
        <v>801.66906655176706</v>
      </c>
      <c r="BI83" s="59">
        <f ca="1">AVERAGE(OFFSET($BH$3,0,0,'Données projet'!$E$11+1,1))-AVERAGE(OFFSET($H$3,0,0,'Données projet'!$E$11+1,1))</f>
        <v>250.68173853329841</v>
      </c>
      <c r="BJ83" s="59">
        <f t="shared" si="92"/>
        <v>113.25940301904359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0.36549999999999999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32.122695767231974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32.122695767231974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206</v>
      </c>
      <c r="BW83" s="12">
        <f>VLOOKUP(A83,'Données projet'!$A$113:$I$133,9,0)</f>
        <v>4.7</v>
      </c>
      <c r="BX83" s="12">
        <f t="array" ref="BX83">INDEX(BW:BW,MIN(IF(ISNUMBER(BW83:BW279),ROW(BW83:BW279),"")))</f>
        <v>4.7</v>
      </c>
      <c r="BY83" s="12">
        <f>IF('Données projet'!$A$114&gt;35,BY82+BX83-CG82,IF(A83&lt;'Données projet'!$A$114,$BV$205^A83,IF(A83='Données projet'!$A$114,'Données projet'!$B$114,BY82+BX83-CG82)))</f>
        <v>205.99999999999969</v>
      </c>
      <c r="BZ83" s="13">
        <f>BY83*VLOOKUP('Données projet'!$B$12,Paramètres!$A$1:$I$89,3,0)*VLOOKUP('Données projet'!$B$12,Paramètres!$A$1:$I$89,5,0)</f>
        <v>208.8839999999997</v>
      </c>
      <c r="CA83" s="13">
        <f t="shared" si="93"/>
        <v>51.691636042398649</v>
      </c>
      <c r="CB83" s="20">
        <f t="shared" si="64"/>
        <v>453.83589944051045</v>
      </c>
      <c r="CC83" s="59">
        <f t="shared" si="65"/>
        <v>747.16923277384376</v>
      </c>
      <c r="CD83" s="59">
        <f ca="1">AVERAGE(OFFSET($CC$3,0,0,'Données projet'!$E$12+1,1))-AVERAGE(OFFSET($H$3,0,0,'Données projet'!$E$12+1,1))</f>
        <v>211.44496956344943</v>
      </c>
      <c r="CE83" s="59">
        <f t="shared" si="94"/>
        <v>98.543169293276662</v>
      </c>
      <c r="CF83" s="15">
        <f>IF(ISNA(VLOOKUP(A83,'Données projet'!$A$113:$I$133,3,0)),0,VLOOKUP(A83,'Données projet'!$A$113:$I$133,3,0))</f>
        <v>6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0.36549999999999999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28.602400340686003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28.602400340686003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6">
        <f t="shared" si="56"/>
        <v>417.24963654057308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5.6843418860808015E-14</v>
      </c>
      <c r="O84" s="13">
        <f>N84*VLOOKUP('Données projet'!$B$9,Paramètres!$A$1:$I$89,3,0)*VLOOKUP('Données projet'!$B$9,Paramètres!$A$1:$I$89,5,0)</f>
        <v>3.2810021366458389E-14</v>
      </c>
      <c r="P84" s="13">
        <f t="shared" si="87"/>
        <v>5.6117125884464641E-13</v>
      </c>
      <c r="Q84" s="20">
        <f t="shared" si="54"/>
        <v>1.0345173963676741E-12</v>
      </c>
      <c r="R84" s="59">
        <f t="shared" si="55"/>
        <v>293.33333333333434</v>
      </c>
      <c r="S84" s="59">
        <f ca="1">AVERAGE(OFFSET($R$3,0,0,'Données projet'!$E$9+1,1))-AVERAGE(OFFSET($H$3,0,0,'Données projet'!$E$9+1,1))</f>
        <v>162.0530649500439</v>
      </c>
      <c r="T84" s="59">
        <f t="shared" si="88"/>
        <v>450.88267959505049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38.019018021031158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7.6344007820628506E-8</v>
      </c>
      <c r="AC84" s="22">
        <f t="shared" si="57"/>
        <v>38.019018097375167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298.5999999999998</v>
      </c>
      <c r="AJ84" s="13">
        <f>AI84*VLOOKUP('Données projet'!$B$10,Paramètres!$A$1:$I$89,3,0)*VLOOKUP('Données projet'!$B$10,Paramètres!$A$1:$I$89,5,0)</f>
        <v>251.54063999999983</v>
      </c>
      <c r="AK84" s="13">
        <f t="shared" si="89"/>
        <v>60.915727667172014</v>
      </c>
      <c r="AL84" s="20">
        <f t="shared" si="58"/>
        <v>544.19484035365758</v>
      </c>
      <c r="AM84" s="59">
        <f t="shared" si="59"/>
        <v>837.52817368699084</v>
      </c>
      <c r="AN84" s="59">
        <f ca="1">AVERAGE(OFFSET($AM$3,0,0,'Données projet'!$E$10+1,1))-AVERAGE(OFFSET($H$3,0,0,'Données projet'!$E$10+1,1))</f>
        <v>328.34986205643321</v>
      </c>
      <c r="AO84" s="59">
        <f t="shared" si="90"/>
        <v>251.60894449147008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56.90814252153497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56.90814252153497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4.3</v>
      </c>
      <c r="BD84" s="12">
        <f>IF('Données projet'!$A$88&gt;35,BD83+BC84-BL83,IF(A84&lt;'Données projet'!$A$88,$BA$205^A84,IF(A84='Données projet'!$A$88,'Données projet'!$B$88,BD83+BC84-BL83)))</f>
        <v>182.2999999999997</v>
      </c>
      <c r="BE84" s="13">
        <f>BD84*VLOOKUP('Données projet'!$B$11,Paramètres!$A$1:$I$89,3,0)*VLOOKUP('Données projet'!$B$11,Paramètres!$A$1:$I$89,5,0)</f>
        <v>207.60323999999966</v>
      </c>
      <c r="BF84" s="13">
        <f t="shared" si="91"/>
        <v>51.411483950264589</v>
      </c>
      <c r="BG84" s="20">
        <f t="shared" si="61"/>
        <v>451.11731088004348</v>
      </c>
      <c r="BH84" s="59">
        <f t="shared" si="62"/>
        <v>744.45064421337679</v>
      </c>
      <c r="BI84" s="59">
        <f ca="1">AVERAGE(OFFSET($BH$3,0,0,'Données projet'!$E$11+1,1))-AVERAGE(OFFSET($H$3,0,0,'Données projet'!$E$11+1,1))</f>
        <v>250.68173853329841</v>
      </c>
      <c r="BJ84" s="59">
        <f t="shared" si="92"/>
        <v>113.25940301904359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31.492789296146334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31.492789296146334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4.3</v>
      </c>
      <c r="BY84" s="12">
        <f>IF('Données projet'!$A$114&gt;35,BY83+BX84-CG83,IF(A84&lt;'Données projet'!$A$114,$BV$205^A84,IF(A84='Données projet'!$A$114,'Données projet'!$B$114,BY83+BX84-CG83)))</f>
        <v>182.2999999999997</v>
      </c>
      <c r="BZ84" s="13">
        <f>BY84*VLOOKUP('Données projet'!$B$12,Paramètres!$A$1:$I$89,3,0)*VLOOKUP('Données projet'!$B$12,Paramètres!$A$1:$I$89,5,0)</f>
        <v>184.8521999999997</v>
      </c>
      <c r="CA84" s="13">
        <f t="shared" si="93"/>
        <v>46.400034378312725</v>
      </c>
      <c r="CB84" s="20">
        <f t="shared" si="64"/>
        <v>402.76430820889414</v>
      </c>
      <c r="CC84" s="59">
        <f t="shared" si="65"/>
        <v>696.09764154222739</v>
      </c>
      <c r="CD84" s="59">
        <f ca="1">AVERAGE(OFFSET($CC$3,0,0,'Données projet'!$E$12+1,1))-AVERAGE(OFFSET($H$3,0,0,'Données projet'!$E$12+1,1))</f>
        <v>211.44496956344943</v>
      </c>
      <c r="CE84" s="59">
        <f t="shared" si="94"/>
        <v>98.543169293276662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28.041524715746736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28.041524715746736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6">
        <f t="shared" si="56"/>
        <v>419.18137201715149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5.6843418860808015E-14</v>
      </c>
      <c r="O85" s="13">
        <f>N85*VLOOKUP('Données projet'!$B$9,Paramètres!$A$1:$I$89,3,0)*VLOOKUP('Données projet'!$B$9,Paramètres!$A$1:$I$89,5,0)</f>
        <v>3.2810021366458389E-14</v>
      </c>
      <c r="P85" s="13">
        <f t="shared" si="87"/>
        <v>5.6117125884464641E-13</v>
      </c>
      <c r="Q85" s="20">
        <f t="shared" si="54"/>
        <v>1.0345173963676741E-12</v>
      </c>
      <c r="R85" s="59">
        <f t="shared" si="55"/>
        <v>293.33333333333434</v>
      </c>
      <c r="S85" s="59">
        <f ca="1">AVERAGE(OFFSET($R$3,0,0,'Données projet'!$E$9+1,1))-AVERAGE(OFFSET($H$3,0,0,'Données projet'!$E$9+1,1))</f>
        <v>162.0530649500439</v>
      </c>
      <c r="T85" s="59">
        <f t="shared" si="88"/>
        <v>450.88267959505049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37.273488266949975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5.3983365632925235E-8</v>
      </c>
      <c r="AC85" s="22">
        <f t="shared" si="57"/>
        <v>37.273488320933339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305.19999999999982</v>
      </c>
      <c r="AJ85" s="13">
        <f>AI85*VLOOKUP('Données projet'!$B$10,Paramètres!$A$1:$I$89,3,0)*VLOOKUP('Données projet'!$B$10,Paramètres!$A$1:$I$89,5,0)</f>
        <v>257.10047999999989</v>
      </c>
      <c r="AK85" s="13">
        <f t="shared" si="89"/>
        <v>62.103914639805609</v>
      </c>
      <c r="AL85" s="20">
        <f t="shared" si="58"/>
        <v>555.94765399766129</v>
      </c>
      <c r="AM85" s="59">
        <f t="shared" si="59"/>
        <v>849.28098733099455</v>
      </c>
      <c r="AN85" s="59">
        <f ca="1">AVERAGE(OFFSET($AM$3,0,0,'Données projet'!$E$10+1,1))-AVERAGE(OFFSET($H$3,0,0,'Données projet'!$E$10+1,1))</f>
        <v>328.34986205643321</v>
      </c>
      <c r="AO85" s="59">
        <f t="shared" si="90"/>
        <v>251.60894449147008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55.792208557227227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55.792208557227227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4.3</v>
      </c>
      <c r="BD85" s="12">
        <f>IF('Données projet'!$A$88&gt;35,BD84+BC85-BL84,IF(A85&lt;'Données projet'!$A$88,$BA$205^A85,IF(A85='Données projet'!$A$88,'Données projet'!$B$88,BD84+BC85-BL84)))</f>
        <v>186.59999999999971</v>
      </c>
      <c r="BE85" s="13">
        <f>BD85*VLOOKUP('Données projet'!$B$11,Paramètres!$A$1:$I$89,3,0)*VLOOKUP('Données projet'!$B$11,Paramètres!$A$1:$I$89,5,0)</f>
        <v>212.50007999999968</v>
      </c>
      <c r="BF85" s="13">
        <f t="shared" si="91"/>
        <v>52.481539204941832</v>
      </c>
      <c r="BG85" s="20">
        <f t="shared" si="61"/>
        <v>461.50965344860646</v>
      </c>
      <c r="BH85" s="59">
        <f t="shared" si="62"/>
        <v>754.84298678193977</v>
      </c>
      <c r="BI85" s="59">
        <f ca="1">AVERAGE(OFFSET($BH$3,0,0,'Données projet'!$E$11+1,1))-AVERAGE(OFFSET($H$3,0,0,'Données projet'!$E$11+1,1))</f>
        <v>250.68173853329841</v>
      </c>
      <c r="BJ85" s="59">
        <f t="shared" si="92"/>
        <v>113.25940301904359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30.875234906753672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30.875234906753672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4.3</v>
      </c>
      <c r="BY85" s="12">
        <f>IF('Données projet'!$A$114&gt;35,BY84+BX85-CG84,IF(A85&lt;'Données projet'!$A$114,$BV$205^A85,IF(A85='Données projet'!$A$114,'Données projet'!$B$114,BY84+BX85-CG84)))</f>
        <v>186.59999999999971</v>
      </c>
      <c r="BZ85" s="13">
        <f>BY85*VLOOKUP('Données projet'!$B$12,Paramètres!$A$1:$I$89,3,0)*VLOOKUP('Données projet'!$B$12,Paramètres!$A$1:$I$89,5,0)</f>
        <v>189.21239999999972</v>
      </c>
      <c r="CA85" s="13">
        <f t="shared" si="93"/>
        <v>47.36578359986315</v>
      </c>
      <c r="CB85" s="20">
        <f t="shared" si="64"/>
        <v>412.04033643642782</v>
      </c>
      <c r="CC85" s="59">
        <f t="shared" si="65"/>
        <v>705.37366976976114</v>
      </c>
      <c r="CD85" s="59">
        <f ca="1">AVERAGE(OFFSET($CC$3,0,0,'Données projet'!$E$12+1,1))-AVERAGE(OFFSET($H$3,0,0,'Données projet'!$E$12+1,1))</f>
        <v>211.44496956344943</v>
      </c>
      <c r="CE85" s="59">
        <f t="shared" si="94"/>
        <v>98.543169293276662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27.491647519712174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27.491647519712174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6">
        <f t="shared" si="56"/>
        <v>421.1125641275006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5.6843418860808015E-14</v>
      </c>
      <c r="O86" s="13">
        <f>N86*VLOOKUP('Données projet'!$B$9,Paramètres!$A$1:$I$89,3,0)*VLOOKUP('Données projet'!$B$9,Paramètres!$A$1:$I$89,5,0)</f>
        <v>3.2810021366458389E-14</v>
      </c>
      <c r="P86" s="13">
        <f t="shared" si="87"/>
        <v>5.6117125884464641E-13</v>
      </c>
      <c r="Q86" s="20">
        <f t="shared" si="54"/>
        <v>1.0345173963676741E-12</v>
      </c>
      <c r="R86" s="59">
        <f t="shared" si="55"/>
        <v>293.33333333333434</v>
      </c>
      <c r="S86" s="59">
        <f ca="1">AVERAGE(OFFSET($R$3,0,0,'Données projet'!$E$9+1,1))-AVERAGE(OFFSET($H$3,0,0,'Données projet'!$E$9+1,1))</f>
        <v>162.0530649500439</v>
      </c>
      <c r="T86" s="59">
        <f t="shared" si="88"/>
        <v>450.88267959505049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36.542577896618077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3.8172003910314253E-8</v>
      </c>
      <c r="AC86" s="22">
        <f t="shared" si="57"/>
        <v>36.542577934790081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311.79999999999984</v>
      </c>
      <c r="AJ86" s="13">
        <f>AI86*VLOOKUP('Données projet'!$B$10,Paramètres!$A$1:$I$89,3,0)*VLOOKUP('Données projet'!$B$10,Paramètres!$A$1:$I$89,5,0)</f>
        <v>262.6603199999999</v>
      </c>
      <c r="AK86" s="13">
        <f t="shared" si="89"/>
        <v>63.289114259938842</v>
      </c>
      <c r="AL86" s="20">
        <f t="shared" si="58"/>
        <v>567.69526466939328</v>
      </c>
      <c r="AM86" s="59">
        <f t="shared" si="59"/>
        <v>861.02859800272654</v>
      </c>
      <c r="AN86" s="59">
        <f ca="1">AVERAGE(OFFSET($AM$3,0,0,'Données projet'!$E$10+1,1))-AVERAGE(OFFSET($H$3,0,0,'Données projet'!$E$10+1,1))</f>
        <v>328.34986205643321</v>
      </c>
      <c r="AO86" s="59">
        <f t="shared" si="90"/>
        <v>251.60894449147008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54.698157377307048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54.698157377307048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4.3</v>
      </c>
      <c r="BD86" s="12">
        <f>IF('Données projet'!$A$88&gt;35,BD85+BC86-BL85,IF(A86&lt;'Données projet'!$A$88,$BA$205^A86,IF(A86='Données projet'!$A$88,'Données projet'!$B$88,BD85+BC86-BL85)))</f>
        <v>190.89999999999972</v>
      </c>
      <c r="BE86" s="13">
        <f>BD86*VLOOKUP('Données projet'!$B$11,Paramètres!$A$1:$I$89,3,0)*VLOOKUP('Données projet'!$B$11,Paramètres!$A$1:$I$89,5,0)</f>
        <v>217.39691999999971</v>
      </c>
      <c r="BF86" s="13">
        <f t="shared" si="91"/>
        <v>53.54872781207326</v>
      </c>
      <c r="BG86" s="20">
        <f t="shared" si="61"/>
        <v>471.89700327269384</v>
      </c>
      <c r="BH86" s="59">
        <f t="shared" si="62"/>
        <v>765.23033660602709</v>
      </c>
      <c r="BI86" s="59">
        <f ca="1">AVERAGE(OFFSET($BH$3,0,0,'Données projet'!$E$11+1,1))-AVERAGE(OFFSET($H$3,0,0,'Données projet'!$E$11+1,1))</f>
        <v>250.68173853329841</v>
      </c>
      <c r="BJ86" s="59">
        <f t="shared" si="92"/>
        <v>113.25940301904359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30.269790382266017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30.269790382266017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4.3</v>
      </c>
      <c r="BY86" s="12">
        <f>IF('Données projet'!$A$114&gt;35,BY85+BX86-CG85,IF(A86&lt;'Données projet'!$A$114,$BV$205^A86,IF(A86='Données projet'!$A$114,'Données projet'!$B$114,BY85+BX86-CG85)))</f>
        <v>190.89999999999972</v>
      </c>
      <c r="BZ86" s="13">
        <f>BY86*VLOOKUP('Données projet'!$B$12,Paramètres!$A$1:$I$89,3,0)*VLOOKUP('Données projet'!$B$12,Paramètres!$A$1:$I$89,5,0)</f>
        <v>193.57259999999974</v>
      </c>
      <c r="CA86" s="13">
        <f t="shared" si="93"/>
        <v>48.32894560675922</v>
      </c>
      <c r="CB86" s="20">
        <f t="shared" si="64"/>
        <v>421.3118585984385</v>
      </c>
      <c r="CC86" s="59">
        <f t="shared" si="65"/>
        <v>714.64519193177182</v>
      </c>
      <c r="CD86" s="59">
        <f ca="1">AVERAGE(OFFSET($CC$3,0,0,'Données projet'!$E$12+1,1))-AVERAGE(OFFSET($H$3,0,0,'Données projet'!$E$12+1,1))</f>
        <v>211.44496956344943</v>
      </c>
      <c r="CE86" s="59">
        <f t="shared" si="94"/>
        <v>98.543169293276662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26.952553080099879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26.952553080099879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6">
        <f t="shared" si="56"/>
        <v>423.0432201754565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5.6843418860808015E-14</v>
      </c>
      <c r="O87" s="13">
        <f>N87*VLOOKUP('Données projet'!$B$9,Paramètres!$A$1:$I$89,3,0)*VLOOKUP('Données projet'!$B$9,Paramètres!$A$1:$I$89,5,0)</f>
        <v>3.2810021366458389E-14</v>
      </c>
      <c r="P87" s="13">
        <f t="shared" si="87"/>
        <v>5.6117125884464641E-13</v>
      </c>
      <c r="Q87" s="20">
        <f t="shared" si="54"/>
        <v>1.0345173963676741E-12</v>
      </c>
      <c r="R87" s="59">
        <f t="shared" si="55"/>
        <v>293.33333333333434</v>
      </c>
      <c r="S87" s="59">
        <f ca="1">AVERAGE(OFFSET($R$3,0,0,'Données projet'!$E$9+1,1))-AVERAGE(OFFSET($H$3,0,0,'Données projet'!$E$9+1,1))</f>
        <v>162.0530649500439</v>
      </c>
      <c r="T87" s="59">
        <f t="shared" si="88"/>
        <v>450.88267959505049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35.826000232837082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2.6991682816462617E-8</v>
      </c>
      <c r="AC87" s="22">
        <f t="shared" si="57"/>
        <v>35.826000259828767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318.39999999999986</v>
      </c>
      <c r="AJ87" s="13">
        <f>AI87*VLOOKUP('Données projet'!$B$10,Paramètres!$A$1:$I$89,3,0)*VLOOKUP('Données projet'!$B$10,Paramètres!$A$1:$I$89,5,0)</f>
        <v>268.22015999999991</v>
      </c>
      <c r="AK87" s="13">
        <f t="shared" si="89"/>
        <v>64.471397046337671</v>
      </c>
      <c r="AL87" s="20">
        <f t="shared" si="58"/>
        <v>579.43779518903796</v>
      </c>
      <c r="AM87" s="59">
        <f t="shared" si="59"/>
        <v>872.77112852237133</v>
      </c>
      <c r="AN87" s="59">
        <f ca="1">AVERAGE(OFFSET($AM$3,0,0,'Données projet'!$E$10+1,1))-AVERAGE(OFFSET($H$3,0,0,'Données projet'!$E$10+1,1))</f>
        <v>328.34986205643321</v>
      </c>
      <c r="AO87" s="59">
        <f t="shared" si="90"/>
        <v>251.60894449147008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53.625559873719773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53.625559873719773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4.3</v>
      </c>
      <c r="BD87" s="12">
        <f>IF('Données projet'!$A$88&gt;35,BD86+BC87-BL86,IF(A87&lt;'Données projet'!$A$88,$BA$205^A87,IF(A87='Données projet'!$A$88,'Données projet'!$B$88,BD86+BC87-BL86)))</f>
        <v>195.19999999999973</v>
      </c>
      <c r="BE87" s="13">
        <f>BD87*VLOOKUP('Données projet'!$B$11,Paramètres!$A$1:$I$89,3,0)*VLOOKUP('Données projet'!$B$11,Paramètres!$A$1:$I$89,5,0)</f>
        <v>222.29375999999971</v>
      </c>
      <c r="BF87" s="13">
        <f t="shared" si="91"/>
        <v>54.613121776493109</v>
      </c>
      <c r="BG87" s="20">
        <f t="shared" si="61"/>
        <v>482.27948576072487</v>
      </c>
      <c r="BH87" s="59">
        <f t="shared" si="62"/>
        <v>775.61281909405818</v>
      </c>
      <c r="BI87" s="59">
        <f ca="1">AVERAGE(OFFSET($BH$3,0,0,'Données projet'!$E$11+1,1))-AVERAGE(OFFSET($H$3,0,0,'Données projet'!$E$11+1,1))</f>
        <v>250.68173853329841</v>
      </c>
      <c r="BJ87" s="59">
        <f t="shared" si="92"/>
        <v>113.25940301904359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29.676218255618867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29.676218255618867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4.3</v>
      </c>
      <c r="BY87" s="12">
        <f>IF('Données projet'!$A$114&gt;35,BY86+BX87-CG86,IF(A87&lt;'Données projet'!$A$114,$BV$205^A87,IF(A87='Données projet'!$A$114,'Données projet'!$B$114,BY86+BX87-CG86)))</f>
        <v>195.19999999999973</v>
      </c>
      <c r="BZ87" s="13">
        <f>BY87*VLOOKUP('Données projet'!$B$12,Paramètres!$A$1:$I$89,3,0)*VLOOKUP('Données projet'!$B$12,Paramètres!$A$1:$I$89,5,0)</f>
        <v>197.93279999999973</v>
      </c>
      <c r="CA87" s="13">
        <f t="shared" si="93"/>
        <v>49.289585385002646</v>
      </c>
      <c r="CB87" s="20">
        <f t="shared" si="64"/>
        <v>430.5789878788791</v>
      </c>
      <c r="CC87" s="59">
        <f t="shared" si="65"/>
        <v>723.91232121221242</v>
      </c>
      <c r="CD87" s="59">
        <f ca="1">AVERAGE(OFFSET($CC$3,0,0,'Données projet'!$E$12+1,1))-AVERAGE(OFFSET($H$3,0,0,'Données projet'!$E$12+1,1))</f>
        <v>211.44496956344943</v>
      </c>
      <c r="CE87" s="59">
        <f t="shared" si="94"/>
        <v>98.543169293276662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26.424029953633241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26.424029953633241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6">
        <f t="shared" si="56"/>
        <v>424.97334728094779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5.6843418860808015E-14</v>
      </c>
      <c r="O88" s="13">
        <f>N88*VLOOKUP('Données projet'!$B$9,Paramètres!$A$1:$I$89,3,0)*VLOOKUP('Données projet'!$B$9,Paramètres!$A$1:$I$89,5,0)</f>
        <v>3.2810021366458389E-14</v>
      </c>
      <c r="P88" s="13">
        <f t="shared" si="87"/>
        <v>5.6117125884464641E-13</v>
      </c>
      <c r="Q88" s="20">
        <f t="shared" si="54"/>
        <v>1.0345173963676741E-12</v>
      </c>
      <c r="R88" s="59">
        <f t="shared" si="55"/>
        <v>293.33333333333434</v>
      </c>
      <c r="S88" s="59">
        <f ca="1">AVERAGE(OFFSET($R$3,0,0,'Données projet'!$E$9+1,1))-AVERAGE(OFFSET($H$3,0,0,'Données projet'!$E$9+1,1))</f>
        <v>162.0530649500439</v>
      </c>
      <c r="T88" s="59">
        <f t="shared" si="88"/>
        <v>450.88267959505049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35.123474219973609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1.9086001955157126E-8</v>
      </c>
      <c r="AC88" s="22">
        <f t="shared" si="57"/>
        <v>35.123474239059611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324.99999999999989</v>
      </c>
      <c r="AJ88" s="13">
        <f>AI88*VLOOKUP('Données projet'!$B$10,Paramètres!$A$1:$I$89,3,0)*VLOOKUP('Données projet'!$B$10,Paramètres!$A$1:$I$89,5,0)</f>
        <v>273.77999999999992</v>
      </c>
      <c r="AK88" s="13">
        <f t="shared" si="89"/>
        <v>65.650830427167435</v>
      </c>
      <c r="AL88" s="20">
        <f t="shared" si="58"/>
        <v>591.17536299398307</v>
      </c>
      <c r="AM88" s="59">
        <f t="shared" si="59"/>
        <v>884.50869632731633</v>
      </c>
      <c r="AN88" s="59">
        <f ca="1">AVERAGE(OFFSET($AM$3,0,0,'Données projet'!$E$10+1,1))-AVERAGE(OFFSET($H$3,0,0,'Données projet'!$E$10+1,1))</f>
        <v>328.34986205643321</v>
      </c>
      <c r="AO88" s="59">
        <f t="shared" si="90"/>
        <v>251.60894449147008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52.573995352957972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52.573995352957972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4.3</v>
      </c>
      <c r="BD88" s="12">
        <f>IF('Données projet'!$A$88&gt;35,BD87+BC88-BL87,IF(A88&lt;'Données projet'!$A$88,$BA$205^A88,IF(A88='Données projet'!$A$88,'Données projet'!$B$88,BD87+BC88-BL87)))</f>
        <v>199.49999999999974</v>
      </c>
      <c r="BE88" s="13">
        <f>BD88*VLOOKUP('Données projet'!$B$11,Paramètres!$A$1:$I$89,3,0)*VLOOKUP('Données projet'!$B$11,Paramètres!$A$1:$I$89,5,0)</f>
        <v>227.19059999999973</v>
      </c>
      <c r="BF88" s="13">
        <f t="shared" si="91"/>
        <v>55.674789749546228</v>
      </c>
      <c r="BG88" s="20">
        <f t="shared" si="61"/>
        <v>492.65722048045922</v>
      </c>
      <c r="BH88" s="59">
        <f t="shared" si="62"/>
        <v>785.99055381379253</v>
      </c>
      <c r="BI88" s="59">
        <f ca="1">AVERAGE(OFFSET($BH$3,0,0,'Données projet'!$E$11+1,1))-AVERAGE(OFFSET($H$3,0,0,'Données projet'!$E$11+1,1))</f>
        <v>250.68173853329841</v>
      </c>
      <c r="BJ88" s="59">
        <f t="shared" si="92"/>
        <v>113.25940301904359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29.094285716332021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29.094285716332021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4.3</v>
      </c>
      <c r="BY88" s="12">
        <f>IF('Données projet'!$A$114&gt;35,BY87+BX88-CG87,IF(A88&lt;'Données projet'!$A$114,$BV$205^A88,IF(A88='Données projet'!$A$114,'Données projet'!$B$114,BY87+BX88-CG87)))</f>
        <v>199.49999999999974</v>
      </c>
      <c r="BZ88" s="13">
        <f>BY88*VLOOKUP('Données projet'!$B$12,Paramètres!$A$1:$I$89,3,0)*VLOOKUP('Données projet'!$B$12,Paramètres!$A$1:$I$89,5,0)</f>
        <v>202.29299999999975</v>
      </c>
      <c r="CA88" s="13">
        <f t="shared" si="93"/>
        <v>50.247764893994756</v>
      </c>
      <c r="CB88" s="20">
        <f t="shared" si="64"/>
        <v>439.84183219037368</v>
      </c>
      <c r="CC88" s="59">
        <f t="shared" si="65"/>
        <v>733.17516552370694</v>
      </c>
      <c r="CD88" s="59">
        <f ca="1">AVERAGE(OFFSET($CC$3,0,0,'Données projet'!$E$12+1,1))-AVERAGE(OFFSET($H$3,0,0,'Données projet'!$E$12+1,1))</f>
        <v>211.44496956344943</v>
      </c>
      <c r="CE88" s="59">
        <f t="shared" si="94"/>
        <v>98.543169293276662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25.905870843309337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25.905870843309337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6">
        <f t="shared" si="56"/>
        <v>426.9029523867344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5.6843418860808015E-14</v>
      </c>
      <c r="O89" s="13">
        <f>N89*VLOOKUP('Données projet'!$B$9,Paramètres!$A$1:$I$89,3,0)*VLOOKUP('Données projet'!$B$9,Paramètres!$A$1:$I$89,5,0)</f>
        <v>3.2810021366458389E-14</v>
      </c>
      <c r="P89" s="13">
        <f t="shared" si="87"/>
        <v>5.6117125884464641E-13</v>
      </c>
      <c r="Q89" s="20">
        <f t="shared" si="54"/>
        <v>1.0345173963676741E-12</v>
      </c>
      <c r="R89" s="59">
        <f t="shared" si="55"/>
        <v>293.33333333333434</v>
      </c>
      <c r="S89" s="59">
        <f ca="1">AVERAGE(OFFSET($R$3,0,0,'Données projet'!$E$9+1,1))-AVERAGE(OFFSET($H$3,0,0,'Données projet'!$E$9+1,1))</f>
        <v>162.0530649500439</v>
      </c>
      <c r="T89" s="59">
        <f t="shared" si="88"/>
        <v>450.88267959505049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34.434724313723834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1.3495841408231309E-8</v>
      </c>
      <c r="AC89" s="22">
        <f t="shared" si="57"/>
        <v>34.434724327219676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331.59999999999991</v>
      </c>
      <c r="AJ89" s="13">
        <f>AI89*VLOOKUP('Données projet'!$B$10,Paramètres!$A$1:$I$89,3,0)*VLOOKUP('Données projet'!$B$10,Paramètres!$A$1:$I$89,5,0)</f>
        <v>279.33983999999998</v>
      </c>
      <c r="AK89" s="13">
        <f t="shared" si="89"/>
        <v>66.827478935410426</v>
      </c>
      <c r="AL89" s="20">
        <f t="shared" si="58"/>
        <v>602.90808047917312</v>
      </c>
      <c r="AM89" s="59">
        <f t="shared" si="59"/>
        <v>896.24141381250638</v>
      </c>
      <c r="AN89" s="59">
        <f ca="1">AVERAGE(OFFSET($AM$3,0,0,'Données projet'!$E$10+1,1))-AVERAGE(OFFSET($H$3,0,0,'Données projet'!$E$10+1,1))</f>
        <v>328.34986205643321</v>
      </c>
      <c r="AO89" s="59">
        <f t="shared" si="90"/>
        <v>251.60894449147008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51.543051371057281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51.543051371057281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4.3</v>
      </c>
      <c r="BD89" s="12">
        <f>IF('Données projet'!$A$88&gt;35,BD88+BC89-BL88,IF(A89&lt;'Données projet'!$A$88,$BA$205^A89,IF(A89='Données projet'!$A$88,'Données projet'!$B$88,BD88+BC89-BL88)))</f>
        <v>203.79999999999976</v>
      </c>
      <c r="BE89" s="13">
        <f>BD89*VLOOKUP('Données projet'!$B$11,Paramètres!$A$1:$I$89,3,0)*VLOOKUP('Données projet'!$B$11,Paramètres!$A$1:$I$89,5,0)</f>
        <v>232.08743999999973</v>
      </c>
      <c r="BF89" s="13">
        <f t="shared" si="91"/>
        <v>56.733797254131083</v>
      </c>
      <c r="BG89" s="20">
        <f t="shared" si="61"/>
        <v>503.03032155094456</v>
      </c>
      <c r="BH89" s="59">
        <f t="shared" si="62"/>
        <v>796.36365488427782</v>
      </c>
      <c r="BI89" s="59">
        <f ca="1">AVERAGE(OFFSET($BH$3,0,0,'Données projet'!$E$11+1,1))-AVERAGE(OFFSET($H$3,0,0,'Données projet'!$E$11+1,1))</f>
        <v>250.68173853329841</v>
      </c>
      <c r="BJ89" s="59">
        <f t="shared" si="92"/>
        <v>113.25940301904359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28.523764519196789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28.523764519196789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4.3</v>
      </c>
      <c r="BY89" s="12">
        <f>IF('Données projet'!$A$114&gt;35,BY88+BX89-CG88,IF(A89&lt;'Données projet'!$A$114,$BV$205^A89,IF(A89='Données projet'!$A$114,'Données projet'!$B$114,BY88+BX89-CG88)))</f>
        <v>203.79999999999976</v>
      </c>
      <c r="BZ89" s="13">
        <f>BY89*VLOOKUP('Données projet'!$B$12,Paramètres!$A$1:$I$89,3,0)*VLOOKUP('Données projet'!$B$12,Paramètres!$A$1:$I$89,5,0)</f>
        <v>206.65319999999977</v>
      </c>
      <c r="CA89" s="13">
        <f t="shared" si="93"/>
        <v>51.203543269642587</v>
      </c>
      <c r="CB89" s="20">
        <f t="shared" si="64"/>
        <v>449.10049452796039</v>
      </c>
      <c r="CC89" s="59">
        <f t="shared" si="65"/>
        <v>742.43382786129371</v>
      </c>
      <c r="CD89" s="59">
        <f ca="1">AVERAGE(OFFSET($CC$3,0,0,'Données projet'!$E$12+1,1))-AVERAGE(OFFSET($H$3,0,0,'Données projet'!$E$12+1,1))</f>
        <v>211.44496956344943</v>
      </c>
      <c r="CE89" s="59">
        <f t="shared" si="94"/>
        <v>98.543169293276662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25.397872517093035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25.397872517093035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6">
        <f t="shared" si="56"/>
        <v>428.83204226482388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5.6843418860808015E-14</v>
      </c>
      <c r="O90" s="13">
        <f>N90*VLOOKUP('Données projet'!$B$9,Paramètres!$A$1:$I$89,3,0)*VLOOKUP('Données projet'!$B$9,Paramètres!$A$1:$I$89,5,0)</f>
        <v>3.2810021366458389E-14</v>
      </c>
      <c r="P90" s="13">
        <f t="shared" si="87"/>
        <v>5.6117125884464641E-13</v>
      </c>
      <c r="Q90" s="20">
        <f t="shared" si="54"/>
        <v>1.0345173963676741E-12</v>
      </c>
      <c r="R90" s="59">
        <f t="shared" si="55"/>
        <v>293.33333333333434</v>
      </c>
      <c r="S90" s="59">
        <f ca="1">AVERAGE(OFFSET($R$3,0,0,'Données projet'!$E$9+1,1))-AVERAGE(OFFSET($H$3,0,0,'Données projet'!$E$9+1,1))</f>
        <v>162.0530649500439</v>
      </c>
      <c r="T90" s="59">
        <f t="shared" si="88"/>
        <v>450.88267959505049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33.759480373039658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9.5430009775785632E-9</v>
      </c>
      <c r="AC90" s="22">
        <f t="shared" si="57"/>
        <v>33.759480382582659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338.19999999999993</v>
      </c>
      <c r="AJ90" s="13">
        <f>AI90*VLOOKUP('Données projet'!$B$10,Paramètres!$A$1:$I$89,3,0)*VLOOKUP('Données projet'!$B$10,Paramètres!$A$1:$I$89,5,0)</f>
        <v>284.89967999999999</v>
      </c>
      <c r="AK90" s="13">
        <f t="shared" si="89"/>
        <v>68.001404388285337</v>
      </c>
      <c r="AL90" s="20">
        <f t="shared" si="58"/>
        <v>614.63605530959683</v>
      </c>
      <c r="AM90" s="59">
        <f t="shared" si="59"/>
        <v>907.9693886429302</v>
      </c>
      <c r="AN90" s="59">
        <f ca="1">AVERAGE(OFFSET($AM$3,0,0,'Données projet'!$E$10+1,1))-AVERAGE(OFFSET($H$3,0,0,'Données projet'!$E$10+1,1))</f>
        <v>328.34986205643321</v>
      </c>
      <c r="AO90" s="59">
        <f t="shared" si="90"/>
        <v>251.60894449147008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50.532323571827924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50.532323571827924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4.3</v>
      </c>
      <c r="BD90" s="12">
        <f>IF('Données projet'!$A$88&gt;35,BD89+BC90-BL89,IF(A90&lt;'Données projet'!$A$88,$BA$205^A90,IF(A90='Données projet'!$A$88,'Données projet'!$B$88,BD89+BC90-BL89)))</f>
        <v>208.09999999999977</v>
      </c>
      <c r="BE90" s="13">
        <f>BD90*VLOOKUP('Données projet'!$B$11,Paramètres!$A$1:$I$89,3,0)*VLOOKUP('Données projet'!$B$11,Paramètres!$A$1:$I$89,5,0)</f>
        <v>236.98427999999976</v>
      </c>
      <c r="BF90" s="13">
        <f t="shared" si="91"/>
        <v>57.790206890214087</v>
      </c>
      <c r="BG90" s="20">
        <f t="shared" si="61"/>
        <v>513.39889800045569</v>
      </c>
      <c r="BH90" s="59">
        <f t="shared" si="62"/>
        <v>806.73223133378906</v>
      </c>
      <c r="BI90" s="59">
        <f ca="1">AVERAGE(OFFSET($BH$3,0,0,'Données projet'!$E$11+1,1))-AVERAGE(OFFSET($H$3,0,0,'Données projet'!$E$11+1,1))</f>
        <v>250.68173853329841</v>
      </c>
      <c r="BJ90" s="59">
        <f t="shared" si="92"/>
        <v>113.25940301904359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27.964430894753807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27.964430894753807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4.3</v>
      </c>
      <c r="BY90" s="12">
        <f>IF('Données projet'!$A$114&gt;35,BY89+BX90-CG89,IF(A90&lt;'Données projet'!$A$114,$BV$205^A90,IF(A90='Données projet'!$A$114,'Données projet'!$B$114,BY89+BX90-CG89)))</f>
        <v>208.09999999999977</v>
      </c>
      <c r="BZ90" s="13">
        <f>BY90*VLOOKUP('Données projet'!$B$12,Paramètres!$A$1:$I$89,3,0)*VLOOKUP('Données projet'!$B$12,Paramètres!$A$1:$I$89,5,0)</f>
        <v>211.01339999999976</v>
      </c>
      <c r="CA90" s="13">
        <f t="shared" si="93"/>
        <v>52.156977009840631</v>
      </c>
      <c r="CB90" s="20">
        <f t="shared" si="64"/>
        <v>458.35507329213868</v>
      </c>
      <c r="CC90" s="59">
        <f t="shared" si="65"/>
        <v>751.688406625472</v>
      </c>
      <c r="CD90" s="59">
        <f ca="1">AVERAGE(OFFSET($CC$3,0,0,'Données projet'!$E$12+1,1))-AVERAGE(OFFSET($H$3,0,0,'Données projet'!$E$12+1,1))</f>
        <v>211.44496956344943</v>
      </c>
      <c r="CE90" s="59">
        <f t="shared" si="94"/>
        <v>98.543169293276662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24.899835728205449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24.899835728205449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6">
        <f t="shared" si="56"/>
        <v>430.76062352258458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5.6843418860808015E-14</v>
      </c>
      <c r="O91" s="13">
        <f>N91*VLOOKUP('Données projet'!$B$9,Paramètres!$A$1:$I$89,3,0)*VLOOKUP('Données projet'!$B$9,Paramètres!$A$1:$I$89,5,0)</f>
        <v>3.2810021366458389E-14</v>
      </c>
      <c r="P91" s="13">
        <f t="shared" si="87"/>
        <v>5.6117125884464641E-13</v>
      </c>
      <c r="Q91" s="20">
        <f t="shared" si="54"/>
        <v>1.0345173963676741E-12</v>
      </c>
      <c r="R91" s="59">
        <f t="shared" si="55"/>
        <v>293.33333333333434</v>
      </c>
      <c r="S91" s="59">
        <f ca="1">AVERAGE(OFFSET($R$3,0,0,'Données projet'!$E$9+1,1))-AVERAGE(OFFSET($H$3,0,0,'Données projet'!$E$9+1,1))</f>
        <v>162.0530649500439</v>
      </c>
      <c r="T91" s="59">
        <f t="shared" si="88"/>
        <v>450.88267959505049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33.097477554174162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6.7479207041156543E-9</v>
      </c>
      <c r="AC91" s="22">
        <f t="shared" si="57"/>
        <v>33.09747756092208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344.79999999999995</v>
      </c>
      <c r="AJ91" s="13">
        <f>AI91*VLOOKUP('Données projet'!$B$10,Paramètres!$A$1:$I$89,3,0)*VLOOKUP('Données projet'!$B$10,Paramètres!$A$1:$I$89,5,0)</f>
        <v>290.45952</v>
      </c>
      <c r="AK91" s="13">
        <f t="shared" si="89"/>
        <v>69.172666052266209</v>
      </c>
      <c r="AL91" s="20">
        <f t="shared" si="58"/>
        <v>626.35939070769689</v>
      </c>
      <c r="AM91" s="59">
        <f t="shared" si="59"/>
        <v>919.69272404103026</v>
      </c>
      <c r="AN91" s="59">
        <f ca="1">AVERAGE(OFFSET($AM$3,0,0,'Données projet'!$E$10+1,1))-AVERAGE(OFFSET($H$3,0,0,'Données projet'!$E$10+1,1))</f>
        <v>328.34986205643321</v>
      </c>
      <c r="AO91" s="59">
        <f t="shared" si="90"/>
        <v>251.60894449147008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49.541415528258369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49.541415528258369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4.3</v>
      </c>
      <c r="BD91" s="12">
        <f>IF('Données projet'!$A$88&gt;35,BD90+BC91-BL90,IF(A91&lt;'Données projet'!$A$88,$BA$205^A91,IF(A91='Données projet'!$A$88,'Données projet'!$B$88,BD90+BC91-BL90)))</f>
        <v>212.39999999999978</v>
      </c>
      <c r="BE91" s="13">
        <f>BD91*VLOOKUP('Données projet'!$B$11,Paramètres!$A$1:$I$89,3,0)*VLOOKUP('Données projet'!$B$11,Paramètres!$A$1:$I$89,5,0)</f>
        <v>241.88111999999973</v>
      </c>
      <c r="BF91" s="13">
        <f t="shared" si="91"/>
        <v>58.84407852287837</v>
      </c>
      <c r="BG91" s="20">
        <f t="shared" si="61"/>
        <v>523.76305409401255</v>
      </c>
      <c r="BH91" s="59">
        <f t="shared" si="62"/>
        <v>817.09638742734592</v>
      </c>
      <c r="BI91" s="59">
        <f ca="1">AVERAGE(OFFSET($BH$3,0,0,'Données projet'!$E$11+1,1))-AVERAGE(OFFSET($H$3,0,0,'Données projet'!$E$11+1,1))</f>
        <v>250.68173853329841</v>
      </c>
      <c r="BJ91" s="59">
        <f t="shared" si="92"/>
        <v>113.25940301904359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27.41606546152633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27.41606546152633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4.3</v>
      </c>
      <c r="BY91" s="12">
        <f>IF('Données projet'!$A$114&gt;35,BY90+BX91-CG90,IF(A91&lt;'Données projet'!$A$114,$BV$205^A91,IF(A91='Données projet'!$A$114,'Données projet'!$B$114,BY90+BX91-CG90)))</f>
        <v>212.39999999999978</v>
      </c>
      <c r="BZ91" s="13">
        <f>BY91*VLOOKUP('Données projet'!$B$12,Paramètres!$A$1:$I$89,3,0)*VLOOKUP('Données projet'!$B$12,Paramètres!$A$1:$I$89,5,0)</f>
        <v>215.37359999999978</v>
      </c>
      <c r="CA91" s="13">
        <f t="shared" si="93"/>
        <v>53.108120144188867</v>
      </c>
      <c r="CB91" s="20">
        <f t="shared" si="64"/>
        <v>467.60566258446192</v>
      </c>
      <c r="CC91" s="59">
        <f t="shared" si="65"/>
        <v>760.93899591779518</v>
      </c>
      <c r="CD91" s="59">
        <f ca="1">AVERAGE(OFFSET($CC$3,0,0,'Données projet'!$E$12+1,1))-AVERAGE(OFFSET($H$3,0,0,'Données projet'!$E$12+1,1))</f>
        <v>211.44496956344943</v>
      </c>
      <c r="CE91" s="59">
        <f t="shared" si="94"/>
        <v>98.543169293276662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24.411565136975504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24.411565136975504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6">
        <f t="shared" si="56"/>
        <v>432.68870260857216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5.6843418860808015E-14</v>
      </c>
      <c r="O92" s="13">
        <f>N92*VLOOKUP('Données projet'!$B$9,Paramètres!$A$1:$I$89,3,0)*VLOOKUP('Données projet'!$B$9,Paramètres!$A$1:$I$89,5,0)</f>
        <v>3.2810021366458389E-14</v>
      </c>
      <c r="P92" s="13">
        <f t="shared" si="87"/>
        <v>5.6117125884464641E-13</v>
      </c>
      <c r="Q92" s="20">
        <f t="shared" si="54"/>
        <v>1.0345173963676741E-12</v>
      </c>
      <c r="R92" s="59">
        <f t="shared" si="55"/>
        <v>293.33333333333434</v>
      </c>
      <c r="S92" s="59">
        <f ca="1">AVERAGE(OFFSET($R$3,0,0,'Données projet'!$E$9+1,1))-AVERAGE(OFFSET($H$3,0,0,'Données projet'!$E$9+1,1))</f>
        <v>162.0530649500439</v>
      </c>
      <c r="T92" s="59">
        <f t="shared" si="88"/>
        <v>450.88267959505049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32.448456206804771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4.7715004887892816E-9</v>
      </c>
      <c r="AC92" s="22">
        <f t="shared" si="57"/>
        <v>32.448456211576271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</v>
      </c>
      <c r="AJ92" s="13">
        <f>AI92*VLOOKUP('Données projet'!$B$10,Paramètres!$A$1:$I$89,3,0)*VLOOKUP('Données projet'!$B$10,Paramètres!$A$1:$I$89,5,0)</f>
        <v>296.01936000000001</v>
      </c>
      <c r="AK92" s="13">
        <f t="shared" si="89"/>
        <v>70.341320795108345</v>
      </c>
      <c r="AL92" s="20">
        <f t="shared" si="58"/>
        <v>638.07818571814698</v>
      </c>
      <c r="AM92" s="59">
        <f t="shared" si="59"/>
        <v>931.41151905148035</v>
      </c>
      <c r="AN92" s="59">
        <f ca="1">AVERAGE(OFFSET($AM$3,0,0,'Données projet'!$E$10+1,1))-AVERAGE(OFFSET($H$3,0,0,'Données projet'!$E$10+1,1))</f>
        <v>328.34986205643321</v>
      </c>
      <c r="AO92" s="59">
        <f t="shared" si="90"/>
        <v>251.60894449147008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48.569938587028986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48.569938587028986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4.3</v>
      </c>
      <c r="BD92" s="12">
        <f>IF('Données projet'!$A$88&gt;35,BD91+BC92-BL91,IF(A92&lt;'Données projet'!$A$88,$BA$205^A92,IF(A92='Données projet'!$A$88,'Données projet'!$B$88,BD91+BC92-BL91)))</f>
        <v>216.69999999999979</v>
      </c>
      <c r="BE92" s="13">
        <f>BD92*VLOOKUP('Données projet'!$B$11,Paramètres!$A$1:$I$89,3,0)*VLOOKUP('Données projet'!$B$11,Paramètres!$A$1:$I$89,5,0)</f>
        <v>246.77795999999975</v>
      </c>
      <c r="BF92" s="13">
        <f t="shared" si="91"/>
        <v>59.895469454713869</v>
      </c>
      <c r="BG92" s="20">
        <f t="shared" si="61"/>
        <v>534.12288963362619</v>
      </c>
      <c r="BH92" s="59">
        <f t="shared" si="62"/>
        <v>827.45622296695956</v>
      </c>
      <c r="BI92" s="59">
        <f ca="1">AVERAGE(OFFSET($BH$3,0,0,'Données projet'!$E$11+1,1))-AVERAGE(OFFSET($H$3,0,0,'Données projet'!$E$11+1,1))</f>
        <v>250.68173853329841</v>
      </c>
      <c r="BJ92" s="59">
        <f t="shared" si="92"/>
        <v>113.25940301904359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26.878453139974553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26.878453139974553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4.3</v>
      </c>
      <c r="BY92" s="12">
        <f>IF('Données projet'!$A$114&gt;35,BY91+BX92-CG91,IF(A92&lt;'Données projet'!$A$114,$BV$205^A92,IF(A92='Données projet'!$A$114,'Données projet'!$B$114,BY91+BX92-CG91)))</f>
        <v>216.69999999999979</v>
      </c>
      <c r="BZ92" s="13">
        <f>BY92*VLOOKUP('Données projet'!$B$12,Paramètres!$A$1:$I$89,3,0)*VLOOKUP('Données projet'!$B$12,Paramètres!$A$1:$I$89,5,0)</f>
        <v>219.7337999999998</v>
      </c>
      <c r="CA92" s="13">
        <f t="shared" si="93"/>
        <v>54.057024389579063</v>
      </c>
      <c r="CB92" s="20">
        <f t="shared" si="64"/>
        <v>476.85235247851648</v>
      </c>
      <c r="CC92" s="59">
        <f t="shared" si="65"/>
        <v>770.18568581184979</v>
      </c>
      <c r="CD92" s="59">
        <f ca="1">AVERAGE(OFFSET($CC$3,0,0,'Données projet'!$E$12+1,1))-AVERAGE(OFFSET($H$3,0,0,'Données projet'!$E$12+1,1))</f>
        <v>211.44496956344943</v>
      </c>
      <c r="CE92" s="59">
        <f t="shared" si="94"/>
        <v>98.543169293276662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23.932869234223922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23.932869234223922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6">
        <f t="shared" si="56"/>
        <v>434.61628581808787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5.6843418860808015E-14</v>
      </c>
      <c r="O93" s="13">
        <f>N93*VLOOKUP('Données projet'!$B$9,Paramètres!$A$1:$I$89,3,0)*VLOOKUP('Données projet'!$B$9,Paramètres!$A$1:$I$89,5,0)</f>
        <v>3.2810021366458389E-14</v>
      </c>
      <c r="P93" s="13">
        <f t="shared" si="87"/>
        <v>5.6117125884464641E-13</v>
      </c>
      <c r="Q93" s="20">
        <f t="shared" si="54"/>
        <v>1.0345173963676741E-12</v>
      </c>
      <c r="R93" s="59">
        <f t="shared" si="55"/>
        <v>293.33333333333434</v>
      </c>
      <c r="S93" s="59">
        <f ca="1">AVERAGE(OFFSET($R$3,0,0,'Données projet'!$E$9+1,1))-AVERAGE(OFFSET($H$3,0,0,'Données projet'!$E$9+1,1))</f>
        <v>162.0530649500439</v>
      </c>
      <c r="T93" s="59">
        <f t="shared" si="88"/>
        <v>450.88267959505049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31.812161772193356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3.3739603520578272E-9</v>
      </c>
      <c r="AC93" s="22">
        <f t="shared" si="57"/>
        <v>31.812161775567315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</v>
      </c>
      <c r="AJ93" s="13">
        <f>AI93*VLOOKUP('Données projet'!$B$10,Paramètres!$A$1:$I$89,3,0)*VLOOKUP('Données projet'!$B$10,Paramètres!$A$1:$I$89,5,0)</f>
        <v>301.57920000000007</v>
      </c>
      <c r="AK93" s="13">
        <f t="shared" si="89"/>
        <v>71.507423226130925</v>
      </c>
      <c r="AL93" s="20">
        <f t="shared" si="58"/>
        <v>649.79253545217807</v>
      </c>
      <c r="AM93" s="59">
        <f t="shared" si="59"/>
        <v>943.12586878551133</v>
      </c>
      <c r="AN93" s="59">
        <f ca="1">AVERAGE(OFFSET($AM$3,0,0,'Données projet'!$E$10+1,1))-AVERAGE(OFFSET($H$3,0,0,'Données projet'!$E$10+1,1))</f>
        <v>328.34986205643321</v>
      </c>
      <c r="AO93" s="59">
        <f t="shared" si="90"/>
        <v>251.60894449147008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0.36549999999999999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66.678300850378122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66.678300850378122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221</v>
      </c>
      <c r="BB93" s="12">
        <f>VLOOKUP(A93,'Données projet'!$A$87:$I$107,9,0)</f>
        <v>4.3</v>
      </c>
      <c r="BC93" s="12">
        <f t="array" ref="BC93">INDEX(BB:BB,MIN(IF(ISNUMBER(BB93:BB289),ROW(BB93:BB289),"")))</f>
        <v>4.3</v>
      </c>
      <c r="BD93" s="12">
        <f>IF('Données projet'!$A$88&gt;35,BD92+BC93-BL92,IF(A93&lt;'Données projet'!$A$88,$BA$205^A93,IF(A93='Données projet'!$A$88,'Données projet'!$B$88,BD92+BC93-BL92)))</f>
        <v>220.9999999999998</v>
      </c>
      <c r="BE93" s="13">
        <f>BD93*VLOOKUP('Données projet'!$B$11,Paramètres!$A$1:$I$89,3,0)*VLOOKUP('Données projet'!$B$11,Paramètres!$A$1:$I$89,5,0)</f>
        <v>251.67479999999975</v>
      </c>
      <c r="BF93" s="13">
        <f t="shared" si="91"/>
        <v>60.944434584138392</v>
      </c>
      <c r="BG93" s="20">
        <f t="shared" si="61"/>
        <v>544.47850023404055</v>
      </c>
      <c r="BH93" s="59">
        <f t="shared" si="62"/>
        <v>837.81183356737392</v>
      </c>
      <c r="BI93" s="59">
        <f ca="1">AVERAGE(OFFSET($BH$3,0,0,'Données projet'!$E$11+1,1))-AVERAGE(OFFSET($H$3,0,0,'Données projet'!$E$11+1,1))</f>
        <v>250.68173853329841</v>
      </c>
      <c r="BJ93" s="59">
        <f t="shared" si="92"/>
        <v>113.25940301904359</v>
      </c>
      <c r="BK93" s="15">
        <f>IF(ISNA(VLOOKUP(A93,'Données projet'!$A$87:$I$107,3,0)),0,VLOOKUP(A93,'Données projet'!$A$87:$I$107,3,0))</f>
        <v>7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0.36549999999999999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39.235064612620143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39.235064612620143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221</v>
      </c>
      <c r="BW93" s="12">
        <f>VLOOKUP(A93,'Données projet'!$A$113:$I$133,9,0)</f>
        <v>4.3</v>
      </c>
      <c r="BX93" s="12">
        <f t="array" ref="BX93">INDEX(BW:BW,MIN(IF(ISNUMBER(BW93:BW289),ROW(BW93:BW289),"")))</f>
        <v>4.3</v>
      </c>
      <c r="BY93" s="12">
        <f>IF('Données projet'!$A$114&gt;35,BY92+BX93-CG92,IF(A93&lt;'Données projet'!$A$114,$BV$205^A93,IF(A93='Données projet'!$A$114,'Données projet'!$B$114,BY92+BX93-CG92)))</f>
        <v>220.9999999999998</v>
      </c>
      <c r="BZ93" s="13">
        <f>BY93*VLOOKUP('Données projet'!$B$12,Paramètres!$A$1:$I$89,3,0)*VLOOKUP('Données projet'!$B$12,Paramètres!$A$1:$I$89,5,0)</f>
        <v>224.0939999999998</v>
      </c>
      <c r="CA93" s="13">
        <f t="shared" si="93"/>
        <v>55.003739293082667</v>
      </c>
      <c r="CB93" s="20">
        <f t="shared" si="64"/>
        <v>486.09522926878526</v>
      </c>
      <c r="CC93" s="59">
        <f t="shared" si="65"/>
        <v>779.42856260211852</v>
      </c>
      <c r="CD93" s="59">
        <f ca="1">AVERAGE(OFFSET($CC$3,0,0,'Données projet'!$E$12+1,1))-AVERAGE(OFFSET($H$3,0,0,'Données projet'!$E$12+1,1))</f>
        <v>211.44496956344943</v>
      </c>
      <c r="CE93" s="59">
        <f t="shared" si="94"/>
        <v>98.543169293276662</v>
      </c>
      <c r="CF93" s="15">
        <f>IF(ISNA(VLOOKUP(A93,'Données projet'!$A$113:$I$133,3,0)),0,VLOOKUP(A93,'Données projet'!$A$113:$I$133,3,0))</f>
        <v>7</v>
      </c>
      <c r="CG93" s="15">
        <f>IF(ISNA(VLOOKUP(A93,'Données projet'!$A$113:$I$133,4,0)),0,VLOOKUP(A93,'Données projet'!$A$113:$I$133,4,0))</f>
        <v>28</v>
      </c>
      <c r="CH93" s="16">
        <f>IF(ISNA(VLOOKUP(A93,'Données projet'!$A$113:$I$133,5,0)),0%,VLOOKUP(A93,'Données projet'!$A$113:$I$133,5,0)*VLOOKUP('Données projet'!$B$12,Paramètres!$A$1:$I$89,7,0))</f>
        <v>0.36549999999999999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34.935331504387804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34.935331504387804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6">
        <f t="shared" si="56"/>
        <v>436.54337929848225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5.6843418860808015E-14</v>
      </c>
      <c r="O94" s="13">
        <f>N94*VLOOKUP('Données projet'!$B$9,Paramètres!$A$1:$I$89,3,0)*VLOOKUP('Données projet'!$B$9,Paramètres!$A$1:$I$89,5,0)</f>
        <v>3.2810021366458389E-14</v>
      </c>
      <c r="P94" s="13">
        <f t="shared" si="87"/>
        <v>5.6117125884464641E-13</v>
      </c>
      <c r="Q94" s="20">
        <f t="shared" si="54"/>
        <v>1.0345173963676741E-12</v>
      </c>
      <c r="R94" s="59">
        <f t="shared" si="55"/>
        <v>293.33333333333434</v>
      </c>
      <c r="S94" s="59">
        <f ca="1">AVERAGE(OFFSET($R$3,0,0,'Données projet'!$E$9+1,1))-AVERAGE(OFFSET($H$3,0,0,'Données projet'!$E$9+1,1))</f>
        <v>162.0530649500439</v>
      </c>
      <c r="T94" s="59">
        <f t="shared" si="88"/>
        <v>450.88267959505049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31.188344683343388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2.3857502443946408E-9</v>
      </c>
      <c r="AC94" s="22">
        <f t="shared" si="57"/>
        <v>31.188344685729138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307.89999999999998</v>
      </c>
      <c r="AJ94" s="13">
        <f>AI94*VLOOKUP('Données projet'!$B$10,Paramètres!$A$1:$I$89,3,0)*VLOOKUP('Données projet'!$B$10,Paramètres!$A$1:$I$89,5,0)</f>
        <v>259.37495999999999</v>
      </c>
      <c r="AK94" s="13">
        <f t="shared" si="89"/>
        <v>62.589126028863561</v>
      </c>
      <c r="AL94" s="20">
        <f t="shared" si="58"/>
        <v>560.7541165002707</v>
      </c>
      <c r="AM94" s="59">
        <f t="shared" si="59"/>
        <v>854.08744983360407</v>
      </c>
      <c r="AN94" s="59">
        <f ca="1">AVERAGE(OFFSET($AM$3,0,0,'Données projet'!$E$10+1,1))-AVERAGE(OFFSET($H$3,0,0,'Données projet'!$E$10+1,1))</f>
        <v>328.34986205643321</v>
      </c>
      <c r="AO94" s="59">
        <f t="shared" si="90"/>
        <v>251.60894449147008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65.370780040449915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65.370780040449915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3.7</v>
      </c>
      <c r="BD94" s="12">
        <f>IF('Données projet'!$A$88&gt;35,BD93+BC94-BL93,IF(A94&lt;'Données projet'!$A$88,$BA$205^A94,IF(A94='Données projet'!$A$88,'Données projet'!$B$88,BD93+BC94-BL93)))</f>
        <v>196.69999999999979</v>
      </c>
      <c r="BE94" s="13">
        <f>BD94*VLOOKUP('Données projet'!$B$11,Paramètres!$A$1:$I$89,3,0)*VLOOKUP('Données projet'!$B$11,Paramètres!$A$1:$I$89,5,0)</f>
        <v>224.00195999999974</v>
      </c>
      <c r="BF94" s="13">
        <f t="shared" si="91"/>
        <v>54.983777263895149</v>
      </c>
      <c r="BG94" s="20">
        <f t="shared" si="61"/>
        <v>485.9001590679502</v>
      </c>
      <c r="BH94" s="59">
        <f t="shared" si="62"/>
        <v>779.23349240128346</v>
      </c>
      <c r="BI94" s="59">
        <f ca="1">AVERAGE(OFFSET($BH$3,0,0,'Données projet'!$E$11+1,1))-AVERAGE(OFFSET($H$3,0,0,'Données projet'!$E$11+1,1))</f>
        <v>250.68173853329841</v>
      </c>
      <c r="BJ94" s="59">
        <f t="shared" si="92"/>
        <v>113.25940301904359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38.465688926593081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38.465688926593081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3.7</v>
      </c>
      <c r="BY94" s="12">
        <f>IF('Données projet'!$A$114&gt;35,BY93+BX94-CG93,IF(A94&lt;'Données projet'!$A$114,$BV$205^A94,IF(A94='Données projet'!$A$114,'Données projet'!$B$114,BY93+BX94-CG93)))</f>
        <v>196.69999999999979</v>
      </c>
      <c r="BZ94" s="13">
        <f>BY94*VLOOKUP('Données projet'!$B$12,Paramètres!$A$1:$I$89,3,0)*VLOOKUP('Données projet'!$B$12,Paramètres!$A$1:$I$89,5,0)</f>
        <v>199.4537999999998</v>
      </c>
      <c r="CA94" s="13">
        <f t="shared" si="93"/>
        <v>49.624110398414182</v>
      </c>
      <c r="CB94" s="20">
        <f t="shared" si="64"/>
        <v>433.81069394390437</v>
      </c>
      <c r="CC94" s="59">
        <f t="shared" si="65"/>
        <v>727.14402727723768</v>
      </c>
      <c r="CD94" s="59">
        <f ca="1">AVERAGE(OFFSET($CC$3,0,0,'Données projet'!$E$12+1,1))-AVERAGE(OFFSET($H$3,0,0,'Données projet'!$E$12+1,1))</f>
        <v>211.44496956344943</v>
      </c>
      <c r="CE94" s="59">
        <f t="shared" si="94"/>
        <v>98.543169293276662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34.250270962034939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34.250270962034939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6">
        <f t="shared" si="56"/>
        <v>438.46998905421867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5.6843418860808015E-14</v>
      </c>
      <c r="O95" s="13">
        <f>N95*VLOOKUP('Données projet'!$B$9,Paramètres!$A$1:$I$89,3,0)*VLOOKUP('Données projet'!$B$9,Paramètres!$A$1:$I$89,5,0)</f>
        <v>3.2810021366458389E-14</v>
      </c>
      <c r="P95" s="13">
        <f t="shared" si="87"/>
        <v>5.6117125884464641E-13</v>
      </c>
      <c r="Q95" s="20">
        <f t="shared" si="54"/>
        <v>1.0345173963676741E-12</v>
      </c>
      <c r="R95" s="59">
        <f t="shared" si="55"/>
        <v>293.33333333333434</v>
      </c>
      <c r="S95" s="59">
        <f ca="1">AVERAGE(OFFSET($R$3,0,0,'Données projet'!$E$9+1,1))-AVERAGE(OFFSET($H$3,0,0,'Données projet'!$E$9+1,1))</f>
        <v>162.0530649500439</v>
      </c>
      <c r="T95" s="59">
        <f t="shared" si="88"/>
        <v>450.88267959505049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30.576760267114913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1.6869801760289136E-9</v>
      </c>
      <c r="AC95" s="22">
        <f t="shared" si="57"/>
        <v>30.576760268801895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313.79999999999995</v>
      </c>
      <c r="AJ95" s="13">
        <f>AI95*VLOOKUP('Données projet'!$B$10,Paramètres!$A$1:$I$89,3,0)*VLOOKUP('Données projet'!$B$10,Paramètres!$A$1:$I$89,5,0)</f>
        <v>264.34512000000001</v>
      </c>
      <c r="AK95" s="13">
        <f t="shared" si="89"/>
        <v>63.647686641828493</v>
      </c>
      <c r="AL95" s="20">
        <f t="shared" si="58"/>
        <v>571.25413823451788</v>
      </c>
      <c r="AM95" s="59">
        <f t="shared" si="59"/>
        <v>864.58747156785125</v>
      </c>
      <c r="AN95" s="59">
        <f ca="1">AVERAGE(OFFSET($AM$3,0,0,'Données projet'!$E$10+1,1))-AVERAGE(OFFSET($H$3,0,0,'Données projet'!$E$10+1,1))</f>
        <v>328.34986205643321</v>
      </c>
      <c r="AO95" s="59">
        <f t="shared" si="90"/>
        <v>251.60894449147008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64.088898916095459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64.088898916095459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3.7</v>
      </c>
      <c r="BD95" s="12">
        <f>IF('Données projet'!$A$88&gt;35,BD94+BC95-BL94,IF(A95&lt;'Données projet'!$A$88,$BA$205^A95,IF(A95='Données projet'!$A$88,'Données projet'!$B$88,BD94+BC95-BL94)))</f>
        <v>200.39999999999978</v>
      </c>
      <c r="BE95" s="13">
        <f>BD95*VLOOKUP('Données projet'!$B$11,Paramètres!$A$1:$I$89,3,0)*VLOOKUP('Données projet'!$B$11,Paramètres!$A$1:$I$89,5,0)</f>
        <v>228.21551999999974</v>
      </c>
      <c r="BF95" s="13">
        <f t="shared" si="91"/>
        <v>55.896660499583724</v>
      </c>
      <c r="BG95" s="20">
        <f t="shared" si="61"/>
        <v>494.82871437010789</v>
      </c>
      <c r="BH95" s="59">
        <f t="shared" si="62"/>
        <v>788.1620477034412</v>
      </c>
      <c r="BI95" s="59">
        <f ca="1">AVERAGE(OFFSET($BH$3,0,0,'Données projet'!$E$11+1,1))-AVERAGE(OFFSET($H$3,0,0,'Données projet'!$E$11+1,1))</f>
        <v>250.68173853329841</v>
      </c>
      <c r="BJ95" s="59">
        <f t="shared" si="92"/>
        <v>113.25940301904359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37.711400228496181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37.711400228496181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3.7</v>
      </c>
      <c r="BY95" s="12">
        <f>IF('Données projet'!$A$114&gt;35,BY94+BX95-CG94,IF(A95&lt;'Données projet'!$A$114,$BV$205^A95,IF(A95='Données projet'!$A$114,'Données projet'!$B$114,BY94+BX95-CG94)))</f>
        <v>200.39999999999978</v>
      </c>
      <c r="BZ95" s="13">
        <f>BY95*VLOOKUP('Données projet'!$B$12,Paramètres!$A$1:$I$89,3,0)*VLOOKUP('Données projet'!$B$12,Paramètres!$A$1:$I$89,5,0)</f>
        <v>203.20559999999978</v>
      </c>
      <c r="CA95" s="13">
        <f t="shared" si="93"/>
        <v>50.448008295629329</v>
      </c>
      <c r="CB95" s="20">
        <f t="shared" si="64"/>
        <v>441.7800344482207</v>
      </c>
      <c r="CC95" s="59">
        <f t="shared" si="65"/>
        <v>735.11336778155396</v>
      </c>
      <c r="CD95" s="59">
        <f ca="1">AVERAGE(OFFSET($CC$3,0,0,'Données projet'!$E$12+1,1))-AVERAGE(OFFSET($H$3,0,0,'Données projet'!$E$12+1,1))</f>
        <v>211.44496956344943</v>
      </c>
      <c r="CE95" s="59">
        <f t="shared" si="94"/>
        <v>98.543169293276662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33.578644039071946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33.578644039071946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6">
        <f t="shared" si="56"/>
        <v>440.39612095171111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5.6843418860808015E-14</v>
      </c>
      <c r="O96" s="13">
        <f>N96*VLOOKUP('Données projet'!$B$9,Paramètres!$A$1:$I$89,3,0)*VLOOKUP('Données projet'!$B$9,Paramètres!$A$1:$I$89,5,0)</f>
        <v>3.2810021366458389E-14</v>
      </c>
      <c r="P96" s="13">
        <f t="shared" si="87"/>
        <v>5.6117125884464641E-13</v>
      </c>
      <c r="Q96" s="20">
        <f t="shared" si="54"/>
        <v>1.0345173963676741E-12</v>
      </c>
      <c r="R96" s="59">
        <f t="shared" si="55"/>
        <v>293.33333333333434</v>
      </c>
      <c r="S96" s="59">
        <f ca="1">AVERAGE(OFFSET($R$3,0,0,'Données projet'!$E$9+1,1))-AVERAGE(OFFSET($H$3,0,0,'Données projet'!$E$9+1,1))</f>
        <v>162.0530649500439</v>
      </c>
      <c r="T96" s="59">
        <f t="shared" si="88"/>
        <v>450.88267959505049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29.977168648259021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1.1928751221973204E-9</v>
      </c>
      <c r="AC96" s="22">
        <f t="shared" si="57"/>
        <v>29.977168649451894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319.69999999999993</v>
      </c>
      <c r="AJ96" s="13">
        <f>AI96*VLOOKUP('Données projet'!$B$10,Paramètres!$A$1:$I$89,3,0)*VLOOKUP('Données projet'!$B$10,Paramètres!$A$1:$I$89,5,0)</f>
        <v>269.31527999999997</v>
      </c>
      <c r="AK96" s="13">
        <f t="shared" si="89"/>
        <v>64.703932954620839</v>
      </c>
      <c r="AL96" s="20">
        <f t="shared" si="58"/>
        <v>581.75012922929784</v>
      </c>
      <c r="AM96" s="59">
        <f t="shared" si="59"/>
        <v>875.08346256263121</v>
      </c>
      <c r="AN96" s="59">
        <f ca="1">AVERAGE(OFFSET($AM$3,0,0,'Données projet'!$E$10+1,1))-AVERAGE(OFFSET($H$3,0,0,'Données projet'!$E$10+1,1))</f>
        <v>328.34986205643321</v>
      </c>
      <c r="AO96" s="59">
        <f t="shared" si="90"/>
        <v>251.60894449147008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62.832154698719314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62.832154698719314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3.7</v>
      </c>
      <c r="BD96" s="12">
        <f>IF('Données projet'!$A$88&gt;35,BD95+BC96-BL95,IF(A96&lt;'Données projet'!$A$88,$BA$205^A96,IF(A96='Données projet'!$A$88,'Données projet'!$B$88,BD95+BC96-BL95)))</f>
        <v>204.09999999999977</v>
      </c>
      <c r="BE96" s="13">
        <f>BD96*VLOOKUP('Données projet'!$B$11,Paramètres!$A$1:$I$89,3,0)*VLOOKUP('Données projet'!$B$11,Paramètres!$A$1:$I$89,5,0)</f>
        <v>232.42907999999974</v>
      </c>
      <c r="BF96" s="13">
        <f t="shared" si="91"/>
        <v>56.807583845186791</v>
      </c>
      <c r="BG96" s="20">
        <f t="shared" si="61"/>
        <v>503.75385619703314</v>
      </c>
      <c r="BH96" s="59">
        <f t="shared" si="62"/>
        <v>797.08718953036646</v>
      </c>
      <c r="BI96" s="59">
        <f ca="1">AVERAGE(OFFSET($BH$3,0,0,'Données projet'!$E$11+1,1))-AVERAGE(OFFSET($H$3,0,0,'Données projet'!$E$11+1,1))</f>
        <v>250.68173853329841</v>
      </c>
      <c r="BJ96" s="59">
        <f t="shared" si="92"/>
        <v>113.25940301904359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36.971902671698281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36.971902671698281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3.7</v>
      </c>
      <c r="BY96" s="12">
        <f>IF('Données projet'!$A$114&gt;35,BY95+BX96-CG95,IF(A96&lt;'Données projet'!$A$114,$BV$205^A96,IF(A96='Données projet'!$A$114,'Données projet'!$B$114,BY95+BX96-CG95)))</f>
        <v>204.09999999999977</v>
      </c>
      <c r="BZ96" s="13">
        <f>BY96*VLOOKUP('Données projet'!$B$12,Paramètres!$A$1:$I$89,3,0)*VLOOKUP('Données projet'!$B$12,Paramètres!$A$1:$I$89,5,0)</f>
        <v>206.95739999999978</v>
      </c>
      <c r="CA96" s="13">
        <f t="shared" si="93"/>
        <v>51.2701373474357</v>
      </c>
      <c r="CB96" s="20">
        <f t="shared" si="64"/>
        <v>449.74629421345008</v>
      </c>
      <c r="CC96" s="59">
        <f t="shared" si="65"/>
        <v>743.0796275467834</v>
      </c>
      <c r="CD96" s="59">
        <f ca="1">AVERAGE(OFFSET($CC$3,0,0,'Données projet'!$E$12+1,1))-AVERAGE(OFFSET($H$3,0,0,'Données projet'!$E$12+1,1))</f>
        <v>211.44496956344943</v>
      </c>
      <c r="CE96" s="59">
        <f t="shared" si="94"/>
        <v>98.543169293276662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32.920187310416281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32.920187310416281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6">
        <f t="shared" si="56"/>
        <v>442.32178072394748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5.6843418860808015E-14</v>
      </c>
      <c r="O97" s="13">
        <f>N97*VLOOKUP('Données projet'!$B$9,Paramètres!$A$1:$I$89,3,0)*VLOOKUP('Données projet'!$B$9,Paramètres!$A$1:$I$89,5,0)</f>
        <v>3.2810021366458389E-14</v>
      </c>
      <c r="P97" s="13">
        <f t="shared" si="87"/>
        <v>5.6117125884464641E-13</v>
      </c>
      <c r="Q97" s="20">
        <f t="shared" si="54"/>
        <v>1.0345173963676741E-12</v>
      </c>
      <c r="R97" s="59">
        <f t="shared" si="55"/>
        <v>293.33333333333434</v>
      </c>
      <c r="S97" s="59">
        <f ca="1">AVERAGE(OFFSET($R$3,0,0,'Données projet'!$E$9+1,1))-AVERAGE(OFFSET($H$3,0,0,'Données projet'!$E$9+1,1))</f>
        <v>162.0530649500439</v>
      </c>
      <c r="T97" s="59">
        <f t="shared" si="88"/>
        <v>450.88267959505049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29.389334655334114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8.4349008801445679E-10</v>
      </c>
      <c r="AC97" s="22">
        <f t="shared" si="57"/>
        <v>29.389334656177603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325.59999999999991</v>
      </c>
      <c r="AJ97" s="13">
        <f>AI97*VLOOKUP('Données projet'!$B$10,Paramètres!$A$1:$I$89,3,0)*VLOOKUP('Données projet'!$B$10,Paramètres!$A$1:$I$89,5,0)</f>
        <v>274.28543999999994</v>
      </c>
      <c r="AK97" s="13">
        <f t="shared" si="89"/>
        <v>65.75791260290552</v>
      </c>
      <c r="AL97" s="20">
        <f t="shared" si="58"/>
        <v>592.24217245006037</v>
      </c>
      <c r="AM97" s="59">
        <f t="shared" si="59"/>
        <v>885.57550578339374</v>
      </c>
      <c r="AN97" s="59">
        <f ca="1">AVERAGE(OFFSET($AM$3,0,0,'Données projet'!$E$10+1,1))-AVERAGE(OFFSET($H$3,0,0,'Données projet'!$E$10+1,1))</f>
        <v>328.34986205643321</v>
      </c>
      <c r="AO97" s="59">
        <f t="shared" si="90"/>
        <v>251.60894449147008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61.600054468907629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61.600054468907629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3.7</v>
      </c>
      <c r="BD97" s="12">
        <f>IF('Données projet'!$A$88&gt;35,BD96+BC97-BL96,IF(A97&lt;'Données projet'!$A$88,$BA$205^A97,IF(A97='Données projet'!$A$88,'Données projet'!$B$88,BD96+BC97-BL96)))</f>
        <v>207.79999999999976</v>
      </c>
      <c r="BE97" s="13">
        <f>BD97*VLOOKUP('Données projet'!$B$11,Paramètres!$A$1:$I$89,3,0)*VLOOKUP('Données projet'!$B$11,Paramètres!$A$1:$I$89,5,0)</f>
        <v>236.64263999999972</v>
      </c>
      <c r="BF97" s="13">
        <f t="shared" si="91"/>
        <v>57.716586928517103</v>
      </c>
      <c r="BG97" s="20">
        <f t="shared" si="61"/>
        <v>512.67565356716671</v>
      </c>
      <c r="BH97" s="59">
        <f t="shared" si="62"/>
        <v>806.00898690050008</v>
      </c>
      <c r="BI97" s="59">
        <f ca="1">AVERAGE(OFFSET($BH$3,0,0,'Données projet'!$E$11+1,1))-AVERAGE(OFFSET($H$3,0,0,'Données projet'!$E$11+1,1))</f>
        <v>250.68173853329841</v>
      </c>
      <c r="BJ97" s="59">
        <f t="shared" si="92"/>
        <v>113.25940301904359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36.246906210940217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36.246906210940217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3.7</v>
      </c>
      <c r="BY97" s="12">
        <f>IF('Données projet'!$A$114&gt;35,BY96+BX97-CG96,IF(A97&lt;'Données projet'!$A$114,$BV$205^A97,IF(A97='Données projet'!$A$114,'Données projet'!$B$114,BY96+BX97-CG96)))</f>
        <v>207.79999999999976</v>
      </c>
      <c r="BZ97" s="13">
        <f>BY97*VLOOKUP('Données projet'!$B$12,Paramètres!$A$1:$I$89,3,0)*VLOOKUP('Données projet'!$B$12,Paramètres!$A$1:$I$89,5,0)</f>
        <v>210.70919999999978</v>
      </c>
      <c r="CA97" s="13">
        <f t="shared" si="93"/>
        <v>52.090533318836158</v>
      </c>
      <c r="CB97" s="20">
        <f t="shared" si="64"/>
        <v>457.70953553030586</v>
      </c>
      <c r="CC97" s="59">
        <f t="shared" si="65"/>
        <v>751.04286886363911</v>
      </c>
      <c r="CD97" s="59">
        <f ca="1">AVERAGE(OFFSET($CC$3,0,0,'Données projet'!$E$12+1,1))-AVERAGE(OFFSET($H$3,0,0,'Données projet'!$E$12+1,1))</f>
        <v>211.44496956344943</v>
      </c>
      <c r="CE97" s="59">
        <f t="shared" si="94"/>
        <v>98.543169293276662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32.27464251659061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32.27464251659061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6">
        <f t="shared" si="56"/>
        <v>444.24697397491065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5.6843418860808015E-14</v>
      </c>
      <c r="O98" s="13">
        <f>N98*VLOOKUP('Données projet'!$B$9,Paramètres!$A$1:$I$89,3,0)*VLOOKUP('Données projet'!$B$9,Paramètres!$A$1:$I$89,5,0)</f>
        <v>3.2810021366458389E-14</v>
      </c>
      <c r="P98" s="13">
        <f t="shared" si="87"/>
        <v>5.6117125884464641E-13</v>
      </c>
      <c r="Q98" s="20">
        <f t="shared" si="54"/>
        <v>1.0345173963676741E-12</v>
      </c>
      <c r="R98" s="59">
        <f t="shared" si="55"/>
        <v>293.33333333333434</v>
      </c>
      <c r="S98" s="59">
        <f ca="1">AVERAGE(OFFSET($R$3,0,0,'Données projet'!$E$9+1,1))-AVERAGE(OFFSET($H$3,0,0,'Données projet'!$E$9+1,1))</f>
        <v>162.0530649500439</v>
      </c>
      <c r="T98" s="59">
        <f t="shared" si="88"/>
        <v>450.88267959505049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28.813027728467134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5.964375610986602E-10</v>
      </c>
      <c r="AC98" s="22">
        <f t="shared" si="57"/>
        <v>28.81302772906357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331.49999999999989</v>
      </c>
      <c r="AJ98" s="13">
        <f>AI98*VLOOKUP('Données projet'!$B$10,Paramètres!$A$1:$I$89,3,0)*VLOOKUP('Données projet'!$B$10,Paramètres!$A$1:$I$89,5,0)</f>
        <v>279.25559999999996</v>
      </c>
      <c r="AK98" s="13">
        <f t="shared" si="89"/>
        <v>66.809671397146161</v>
      </c>
      <c r="AL98" s="20">
        <f t="shared" si="58"/>
        <v>602.73034768336277</v>
      </c>
      <c r="AM98" s="59">
        <f t="shared" si="59"/>
        <v>896.06368101669614</v>
      </c>
      <c r="AN98" s="59">
        <f ca="1">AVERAGE(OFFSET($AM$3,0,0,'Données projet'!$E$10+1,1))-AVERAGE(OFFSET($H$3,0,0,'Données projet'!$E$10+1,1))</f>
        <v>328.34986205643321</v>
      </c>
      <c r="AO98" s="59">
        <f t="shared" si="90"/>
        <v>251.60894449147008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60.392114973095616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60.392114973095616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3.7</v>
      </c>
      <c r="BD98" s="12">
        <f>IF('Données projet'!$A$88&gt;35,BD97+BC98-BL97,IF(A98&lt;'Données projet'!$A$88,$BA$205^A98,IF(A98='Données projet'!$A$88,'Données projet'!$B$88,BD97+BC98-BL97)))</f>
        <v>211.49999999999974</v>
      </c>
      <c r="BE98" s="13">
        <f>BD98*VLOOKUP('Données projet'!$B$11,Paramètres!$A$1:$I$89,3,0)*VLOOKUP('Données projet'!$B$11,Paramètres!$A$1:$I$89,5,0)</f>
        <v>240.85619999999972</v>
      </c>
      <c r="BF98" s="13">
        <f t="shared" si="91"/>
        <v>58.623707885373825</v>
      </c>
      <c r="BG98" s="20">
        <f t="shared" si="61"/>
        <v>521.59417290035901</v>
      </c>
      <c r="BH98" s="59">
        <f t="shared" si="62"/>
        <v>814.92750623369238</v>
      </c>
      <c r="BI98" s="59">
        <f ca="1">AVERAGE(OFFSET($BH$3,0,0,'Données projet'!$E$11+1,1))-AVERAGE(OFFSET($H$3,0,0,'Données projet'!$E$11+1,1))</f>
        <v>250.68173853329841</v>
      </c>
      <c r="BJ98" s="59">
        <f t="shared" si="92"/>
        <v>113.25940301904359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35.536126488573444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35.536126488573444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3.7</v>
      </c>
      <c r="BY98" s="12">
        <f>IF('Données projet'!$A$114&gt;35,BY97+BX98-CG97,IF(A98&lt;'Données projet'!$A$114,$BV$205^A98,IF(A98='Données projet'!$A$114,'Données projet'!$B$114,BY97+BX98-CG97)))</f>
        <v>211.49999999999974</v>
      </c>
      <c r="BZ98" s="13">
        <f>BY98*VLOOKUP('Données projet'!$B$12,Paramètres!$A$1:$I$89,3,0)*VLOOKUP('Données projet'!$B$12,Paramètres!$A$1:$I$89,5,0)</f>
        <v>214.46099999999979</v>
      </c>
      <c r="CA98" s="13">
        <f t="shared" si="93"/>
        <v>52.909230628257546</v>
      </c>
      <c r="CB98" s="20">
        <f t="shared" si="64"/>
        <v>465.66981834421478</v>
      </c>
      <c r="CC98" s="59">
        <f t="shared" si="65"/>
        <v>759.00315167754809</v>
      </c>
      <c r="CD98" s="59">
        <f ca="1">AVERAGE(OFFSET($CC$3,0,0,'Données projet'!$E$12+1,1))-AVERAGE(OFFSET($H$3,0,0,'Données projet'!$E$12+1,1))</f>
        <v>211.44496956344943</v>
      </c>
      <c r="CE98" s="59">
        <f t="shared" si="94"/>
        <v>98.543169293276662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31.641756462428415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31.641756462428415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6">
        <f t="shared" si="56"/>
        <v>446.17170618380828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5.6843418860808015E-14</v>
      </c>
      <c r="O99" s="13">
        <f>N99*VLOOKUP('Données projet'!$B$9,Paramètres!$A$1:$I$89,3,0)*VLOOKUP('Données projet'!$B$9,Paramètres!$A$1:$I$89,5,0)</f>
        <v>3.2810021366458389E-14</v>
      </c>
      <c r="P99" s="13">
        <f t="shared" si="87"/>
        <v>5.6117125884464641E-13</v>
      </c>
      <c r="Q99" s="20">
        <f t="shared" ref="Q99:Q130" si="107">(O99+P99)*0.475*44/12</f>
        <v>1.0345173963676741E-12</v>
      </c>
      <c r="R99" s="59">
        <f t="shared" si="55"/>
        <v>293.33333333333434</v>
      </c>
      <c r="S99" s="59">
        <f ca="1">AVERAGE(OFFSET($R$3,0,0,'Données projet'!$E$9+1,1))-AVERAGE(OFFSET($H$3,0,0,'Données projet'!$E$9+1,1))</f>
        <v>162.0530649500439</v>
      </c>
      <c r="T99" s="59">
        <f t="shared" si="88"/>
        <v>450.88267959505049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28.248021828923498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4.2174504400722839E-10</v>
      </c>
      <c r="AC99" s="22">
        <f t="shared" si="57"/>
        <v>28.248021829345245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337.39999999999986</v>
      </c>
      <c r="AJ99" s="13">
        <f>AI99*VLOOKUP('Données projet'!$B$10,Paramètres!$A$1:$I$89,3,0)*VLOOKUP('Données projet'!$B$10,Paramètres!$A$1:$I$89,5,0)</f>
        <v>284.22575999999992</v>
      </c>
      <c r="AK99" s="13">
        <f t="shared" si="89"/>
        <v>67.859253423756542</v>
      </c>
      <c r="AL99" s="20">
        <f t="shared" si="58"/>
        <v>613.2147317130424</v>
      </c>
      <c r="AM99" s="59">
        <f t="shared" si="59"/>
        <v>906.54806504637577</v>
      </c>
      <c r="AN99" s="59">
        <f ca="1">AVERAGE(OFFSET($AM$3,0,0,'Données projet'!$E$10+1,1))-AVERAGE(OFFSET($H$3,0,0,'Données projet'!$E$10+1,1))</f>
        <v>328.34986205643321</v>
      </c>
      <c r="AO99" s="59">
        <f t="shared" si="90"/>
        <v>251.60894449147008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59.207862434026133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59.207862434026133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3.7</v>
      </c>
      <c r="BD99" s="12">
        <f>IF('Données projet'!$A$88&gt;35,BD98+BC99-BL98,IF(A99&lt;'Données projet'!$A$88,$BA$205^A99,IF(A99='Données projet'!$A$88,'Données projet'!$B$88,BD98+BC99-BL98)))</f>
        <v>215.19999999999973</v>
      </c>
      <c r="BE99" s="13">
        <f>BD99*VLOOKUP('Données projet'!$B$11,Paramètres!$A$1:$I$89,3,0)*VLOOKUP('Données projet'!$B$11,Paramètres!$A$1:$I$89,5,0)</f>
        <v>245.06975999999969</v>
      </c>
      <c r="BF99" s="13">
        <f t="shared" si="91"/>
        <v>59.528983440819054</v>
      </c>
      <c r="BG99" s="20">
        <f t="shared" si="61"/>
        <v>530.50947815942595</v>
      </c>
      <c r="BH99" s="59">
        <f t="shared" si="62"/>
        <v>823.84281149275921</v>
      </c>
      <c r="BI99" s="59">
        <f ca="1">AVERAGE(OFFSET($BH$3,0,0,'Données projet'!$E$11+1,1))-AVERAGE(OFFSET($H$3,0,0,'Données projet'!$E$11+1,1))</f>
        <v>250.68173853329841</v>
      </c>
      <c r="BJ99" s="59">
        <f t="shared" si="92"/>
        <v>113.25940301904359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34.839284723029458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34.839284723029458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3.7</v>
      </c>
      <c r="BY99" s="12">
        <f>IF('Données projet'!$A$114&gt;35,BY98+BX99-CG98,IF(A99&lt;'Données projet'!$A$114,$BV$205^A99,IF(A99='Données projet'!$A$114,'Données projet'!$B$114,BY98+BX99-CG98)))</f>
        <v>215.19999999999973</v>
      </c>
      <c r="BZ99" s="13">
        <f>BY99*VLOOKUP('Données projet'!$B$12,Paramètres!$A$1:$I$89,3,0)*VLOOKUP('Données projet'!$B$12,Paramètres!$A$1:$I$89,5,0)</f>
        <v>218.21279999999973</v>
      </c>
      <c r="CA99" s="13">
        <f t="shared" si="93"/>
        <v>53.726262420904114</v>
      </c>
      <c r="CB99" s="20">
        <f t="shared" si="64"/>
        <v>473.62720038307413</v>
      </c>
      <c r="CC99" s="59">
        <f t="shared" si="65"/>
        <v>766.96053371640744</v>
      </c>
      <c r="CD99" s="59">
        <f ca="1">AVERAGE(OFFSET($CC$3,0,0,'Données projet'!$E$12+1,1))-AVERAGE(OFFSET($H$3,0,0,'Données projet'!$E$12+1,1))</f>
        <v>211.44496956344943</v>
      </c>
      <c r="CE99" s="59">
        <f t="shared" si="94"/>
        <v>98.543169293276662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31.02128091776596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31.02128091776596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6">
        <f t="shared" si="56"/>
        <v>448.09598270912102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5.6843418860808015E-14</v>
      </c>
      <c r="O100" s="13">
        <f>N100*VLOOKUP('Données projet'!$B$9,Paramètres!$A$1:$I$89,3,0)*VLOOKUP('Données projet'!$B$9,Paramètres!$A$1:$I$89,5,0)</f>
        <v>3.2810021366458389E-14</v>
      </c>
      <c r="P100" s="13">
        <f t="shared" si="87"/>
        <v>5.6117125884464641E-13</v>
      </c>
      <c r="Q100" s="20">
        <f t="shared" si="107"/>
        <v>1.0345173963676741E-12</v>
      </c>
      <c r="R100" s="59">
        <f t="shared" si="55"/>
        <v>293.33333333333434</v>
      </c>
      <c r="S100" s="59">
        <f ca="1">AVERAGE(OFFSET($R$3,0,0,'Données projet'!$E$9+1,1))-AVERAGE(OFFSET($H$3,0,0,'Données projet'!$E$9+1,1))</f>
        <v>162.0530649500439</v>
      </c>
      <c r="T100" s="59">
        <f t="shared" si="88"/>
        <v>450.88267959505049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27.694095350450343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2.982187805493301E-10</v>
      </c>
      <c r="AC100" s="22">
        <f t="shared" si="57"/>
        <v>27.694095350748562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343.29999999999984</v>
      </c>
      <c r="AJ100" s="13">
        <f>AI100*VLOOKUP('Données projet'!$B$10,Paramètres!$A$1:$I$89,3,0)*VLOOKUP('Données projet'!$B$10,Paramètres!$A$1:$I$89,5,0)</f>
        <v>289.19591999999989</v>
      </c>
      <c r="AK100" s="13">
        <f t="shared" si="89"/>
        <v>68.906701138977155</v>
      </c>
      <c r="AL100" s="20">
        <f t="shared" si="58"/>
        <v>623.69539848371835</v>
      </c>
      <c r="AM100" s="59">
        <f t="shared" si="59"/>
        <v>917.02873181705172</v>
      </c>
      <c r="AN100" s="59">
        <f ca="1">AVERAGE(OFFSET($AM$3,0,0,'Données projet'!$E$10+1,1))-AVERAGE(OFFSET($H$3,0,0,'Données projet'!$E$10+1,1))</f>
        <v>328.34986205643321</v>
      </c>
      <c r="AO100" s="59">
        <f t="shared" si="90"/>
        <v>251.60894449147008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58.046832364925081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58.046832364925081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3.7</v>
      </c>
      <c r="BD100" s="12">
        <f>IF('Données projet'!$A$88&gt;35,BD99+BC100-BL99,IF(A100&lt;'Données projet'!$A$88,$BA$205^A100,IF(A100='Données projet'!$A$88,'Données projet'!$B$88,BD99+BC100-BL99)))</f>
        <v>218.89999999999972</v>
      </c>
      <c r="BE100" s="13">
        <f>BD100*VLOOKUP('Données projet'!$B$11,Paramètres!$A$1:$I$89,3,0)*VLOOKUP('Données projet'!$B$11,Paramètres!$A$1:$I$89,5,0)</f>
        <v>249.28331999999969</v>
      </c>
      <c r="BF100" s="13">
        <f t="shared" si="91"/>
        <v>60.432448984705772</v>
      </c>
      <c r="BG100" s="20">
        <f t="shared" si="61"/>
        <v>539.42163098169533</v>
      </c>
      <c r="BH100" s="59">
        <f t="shared" si="62"/>
        <v>832.7549643150287</v>
      </c>
      <c r="BI100" s="59">
        <f ca="1">AVERAGE(OFFSET($BH$3,0,0,'Données projet'!$E$11+1,1))-AVERAGE(OFFSET($H$3,0,0,'Données projet'!$E$11+1,1))</f>
        <v>250.68173853329841</v>
      </c>
      <c r="BJ100" s="59">
        <f t="shared" si="92"/>
        <v>113.25940301904359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34.156107599476279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34.156107599476279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3.7</v>
      </c>
      <c r="BY100" s="12">
        <f>IF('Données projet'!$A$114&gt;35,BY99+BX100-CG99,IF(A100&lt;'Données projet'!$A$114,$BV$205^A100,IF(A100='Données projet'!$A$114,'Données projet'!$B$114,BY99+BX100-CG99)))</f>
        <v>218.89999999999972</v>
      </c>
      <c r="BZ100" s="13">
        <f>BY100*VLOOKUP('Données projet'!$B$12,Paramètres!$A$1:$I$89,3,0)*VLOOKUP('Données projet'!$B$12,Paramètres!$A$1:$I$89,5,0)</f>
        <v>221.96459999999973</v>
      </c>
      <c r="CA100" s="13">
        <f t="shared" si="93"/>
        <v>54.54166063692368</v>
      </c>
      <c r="CB100" s="20">
        <f t="shared" si="64"/>
        <v>481.58173727597494</v>
      </c>
      <c r="CC100" s="59">
        <f t="shared" si="65"/>
        <v>774.91507060930826</v>
      </c>
      <c r="CD100" s="59">
        <f ca="1">AVERAGE(OFFSET($CC$3,0,0,'Données projet'!$E$12+1,1))-AVERAGE(OFFSET($H$3,0,0,'Données projet'!$E$12+1,1))</f>
        <v>211.44496956344943</v>
      </c>
      <c r="CE100" s="59">
        <f t="shared" si="94"/>
        <v>98.543169293276662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30.412972520081624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30.412972520081624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6">
        <f t="shared" si="56"/>
        <v>450.01980879247901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5.6843418860808015E-14</v>
      </c>
      <c r="O101" s="13">
        <f>N101*VLOOKUP('Données projet'!$B$9,Paramètres!$A$1:$I$89,3,0)*VLOOKUP('Données projet'!$B$9,Paramètres!$A$1:$I$89,5,0)</f>
        <v>3.2810021366458389E-14</v>
      </c>
      <c r="P101" s="13">
        <f t="shared" si="87"/>
        <v>5.6117125884464641E-13</v>
      </c>
      <c r="Q101" s="20">
        <f t="shared" si="107"/>
        <v>1.0345173963676741E-12</v>
      </c>
      <c r="R101" s="59">
        <f t="shared" si="55"/>
        <v>293.33333333333434</v>
      </c>
      <c r="S101" s="59">
        <f ca="1">AVERAGE(OFFSET($R$3,0,0,'Données projet'!$E$9+1,1))-AVERAGE(OFFSET($H$3,0,0,'Données projet'!$E$9+1,1))</f>
        <v>162.0530649500439</v>
      </c>
      <c r="T101" s="59">
        <f t="shared" si="88"/>
        <v>450.88267959505049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27.151031032358254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2.108725220036142E-10</v>
      </c>
      <c r="AC101" s="22">
        <f t="shared" si="57"/>
        <v>27.151031032569126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349.19999999999982</v>
      </c>
      <c r="AJ101" s="13">
        <f>AI101*VLOOKUP('Données projet'!$B$10,Paramètres!$A$1:$I$89,3,0)*VLOOKUP('Données projet'!$B$10,Paramètres!$A$1:$I$89,5,0)</f>
        <v>294.16607999999991</v>
      </c>
      <c r="AK101" s="13">
        <f t="shared" si="89"/>
        <v>69.952055456115559</v>
      </c>
      <c r="AL101" s="20">
        <f t="shared" si="58"/>
        <v>634.17241925273436</v>
      </c>
      <c r="AM101" s="59">
        <f t="shared" si="59"/>
        <v>927.50575258606773</v>
      </c>
      <c r="AN101" s="59">
        <f ca="1">AVERAGE(OFFSET($AM$3,0,0,'Données projet'!$E$10+1,1))-AVERAGE(OFFSET($H$3,0,0,'Données projet'!$E$10+1,1))</f>
        <v>328.34986205643321</v>
      </c>
      <c r="AO101" s="59">
        <f t="shared" si="90"/>
        <v>251.60894449147008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56.908569387320682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56.908569387320682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3.7</v>
      </c>
      <c r="BD101" s="12">
        <f>IF('Données projet'!$A$88&gt;35,BD100+BC101-BL100,IF(A101&lt;'Données projet'!$A$88,$BA$205^A101,IF(A101='Données projet'!$A$88,'Données projet'!$B$88,BD100+BC101-BL100)))</f>
        <v>222.59999999999971</v>
      </c>
      <c r="BE101" s="13">
        <f>BD101*VLOOKUP('Données projet'!$B$11,Paramètres!$A$1:$I$89,3,0)*VLOOKUP('Données projet'!$B$11,Paramètres!$A$1:$I$89,5,0)</f>
        <v>253.49687999999969</v>
      </c>
      <c r="BF101" s="13">
        <f t="shared" si="91"/>
        <v>61.334138641955079</v>
      </c>
      <c r="BG101" s="20">
        <f t="shared" si="61"/>
        <v>548.33069080140456</v>
      </c>
      <c r="BH101" s="59">
        <f t="shared" si="62"/>
        <v>841.66402413473793</v>
      </c>
      <c r="BI101" s="59">
        <f ca="1">AVERAGE(OFFSET($BH$3,0,0,'Données projet'!$E$11+1,1))-AVERAGE(OFFSET($H$3,0,0,'Données projet'!$E$11+1,1))</f>
        <v>250.68173853329841</v>
      </c>
      <c r="BJ101" s="59">
        <f t="shared" si="92"/>
        <v>113.25940301904359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33.486327162619077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33.486327162619077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3.7</v>
      </c>
      <c r="BY101" s="12">
        <f>IF('Données projet'!$A$114&gt;35,BY100+BX101-CG100,IF(A101&lt;'Données projet'!$A$114,$BV$205^A101,IF(A101='Données projet'!$A$114,'Données projet'!$B$114,BY100+BX101-CG100)))</f>
        <v>222.59999999999971</v>
      </c>
      <c r="BZ101" s="13">
        <f>BY101*VLOOKUP('Données projet'!$B$12,Paramètres!$A$1:$I$89,3,0)*VLOOKUP('Données projet'!$B$12,Paramètres!$A$1:$I$89,5,0)</f>
        <v>225.71639999999974</v>
      </c>
      <c r="CA101" s="13">
        <f t="shared" si="93"/>
        <v>55.355456074834237</v>
      </c>
      <c r="CB101" s="20">
        <f t="shared" si="64"/>
        <v>489.53348266366919</v>
      </c>
      <c r="CC101" s="59">
        <f t="shared" si="65"/>
        <v>782.8668159970025</v>
      </c>
      <c r="CD101" s="59">
        <f ca="1">AVERAGE(OFFSET($CC$3,0,0,'Données projet'!$E$12+1,1))-AVERAGE(OFFSET($H$3,0,0,'Données projet'!$E$12+1,1))</f>
        <v>211.44496956344943</v>
      </c>
      <c r="CE101" s="59">
        <f t="shared" si="94"/>
        <v>98.543169293276662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29.81659267904439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29.81659267904439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6">
        <f t="shared" si="56"/>
        <v>451.94318956237618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5.6843418860808015E-14</v>
      </c>
      <c r="O102" s="13">
        <f>N102*VLOOKUP('Données projet'!$B$9,Paramètres!$A$1:$I$89,3,0)*VLOOKUP('Données projet'!$B$9,Paramètres!$A$1:$I$89,5,0)</f>
        <v>3.2810021366458389E-14</v>
      </c>
      <c r="P102" s="13">
        <f t="shared" si="87"/>
        <v>5.6117125884464641E-13</v>
      </c>
      <c r="Q102" s="20">
        <f t="shared" si="107"/>
        <v>1.0345173963676741E-12</v>
      </c>
      <c r="R102" s="59">
        <f t="shared" si="55"/>
        <v>293.33333333333434</v>
      </c>
      <c r="S102" s="59">
        <f ca="1">AVERAGE(OFFSET($R$3,0,0,'Données projet'!$E$9+1,1))-AVERAGE(OFFSET($H$3,0,0,'Données projet'!$E$9+1,1))</f>
        <v>162.0530649500439</v>
      </c>
      <c r="T102" s="59">
        <f t="shared" si="88"/>
        <v>450.88267959505049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26.618615874307427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1.4910939027466505E-10</v>
      </c>
      <c r="AC102" s="22">
        <f t="shared" si="57"/>
        <v>26.618615874456538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355.0999999999998</v>
      </c>
      <c r="AJ102" s="13">
        <f>AI102*VLOOKUP('Données projet'!$B$10,Paramètres!$A$1:$I$89,3,0)*VLOOKUP('Données projet'!$B$10,Paramètres!$A$1:$I$89,5,0)</f>
        <v>299.13623999999987</v>
      </c>
      <c r="AK102" s="13">
        <f t="shared" si="89"/>
        <v>70.995355826722829</v>
      </c>
      <c r="AL102" s="20">
        <f t="shared" si="58"/>
        <v>644.64586273154202</v>
      </c>
      <c r="AM102" s="59">
        <f t="shared" si="59"/>
        <v>937.9791960648754</v>
      </c>
      <c r="AN102" s="59">
        <f ca="1">AVERAGE(OFFSET($AM$3,0,0,'Données projet'!$E$10+1,1))-AVERAGE(OFFSET($H$3,0,0,'Données projet'!$E$10+1,1))</f>
        <v>328.34986205643321</v>
      </c>
      <c r="AO102" s="59">
        <f t="shared" si="90"/>
        <v>251.60894449147008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55.792627052435243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55.792627052435243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3.7</v>
      </c>
      <c r="BD102" s="12">
        <f>IF('Données projet'!$A$88&gt;35,BD101+BC102-BL101,IF(A102&lt;'Données projet'!$A$88,$BA$205^A102,IF(A102='Données projet'!$A$88,'Données projet'!$B$88,BD101+BC102-BL101)))</f>
        <v>226.2999999999997</v>
      </c>
      <c r="BE102" s="13">
        <f>BD102*VLOOKUP('Données projet'!$B$11,Paramètres!$A$1:$I$89,3,0)*VLOOKUP('Données projet'!$B$11,Paramètres!$A$1:$I$89,5,0)</f>
        <v>257.71043999999966</v>
      </c>
      <c r="BF102" s="13">
        <f t="shared" si="91"/>
        <v>62.234085338028208</v>
      </c>
      <c r="BG102" s="20">
        <f t="shared" si="61"/>
        <v>557.23671496373186</v>
      </c>
      <c r="BH102" s="59">
        <f t="shared" si="62"/>
        <v>850.57004829706511</v>
      </c>
      <c r="BI102" s="59">
        <f ca="1">AVERAGE(OFFSET($BH$3,0,0,'Données projet'!$E$11+1,1))-AVERAGE(OFFSET($H$3,0,0,'Données projet'!$E$11+1,1))</f>
        <v>250.68173853329841</v>
      </c>
      <c r="BJ102" s="59">
        <f t="shared" si="92"/>
        <v>113.25940301904359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32.829680711602919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32.829680711602919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3.7</v>
      </c>
      <c r="BY102" s="12">
        <f>IF('Données projet'!$A$114&gt;35,BY101+BX102-CG101,IF(A102&lt;'Données projet'!$A$114,$BV$205^A102,IF(A102='Données projet'!$A$114,'Données projet'!$B$114,BY101+BX102-CG101)))</f>
        <v>226.2999999999997</v>
      </c>
      <c r="BZ102" s="13">
        <f>BY102*VLOOKUP('Données projet'!$B$12,Paramètres!$A$1:$I$89,3,0)*VLOOKUP('Données projet'!$B$12,Paramètres!$A$1:$I$89,5,0)</f>
        <v>229.46819999999968</v>
      </c>
      <c r="CA102" s="13">
        <f t="shared" si="93"/>
        <v>56.167678450613856</v>
      </c>
      <c r="CB102" s="20">
        <f t="shared" si="64"/>
        <v>497.48248830148515</v>
      </c>
      <c r="CC102" s="59">
        <f t="shared" si="65"/>
        <v>790.81582163481846</v>
      </c>
      <c r="CD102" s="59">
        <f ca="1">AVERAGE(OFFSET($CC$3,0,0,'Données projet'!$E$12+1,1))-AVERAGE(OFFSET($H$3,0,0,'Données projet'!$E$12+1,1))</f>
        <v>211.44496956344943</v>
      </c>
      <c r="CE102" s="59">
        <f t="shared" si="94"/>
        <v>98.543169293276662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29.231907482934115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29.231907482934115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6">
        <f t="shared" si="56"/>
        <v>453.86613003772942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5.6843418860808015E-14</v>
      </c>
      <c r="O103" s="13">
        <f>N103*VLOOKUP('Données projet'!$B$9,Paramètres!$A$1:$I$89,3,0)*VLOOKUP('Données projet'!$B$9,Paramètres!$A$1:$I$89,5,0)</f>
        <v>3.2810021366458389E-14</v>
      </c>
      <c r="P103" s="13">
        <f t="shared" si="87"/>
        <v>5.6117125884464641E-13</v>
      </c>
      <c r="Q103" s="20">
        <f t="shared" si="107"/>
        <v>1.0345173963676741E-12</v>
      </c>
      <c r="R103" s="59">
        <f t="shared" si="55"/>
        <v>293.33333333333434</v>
      </c>
      <c r="S103" s="59">
        <f ca="1">AVERAGE(OFFSET($R$3,0,0,'Données projet'!$E$9+1,1))-AVERAGE(OFFSET($H$3,0,0,'Données projet'!$E$9+1,1))</f>
        <v>162.0530649500439</v>
      </c>
      <c r="T103" s="59">
        <f t="shared" si="88"/>
        <v>450.88267959505049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26.096641052764795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1.054362610018071E-10</v>
      </c>
      <c r="AC103" s="22">
        <f t="shared" si="57"/>
        <v>26.096641052870233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361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360.99999999999977</v>
      </c>
      <c r="AJ103" s="13">
        <f>AI103*VLOOKUP('Données projet'!$B$10,Paramètres!$A$1:$I$89,3,0)*VLOOKUP('Données projet'!$B$10,Paramètres!$A$1:$I$89,5,0)</f>
        <v>304.10639999999984</v>
      </c>
      <c r="AK103" s="13">
        <f t="shared" si="89"/>
        <v>72.036640316223298</v>
      </c>
      <c r="AL103" s="20">
        <f t="shared" si="58"/>
        <v>655.11579521742192</v>
      </c>
      <c r="AM103" s="59">
        <f t="shared" si="59"/>
        <v>948.44912855075518</v>
      </c>
      <c r="AN103" s="59">
        <f ca="1">AVERAGE(OFFSET($AM$3,0,0,'Données projet'!$E$10+1,1))-AVERAGE(OFFSET($H$3,0,0,'Données projet'!$E$10+1,1))</f>
        <v>328.34986205643321</v>
      </c>
      <c r="AO103" s="59">
        <f t="shared" si="90"/>
        <v>251.60894449147008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0.36549999999999999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73.418985565841581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73.418985565841581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230</v>
      </c>
      <c r="BB103" s="12">
        <f>VLOOKUP(A103,'Données projet'!$A$87:$I$107,9,0)</f>
        <v>3.7</v>
      </c>
      <c r="BC103" s="12">
        <f t="array" ref="BC103">INDEX(BB:BB,MIN(IF(ISNUMBER(BB103:BB299),ROW(BB103:BB299),"")))</f>
        <v>3.7</v>
      </c>
      <c r="BD103" s="12">
        <f>IF('Données projet'!$A$88&gt;35,BD102+BC103-BL102,IF(A103&lt;'Données projet'!$A$88,$BA$205^A103,IF(A103='Données projet'!$A$88,'Données projet'!$B$88,BD102+BC103-BL102)))</f>
        <v>229.99999999999969</v>
      </c>
      <c r="BE103" s="13">
        <f>BD103*VLOOKUP('Données projet'!$B$11,Paramètres!$A$1:$I$89,3,0)*VLOOKUP('Données projet'!$B$11,Paramètres!$A$1:$I$89,5,0)</f>
        <v>261.92399999999964</v>
      </c>
      <c r="BF103" s="13">
        <f t="shared" si="91"/>
        <v>63.132320859995531</v>
      </c>
      <c r="BG103" s="20">
        <f t="shared" si="61"/>
        <v>566.13975883115825</v>
      </c>
      <c r="BH103" s="59">
        <f t="shared" si="62"/>
        <v>859.47309216449162</v>
      </c>
      <c r="BI103" s="59">
        <f ca="1">AVERAGE(OFFSET($BH$3,0,0,'Données projet'!$E$11+1,1))-AVERAGE(OFFSET($H$3,0,0,'Données projet'!$E$11+1,1))</f>
        <v>250.68173853329841</v>
      </c>
      <c r="BJ103" s="59">
        <f t="shared" si="92"/>
        <v>113.25940301904359</v>
      </c>
      <c r="BK103" s="15">
        <f>IF(ISNA(VLOOKUP(A103,'Données projet'!$A$87:$I$107,3,0)),0,VLOOKUP(A103,'Données projet'!$A$87:$I$107,3,0))</f>
        <v>8</v>
      </c>
      <c r="BL103" s="15">
        <f>IF(ISNA(VLOOKUP(A103,'Données projet'!$A$87:$I$107,4,0)),0,VLOOKUP(A103,'Données projet'!$A$87:$I$107,4,0))</f>
        <v>28</v>
      </c>
      <c r="BM103" s="16">
        <f>IF(ISNA(VLOOKUP(A103,'Données projet'!$A$87:$I$107,5,0)),0%,VLOOKUP(A103,'Données projet'!$A$87:$I$107,5,0)*VLOOKUP('Données projet'!$B$11,Paramètres!$A$1:$I$89,7,0))</f>
        <v>0.36549999999999999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45.069592241459276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45.069592241459276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230</v>
      </c>
      <c r="BW103" s="12">
        <f>VLOOKUP(A103,'Données projet'!$A$113:$I$133,9,0)</f>
        <v>3.7</v>
      </c>
      <c r="BX103" s="12">
        <f t="array" ref="BX103">INDEX(BW:BW,MIN(IF(ISNUMBER(BW103:BW299),ROW(BW103:BW299),"")))</f>
        <v>3.7</v>
      </c>
      <c r="BY103" s="12">
        <f>IF('Données projet'!$A$114&gt;35,BY102+BX103-CG102,IF(A103&lt;'Données projet'!$A$114,$BV$205^A103,IF(A103='Données projet'!$A$114,'Données projet'!$B$114,BY102+BX103-CG102)))</f>
        <v>229.99999999999969</v>
      </c>
      <c r="BZ103" s="13">
        <f>BY103*VLOOKUP('Données projet'!$B$12,Paramètres!$A$1:$I$89,3,0)*VLOOKUP('Données projet'!$B$12,Paramètres!$A$1:$I$89,5,0)</f>
        <v>233.21999999999969</v>
      </c>
      <c r="CA103" s="13">
        <f t="shared" si="93"/>
        <v>56.978356452817216</v>
      </c>
      <c r="CB103" s="20">
        <f t="shared" si="64"/>
        <v>505.42880415532272</v>
      </c>
      <c r="CC103" s="59">
        <f t="shared" si="65"/>
        <v>798.76213748865598</v>
      </c>
      <c r="CD103" s="59">
        <f ca="1">AVERAGE(OFFSET($CC$3,0,0,'Données projet'!$E$12+1,1))-AVERAGE(OFFSET($H$3,0,0,'Données projet'!$E$12+1,1))</f>
        <v>211.44496956344943</v>
      </c>
      <c r="CE103" s="59">
        <f t="shared" si="94"/>
        <v>98.543169293276662</v>
      </c>
      <c r="CF103" s="15">
        <f>IF(ISNA(VLOOKUP(A103,'Données projet'!$A$113:$I$133,3,0)),0,VLOOKUP(A103,'Données projet'!$A$113:$I$133,3,0))</f>
        <v>8</v>
      </c>
      <c r="CG103" s="15">
        <f>IF(ISNA(VLOOKUP(A103,'Données projet'!$A$113:$I$133,4,0)),0,VLOOKUP(A103,'Données projet'!$A$113:$I$133,4,0))</f>
        <v>28</v>
      </c>
      <c r="CH103" s="16">
        <f>IF(ISNA(VLOOKUP(A103,'Données projet'!$A$113:$I$133,5,0)),0%,VLOOKUP(A103,'Données projet'!$A$113:$I$133,5,0)*VLOOKUP('Données projet'!$B$12,Paramètres!$A$1:$I$89,7,0))</f>
        <v>0.36549999999999999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40.130458845134982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40.130458845134982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6">
        <f t="shared" si="56"/>
        <v>455.78863513129187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5.6843418860808015E-14</v>
      </c>
      <c r="O104" s="13">
        <f>N104*VLOOKUP('Données projet'!$B$9,Paramètres!$A$1:$I$89,3,0)*VLOOKUP('Données projet'!$B$9,Paramètres!$A$1:$I$89,5,0)</f>
        <v>3.2810021366458389E-14</v>
      </c>
      <c r="P104" s="13">
        <f t="shared" si="87"/>
        <v>5.6117125884464641E-13</v>
      </c>
      <c r="Q104" s="20">
        <f t="shared" si="107"/>
        <v>1.0345173963676741E-12</v>
      </c>
      <c r="R104" s="59">
        <f t="shared" si="55"/>
        <v>293.33333333333434</v>
      </c>
      <c r="S104" s="59">
        <f ca="1">AVERAGE(OFFSET($R$3,0,0,'Données projet'!$E$9+1,1))-AVERAGE(OFFSET($H$3,0,0,'Données projet'!$E$9+1,1))</f>
        <v>162.0530649500439</v>
      </c>
      <c r="T104" s="59">
        <f t="shared" si="88"/>
        <v>450.88267959505049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25.584901839099409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7.4554695137332525E-11</v>
      </c>
      <c r="AC104" s="22">
        <f t="shared" si="57"/>
        <v>25.584901839173963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311.19999999999976</v>
      </c>
      <c r="AJ104" s="13">
        <f>AI104*VLOOKUP('Données projet'!$B$10,Paramètres!$A$1:$I$89,3,0)*VLOOKUP('Données projet'!$B$10,Paramètres!$A$1:$I$89,5,0)</f>
        <v>262.15487999999982</v>
      </c>
      <c r="AK104" s="13">
        <f t="shared" si="89"/>
        <v>63.181490407105123</v>
      </c>
      <c r="AL104" s="20">
        <f t="shared" si="58"/>
        <v>566.62751179237432</v>
      </c>
      <c r="AM104" s="59">
        <f t="shared" si="59"/>
        <v>859.96084512570769</v>
      </c>
      <c r="AN104" s="59">
        <f ca="1">AVERAGE(OFFSET($AM$3,0,0,'Données projet'!$E$10+1,1))-AVERAGE(OFFSET($H$3,0,0,'Données projet'!$E$10+1,1))</f>
        <v>328.34986205643321</v>
      </c>
      <c r="AO104" s="59">
        <f t="shared" si="90"/>
        <v>251.60894449147008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71.97928404005485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71.97928404005485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3.2</v>
      </c>
      <c r="BD104" s="12">
        <f>IF('Données projet'!$A$88&gt;35,BD103+BC104-BL103,IF(A104&lt;'Données projet'!$A$88,$BA$205^A104,IF(A104='Données projet'!$A$88,'Données projet'!$B$88,BD103+BC104-BL103)))</f>
        <v>205.19999999999968</v>
      </c>
      <c r="BE104" s="13">
        <f>BD104*VLOOKUP('Données projet'!$B$11,Paramètres!$A$1:$I$89,3,0)*VLOOKUP('Données projet'!$B$11,Paramètres!$A$1:$I$89,5,0)</f>
        <v>233.68175999999963</v>
      </c>
      <c r="BF104" s="13">
        <f t="shared" si="91"/>
        <v>57.078026837098285</v>
      </c>
      <c r="BG104" s="20">
        <f t="shared" si="61"/>
        <v>506.40662874127889</v>
      </c>
      <c r="BH104" s="59">
        <f t="shared" si="62"/>
        <v>799.73996207461221</v>
      </c>
      <c r="BI104" s="59">
        <f ca="1">AVERAGE(OFFSET($BH$3,0,0,'Données projet'!$E$11+1,1))-AVERAGE(OFFSET($H$3,0,0,'Données projet'!$E$11+1,1))</f>
        <v>250.68173853329841</v>
      </c>
      <c r="BJ104" s="59">
        <f t="shared" si="92"/>
        <v>113.25940301904359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44.185805027341139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44.185805027341139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3.2</v>
      </c>
      <c r="BY104" s="12">
        <f>IF('Données projet'!$A$114&gt;35,BY103+BX104-CG103,IF(A104&lt;'Données projet'!$A$114,$BV$205^A104,IF(A104='Données projet'!$A$114,'Données projet'!$B$114,BY103+BX104-CG103)))</f>
        <v>205.19999999999968</v>
      </c>
      <c r="BZ104" s="13">
        <f>BY104*VLOOKUP('Données projet'!$B$12,Paramètres!$A$1:$I$89,3,0)*VLOOKUP('Données projet'!$B$12,Paramètres!$A$1:$I$89,5,0)</f>
        <v>208.07279999999969</v>
      </c>
      <c r="CA104" s="13">
        <f t="shared" si="93"/>
        <v>51.514218302854275</v>
      </c>
      <c r="CB104" s="20">
        <f t="shared" si="64"/>
        <v>452.1140568774706</v>
      </c>
      <c r="CC104" s="59">
        <f t="shared" si="65"/>
        <v>745.44739021080386</v>
      </c>
      <c r="CD104" s="59">
        <f ca="1">AVERAGE(OFFSET($CC$3,0,0,'Données projet'!$E$12+1,1))-AVERAGE(OFFSET($H$3,0,0,'Données projet'!$E$12+1,1))</f>
        <v>211.44496956344943</v>
      </c>
      <c r="CE104" s="59">
        <f t="shared" si="94"/>
        <v>98.543169293276662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39.343525024344864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39.343525024344864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6">
        <f t="shared" si="56"/>
        <v>457.71070965292688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5.6843418860808015E-14</v>
      </c>
      <c r="O105" s="13">
        <f>N105*VLOOKUP('Données projet'!$B$9,Paramètres!$A$1:$I$89,3,0)*VLOOKUP('Données projet'!$B$9,Paramètres!$A$1:$I$89,5,0)</f>
        <v>3.2810021366458389E-14</v>
      </c>
      <c r="P105" s="13">
        <f t="shared" si="87"/>
        <v>5.6117125884464641E-13</v>
      </c>
      <c r="Q105" s="20">
        <f t="shared" si="107"/>
        <v>1.0345173963676741E-12</v>
      </c>
      <c r="R105" s="59">
        <f t="shared" si="55"/>
        <v>293.33333333333434</v>
      </c>
      <c r="S105" s="59">
        <f ca="1">AVERAGE(OFFSET($R$3,0,0,'Données projet'!$E$9+1,1))-AVERAGE(OFFSET($H$3,0,0,'Données projet'!$E$9+1,1))</f>
        <v>162.0530649500439</v>
      </c>
      <c r="T105" s="59">
        <f t="shared" si="88"/>
        <v>450.88267959505049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25.0831975192839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5.2718130500903549E-11</v>
      </c>
      <c r="AC105" s="22">
        <f t="shared" si="57"/>
        <v>25.083197519336618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316.39999999999975</v>
      </c>
      <c r="AJ105" s="13">
        <f>AI105*VLOOKUP('Données projet'!$B$10,Paramètres!$A$1:$I$89,3,0)*VLOOKUP('Données projet'!$B$10,Paramètres!$A$1:$I$89,5,0)</f>
        <v>266.5353599999998</v>
      </c>
      <c r="AK105" s="13">
        <f t="shared" si="89"/>
        <v>64.113433471449738</v>
      </c>
      <c r="AL105" s="20">
        <f t="shared" si="58"/>
        <v>575.87998196277465</v>
      </c>
      <c r="AM105" s="59">
        <f t="shared" si="59"/>
        <v>869.21331529610802</v>
      </c>
      <c r="AN105" s="59">
        <f ca="1">AVERAGE(OFFSET($AM$3,0,0,'Données projet'!$E$10+1,1))-AVERAGE(OFFSET($H$3,0,0,'Données projet'!$E$10+1,1))</f>
        <v>328.34986205643321</v>
      </c>
      <c r="AO105" s="59">
        <f t="shared" si="90"/>
        <v>251.60894449147008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70.567814183057578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70.567814183057578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3.2</v>
      </c>
      <c r="BD105" s="12">
        <f>IF('Données projet'!$A$88&gt;35,BD104+BC105-BL104,IF(A105&lt;'Données projet'!$A$88,$BA$205^A105,IF(A105='Données projet'!$A$88,'Données projet'!$B$88,BD104+BC105-BL104)))</f>
        <v>208.39999999999966</v>
      </c>
      <c r="BE105" s="13">
        <f>BD105*VLOOKUP('Données projet'!$B$11,Paramètres!$A$1:$I$89,3,0)*VLOOKUP('Données projet'!$B$11,Paramètres!$A$1:$I$89,5,0)</f>
        <v>237.32591999999963</v>
      </c>
      <c r="BF105" s="13">
        <f t="shared" si="91"/>
        <v>57.863814499223309</v>
      </c>
      <c r="BG105" s="20">
        <f t="shared" si="61"/>
        <v>514.12212091947993</v>
      </c>
      <c r="BH105" s="59">
        <f t="shared" si="62"/>
        <v>807.4554542528133</v>
      </c>
      <c r="BI105" s="59">
        <f ca="1">AVERAGE(OFFSET($BH$3,0,0,'Données projet'!$E$11+1,1))-AVERAGE(OFFSET($H$3,0,0,'Données projet'!$E$11+1,1))</f>
        <v>250.68173853329841</v>
      </c>
      <c r="BJ105" s="59">
        <f t="shared" si="92"/>
        <v>113.25940301904359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43.319348341434889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43.319348341434889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3.2</v>
      </c>
      <c r="BY105" s="12">
        <f>IF('Données projet'!$A$114&gt;35,BY104+BX105-CG104,IF(A105&lt;'Données projet'!$A$114,$BV$205^A105,IF(A105='Données projet'!$A$114,'Données projet'!$B$114,BY104+BX105-CG104)))</f>
        <v>208.39999999999966</v>
      </c>
      <c r="BZ105" s="13">
        <f>BY105*VLOOKUP('Données projet'!$B$12,Paramètres!$A$1:$I$89,3,0)*VLOOKUP('Données projet'!$B$12,Paramètres!$A$1:$I$89,5,0)</f>
        <v>211.31759999999966</v>
      </c>
      <c r="CA105" s="13">
        <f t="shared" si="93"/>
        <v>52.223409552263199</v>
      </c>
      <c r="CB105" s="20">
        <f t="shared" si="64"/>
        <v>459.00059163685773</v>
      </c>
      <c r="CC105" s="59">
        <f t="shared" si="65"/>
        <v>752.33392497019099</v>
      </c>
      <c r="CD105" s="59">
        <f ca="1">AVERAGE(OFFSET($CC$3,0,0,'Données projet'!$E$12+1,1))-AVERAGE(OFFSET($H$3,0,0,'Données projet'!$E$12+1,1))</f>
        <v>211.44496956344943</v>
      </c>
      <c r="CE105" s="59">
        <f t="shared" si="94"/>
        <v>98.543169293276662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38.572022495798201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38.572022495798201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6">
        <f t="shared" si="56"/>
        <v>459.63235831274994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5.6843418860808015E-14</v>
      </c>
      <c r="O106" s="13">
        <f>N106*VLOOKUP('Données projet'!$B$9,Paramètres!$A$1:$I$89,3,0)*VLOOKUP('Données projet'!$B$9,Paramètres!$A$1:$I$89,5,0)</f>
        <v>3.2810021366458389E-14</v>
      </c>
      <c r="P106" s="13">
        <f t="shared" si="87"/>
        <v>5.6117125884464641E-13</v>
      </c>
      <c r="Q106" s="20">
        <f t="shared" si="107"/>
        <v>1.0345173963676741E-12</v>
      </c>
      <c r="R106" s="59">
        <f t="shared" si="55"/>
        <v>293.33333333333434</v>
      </c>
      <c r="S106" s="59">
        <f ca="1">AVERAGE(OFFSET($R$3,0,0,'Données projet'!$E$9+1,1))-AVERAGE(OFFSET($H$3,0,0,'Données projet'!$E$9+1,1))</f>
        <v>162.0530649500439</v>
      </c>
      <c r="T106" s="59">
        <f t="shared" si="88"/>
        <v>450.88267959505049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24.591331315170553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3.7277347568666263E-11</v>
      </c>
      <c r="AC106" s="22">
        <f t="shared" si="57"/>
        <v>24.591331315207832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321.59999999999974</v>
      </c>
      <c r="AJ106" s="13">
        <f>AI106*VLOOKUP('Données projet'!$B$10,Paramètres!$A$1:$I$89,3,0)*VLOOKUP('Données projet'!$B$10,Paramètres!$A$1:$I$89,5,0)</f>
        <v>270.91583999999983</v>
      </c>
      <c r="AK106" s="13">
        <f t="shared" si="89"/>
        <v>65.043595328112488</v>
      </c>
      <c r="AL106" s="20">
        <f t="shared" si="58"/>
        <v>585.12934986312894</v>
      </c>
      <c r="AM106" s="59">
        <f t="shared" si="59"/>
        <v>878.46268319646219</v>
      </c>
      <c r="AN106" s="59">
        <f ca="1">AVERAGE(OFFSET($AM$3,0,0,'Données projet'!$E$10+1,1))-AVERAGE(OFFSET($H$3,0,0,'Données projet'!$E$10+1,1))</f>
        <v>328.34986205643321</v>
      </c>
      <c r="AO106" s="59">
        <f t="shared" si="90"/>
        <v>251.60894449147008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69.184022389044415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69.184022389044415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3.2</v>
      </c>
      <c r="BD106" s="12">
        <f>IF('Données projet'!$A$88&gt;35,BD105+BC106-BL105,IF(A106&lt;'Données projet'!$A$88,$BA$205^A106,IF(A106='Données projet'!$A$88,'Données projet'!$B$88,BD105+BC106-BL105)))</f>
        <v>211.59999999999965</v>
      </c>
      <c r="BE106" s="13">
        <f>BD106*VLOOKUP('Données projet'!$B$11,Paramètres!$A$1:$I$89,3,0)*VLOOKUP('Données projet'!$B$11,Paramètres!$A$1:$I$89,5,0)</f>
        <v>240.9700799999996</v>
      </c>
      <c r="BF106" s="13">
        <f t="shared" si="91"/>
        <v>58.648198893942265</v>
      </c>
      <c r="BG106" s="20">
        <f t="shared" si="61"/>
        <v>521.83516907361548</v>
      </c>
      <c r="BH106" s="59">
        <f t="shared" si="62"/>
        <v>815.16850240694885</v>
      </c>
      <c r="BI106" s="59">
        <f ca="1">AVERAGE(OFFSET($BH$3,0,0,'Données projet'!$E$11+1,1))-AVERAGE(OFFSET($H$3,0,0,'Données projet'!$E$11+1,1))</f>
        <v>250.68173853329841</v>
      </c>
      <c r="BJ106" s="59">
        <f t="shared" si="92"/>
        <v>113.25940301904359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42.469882342652866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42.469882342652866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3.2</v>
      </c>
      <c r="BY106" s="12">
        <f>IF('Données projet'!$A$114&gt;35,BY105+BX106-CG105,IF(A106&lt;'Données projet'!$A$114,$BV$205^A106,IF(A106='Données projet'!$A$114,'Données projet'!$B$114,BY105+BX106-CG105)))</f>
        <v>211.59999999999965</v>
      </c>
      <c r="BZ106" s="13">
        <f>BY106*VLOOKUP('Données projet'!$B$12,Paramètres!$A$1:$I$89,3,0)*VLOOKUP('Données projet'!$B$12,Paramètres!$A$1:$I$89,5,0)</f>
        <v>214.56239999999968</v>
      </c>
      <c r="CA106" s="13">
        <f t="shared" si="93"/>
        <v>52.931334320900163</v>
      </c>
      <c r="CB106" s="20">
        <f t="shared" si="64"/>
        <v>465.88492060890059</v>
      </c>
      <c r="CC106" s="59">
        <f t="shared" si="65"/>
        <v>759.2182539422339</v>
      </c>
      <c r="CD106" s="59">
        <f ca="1">AVERAGE(OFFSET($CC$3,0,0,'Données projet'!$E$12+1,1))-AVERAGE(OFFSET($H$3,0,0,'Données projet'!$E$12+1,1))</f>
        <v>211.44496956344943</v>
      </c>
      <c r="CE106" s="59">
        <f t="shared" si="94"/>
        <v>98.543169293276662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37.815648661266259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37.815648661266259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6">
        <f t="shared" si="56"/>
        <v>461.55358572414536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5.6843418860808015E-14</v>
      </c>
      <c r="O107" s="13">
        <f>N107*VLOOKUP('Données projet'!$B$9,Paramètres!$A$1:$I$89,3,0)*VLOOKUP('Données projet'!$B$9,Paramètres!$A$1:$I$89,5,0)</f>
        <v>3.2810021366458389E-14</v>
      </c>
      <c r="P107" s="13">
        <f t="shared" si="87"/>
        <v>5.6117125884464641E-13</v>
      </c>
      <c r="Q107" s="20">
        <f t="shared" si="107"/>
        <v>1.0345173963676741E-12</v>
      </c>
      <c r="R107" s="59">
        <f t="shared" si="55"/>
        <v>293.33333333333434</v>
      </c>
      <c r="S107" s="59">
        <f ca="1">AVERAGE(OFFSET($R$3,0,0,'Données projet'!$E$9+1,1))-AVERAGE(OFFSET($H$3,0,0,'Données projet'!$E$9+1,1))</f>
        <v>162.0530649500439</v>
      </c>
      <c r="T107" s="59">
        <f t="shared" si="88"/>
        <v>450.88267959505049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24.109110307311109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2.6359065250451775E-11</v>
      </c>
      <c r="AC107" s="22">
        <f t="shared" si="57"/>
        <v>24.109110307337467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326.79999999999973</v>
      </c>
      <c r="AJ107" s="13">
        <f>AI107*VLOOKUP('Données projet'!$B$10,Paramètres!$A$1:$I$89,3,0)*VLOOKUP('Données projet'!$B$10,Paramètres!$A$1:$I$89,5,0)</f>
        <v>275.29631999999981</v>
      </c>
      <c r="AK107" s="13">
        <f t="shared" si="89"/>
        <v>65.972008102689301</v>
      </c>
      <c r="AL107" s="20">
        <f t="shared" si="58"/>
        <v>594.37567144551679</v>
      </c>
      <c r="AM107" s="59">
        <f t="shared" si="59"/>
        <v>887.70900477885016</v>
      </c>
      <c r="AN107" s="59">
        <f ca="1">AVERAGE(OFFSET($AM$3,0,0,'Données projet'!$E$10+1,1))-AVERAGE(OFFSET($H$3,0,0,'Données projet'!$E$10+1,1))</f>
        <v>328.34986205643321</v>
      </c>
      <c r="AO107" s="59">
        <f t="shared" si="90"/>
        <v>251.60894449147008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67.8273659080822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67.8273659080822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3.2</v>
      </c>
      <c r="BD107" s="12">
        <f>IF('Données projet'!$A$88&gt;35,BD106+BC107-BL106,IF(A107&lt;'Données projet'!$A$88,$BA$205^A107,IF(A107='Données projet'!$A$88,'Données projet'!$B$88,BD106+BC107-BL106)))</f>
        <v>214.79999999999964</v>
      </c>
      <c r="BE107" s="13">
        <f>BD107*VLOOKUP('Données projet'!$B$11,Paramètres!$A$1:$I$89,3,0)*VLOOKUP('Données projet'!$B$11,Paramètres!$A$1:$I$89,5,0)</f>
        <v>244.61423999999963</v>
      </c>
      <c r="BF107" s="13">
        <f t="shared" si="91"/>
        <v>59.431203693842548</v>
      </c>
      <c r="BG107" s="20">
        <f t="shared" si="61"/>
        <v>529.54581443344182</v>
      </c>
      <c r="BH107" s="59">
        <f t="shared" si="62"/>
        <v>822.87914776677508</v>
      </c>
      <c r="BI107" s="59">
        <f ca="1">AVERAGE(OFFSET($BH$3,0,0,'Données projet'!$E$11+1,1))-AVERAGE(OFFSET($H$3,0,0,'Données projet'!$E$11+1,1))</f>
        <v>250.68173853329841</v>
      </c>
      <c r="BJ107" s="59">
        <f t="shared" si="92"/>
        <v>113.25940301904359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41.637073853983857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41.637073853983857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3.2</v>
      </c>
      <c r="BY107" s="12">
        <f>IF('Données projet'!$A$114&gt;35,BY106+BX107-CG106,IF(A107&lt;'Données projet'!$A$114,$BV$205^A107,IF(A107='Données projet'!$A$114,'Données projet'!$B$114,BY106+BX107-CG106)))</f>
        <v>214.79999999999964</v>
      </c>
      <c r="BZ107" s="13">
        <f>BY107*VLOOKUP('Données projet'!$B$12,Paramètres!$A$1:$I$89,3,0)*VLOOKUP('Données projet'!$B$12,Paramètres!$A$1:$I$89,5,0)</f>
        <v>217.80719999999965</v>
      </c>
      <c r="CA107" s="13">
        <f t="shared" si="93"/>
        <v>53.638013973813926</v>
      </c>
      <c r="CB107" s="20">
        <f t="shared" si="64"/>
        <v>472.76708100439191</v>
      </c>
      <c r="CC107" s="59">
        <f t="shared" si="65"/>
        <v>766.10041433772517</v>
      </c>
      <c r="CD107" s="59">
        <f ca="1">AVERAGE(OFFSET($CC$3,0,0,'Données projet'!$E$12+1,1))-AVERAGE(OFFSET($H$3,0,0,'Données projet'!$E$12+1,1))</f>
        <v>211.44496956344943</v>
      </c>
      <c r="CE107" s="59">
        <f t="shared" si="94"/>
        <v>98.543169293276662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37.074106856287003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37.074106856287003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6">
        <f t="shared" si="56"/>
        <v>463.47439640666329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5.6843418860808015E-14</v>
      </c>
      <c r="O108" s="13">
        <f>N108*VLOOKUP('Données projet'!$B$9,Paramètres!$A$1:$I$89,3,0)*VLOOKUP('Données projet'!$B$9,Paramètres!$A$1:$I$89,5,0)</f>
        <v>3.2810021366458389E-14</v>
      </c>
      <c r="P108" s="13">
        <f t="shared" si="87"/>
        <v>5.6117125884464641E-13</v>
      </c>
      <c r="Q108" s="20">
        <f t="shared" si="107"/>
        <v>1.0345173963676741E-12</v>
      </c>
      <c r="R108" s="59">
        <f t="shared" si="55"/>
        <v>293.33333333333434</v>
      </c>
      <c r="S108" s="59">
        <f ca="1">AVERAGE(OFFSET($R$3,0,0,'Données projet'!$E$9+1,1))-AVERAGE(OFFSET($H$3,0,0,'Données projet'!$E$9+1,1))</f>
        <v>162.0530649500439</v>
      </c>
      <c r="T108" s="59">
        <f t="shared" si="88"/>
        <v>450.88267959505049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23.636345359290019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1.8638673784333131E-11</v>
      </c>
      <c r="AC108" s="22">
        <f t="shared" si="57"/>
        <v>23.636345359308656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331.99999999999972</v>
      </c>
      <c r="AJ108" s="13">
        <f>AI108*VLOOKUP('Données projet'!$B$10,Paramètres!$A$1:$I$89,3,0)*VLOOKUP('Données projet'!$B$10,Paramètres!$A$1:$I$89,5,0)</f>
        <v>279.67679999999979</v>
      </c>
      <c r="AK108" s="13">
        <f t="shared" si="89"/>
        <v>66.898702839782985</v>
      </c>
      <c r="AL108" s="20">
        <f t="shared" si="58"/>
        <v>603.61900077928829</v>
      </c>
      <c r="AM108" s="59">
        <f t="shared" si="59"/>
        <v>896.95233411262166</v>
      </c>
      <c r="AN108" s="59">
        <f ca="1">AVERAGE(OFFSET($AM$3,0,0,'Données projet'!$E$10+1,1))-AVERAGE(OFFSET($H$3,0,0,'Données projet'!$E$10+1,1))</f>
        <v>328.34986205643321</v>
      </c>
      <c r="AO108" s="59">
        <f t="shared" si="90"/>
        <v>251.60894449147008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66.497312633232909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66.497312633232909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3.2</v>
      </c>
      <c r="BD108" s="12">
        <f>IF('Données projet'!$A$88&gt;35,BD107+BC108-BL107,IF(A108&lt;'Données projet'!$A$88,$BA$205^A108,IF(A108='Données projet'!$A$88,'Données projet'!$B$88,BD107+BC108-BL107)))</f>
        <v>217.99999999999963</v>
      </c>
      <c r="BE108" s="13">
        <f>BD108*VLOOKUP('Données projet'!$B$11,Paramètres!$A$1:$I$89,3,0)*VLOOKUP('Données projet'!$B$11,Paramètres!$A$1:$I$89,5,0)</f>
        <v>248.2583999999996</v>
      </c>
      <c r="BF108" s="13">
        <f t="shared" si="91"/>
        <v>60.212851825697193</v>
      </c>
      <c r="BG108" s="20">
        <f t="shared" si="61"/>
        <v>537.25409692975529</v>
      </c>
      <c r="BH108" s="59">
        <f t="shared" si="62"/>
        <v>830.58743026308866</v>
      </c>
      <c r="BI108" s="59">
        <f ca="1">AVERAGE(OFFSET($BH$3,0,0,'Données projet'!$E$11+1,1))-AVERAGE(OFFSET($H$3,0,0,'Données projet'!$E$11+1,1))</f>
        <v>250.68173853329841</v>
      </c>
      <c r="BJ108" s="59">
        <f t="shared" si="92"/>
        <v>113.25940301904359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40.820596231814626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40.820596231814626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3.2</v>
      </c>
      <c r="BY108" s="12">
        <f>IF('Données projet'!$A$114&gt;35,BY107+BX108-CG107,IF(A108&lt;'Données projet'!$A$114,$BV$205^A108,IF(A108='Données projet'!$A$114,'Données projet'!$B$114,BY107+BX108-CG107)))</f>
        <v>217.99999999999963</v>
      </c>
      <c r="BZ108" s="13">
        <f>BY108*VLOOKUP('Données projet'!$B$12,Paramètres!$A$1:$I$89,3,0)*VLOOKUP('Données projet'!$B$12,Paramètres!$A$1:$I$89,5,0)</f>
        <v>221.05199999999962</v>
      </c>
      <c r="CA108" s="13">
        <f t="shared" si="93"/>
        <v>54.343469202939154</v>
      </c>
      <c r="CB108" s="20">
        <f t="shared" si="64"/>
        <v>479.647108861785</v>
      </c>
      <c r="CC108" s="59">
        <f t="shared" si="65"/>
        <v>772.98044219511826</v>
      </c>
      <c r="CD108" s="59">
        <f ca="1">AVERAGE(OFFSET($CC$3,0,0,'Données projet'!$E$12+1,1))-AVERAGE(OFFSET($H$3,0,0,'Données projet'!$E$12+1,1))</f>
        <v>211.44496956344943</v>
      </c>
      <c r="CE108" s="59">
        <f t="shared" si="94"/>
        <v>98.543169293276662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36.347106233807551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36.347106233807551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6">
        <f t="shared" si="56"/>
        <v>465.39479478880332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5.6843418860808015E-14</v>
      </c>
      <c r="O109" s="13">
        <f>N109*VLOOKUP('Données projet'!$B$9,Paramètres!$A$1:$I$89,3,0)*VLOOKUP('Données projet'!$B$9,Paramètres!$A$1:$I$89,5,0)</f>
        <v>3.2810021366458389E-14</v>
      </c>
      <c r="P109" s="13">
        <f t="shared" si="87"/>
        <v>5.6117125884464641E-13</v>
      </c>
      <c r="Q109" s="20">
        <f t="shared" si="107"/>
        <v>1.0345173963676741E-12</v>
      </c>
      <c r="R109" s="59">
        <f t="shared" si="55"/>
        <v>293.33333333333434</v>
      </c>
      <c r="S109" s="59">
        <f ca="1">AVERAGE(OFFSET($R$3,0,0,'Données projet'!$E$9+1,1))-AVERAGE(OFFSET($H$3,0,0,'Données projet'!$E$9+1,1))</f>
        <v>162.0530649500439</v>
      </c>
      <c r="T109" s="59">
        <f t="shared" si="88"/>
        <v>450.88267959505049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23.172851043541474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1.3179532625225887E-11</v>
      </c>
      <c r="AC109" s="22">
        <f t="shared" si="57"/>
        <v>23.172851043554655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337.1999999999997</v>
      </c>
      <c r="AJ109" s="13">
        <f>AI109*VLOOKUP('Données projet'!$B$10,Paramètres!$A$1:$I$89,3,0)*VLOOKUP('Données projet'!$B$10,Paramètres!$A$1:$I$89,5,0)</f>
        <v>284.05727999999976</v>
      </c>
      <c r="AK109" s="13">
        <f t="shared" si="89"/>
        <v>67.823709555728385</v>
      </c>
      <c r="AL109" s="20">
        <f t="shared" si="58"/>
        <v>612.85939014289318</v>
      </c>
      <c r="AM109" s="59">
        <f t="shared" si="59"/>
        <v>906.19272347622655</v>
      </c>
      <c r="AN109" s="59">
        <f ca="1">AVERAGE(OFFSET($AM$3,0,0,'Données projet'!$E$10+1,1))-AVERAGE(OFFSET($H$3,0,0,'Données projet'!$E$10+1,1))</f>
        <v>328.34986205643321</v>
      </c>
      <c r="AO109" s="59">
        <f t="shared" si="90"/>
        <v>251.60894449147008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65.193340891851008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65.193340891851008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3.2</v>
      </c>
      <c r="BD109" s="12">
        <f>IF('Données projet'!$A$88&gt;35,BD108+BC109-BL108,IF(A109&lt;'Données projet'!$A$88,$BA$205^A109,IF(A109='Données projet'!$A$88,'Données projet'!$B$88,BD108+BC109-BL108)))</f>
        <v>221.19999999999962</v>
      </c>
      <c r="BE109" s="13">
        <f>BD109*VLOOKUP('Données projet'!$B$11,Paramètres!$A$1:$I$89,3,0)*VLOOKUP('Données projet'!$B$11,Paramètres!$A$1:$I$89,5,0)</f>
        <v>251.90255999999957</v>
      </c>
      <c r="BF109" s="13">
        <f t="shared" si="91"/>
        <v>60.993165504558611</v>
      </c>
      <c r="BG109" s="20">
        <f t="shared" si="61"/>
        <v>544.96005525377211</v>
      </c>
      <c r="BH109" s="59">
        <f t="shared" si="62"/>
        <v>838.29338858710548</v>
      </c>
      <c r="BI109" s="59">
        <f ca="1">AVERAGE(OFFSET($BH$3,0,0,'Données projet'!$E$11+1,1))-AVERAGE(OFFSET($H$3,0,0,'Données projet'!$E$11+1,1))</f>
        <v>250.68173853329841</v>
      </c>
      <c r="BJ109" s="59">
        <f t="shared" si="92"/>
        <v>113.25940301904359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40.020129237813961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40.020129237813961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3.2</v>
      </c>
      <c r="BY109" s="12">
        <f>IF('Données projet'!$A$114&gt;35,BY108+BX109-CG108,IF(A109&lt;'Données projet'!$A$114,$BV$205^A109,IF(A109='Données projet'!$A$114,'Données projet'!$B$114,BY108+BX109-CG108)))</f>
        <v>221.19999999999962</v>
      </c>
      <c r="BZ109" s="13">
        <f>BY109*VLOOKUP('Données projet'!$B$12,Paramètres!$A$1:$I$89,3,0)*VLOOKUP('Données projet'!$B$12,Paramètres!$A$1:$I$89,5,0)</f>
        <v>224.29679999999962</v>
      </c>
      <c r="CA109" s="13">
        <f t="shared" si="93"/>
        <v>55.047720057866073</v>
      </c>
      <c r="CB109" s="20">
        <f t="shared" si="64"/>
        <v>486.52503910078264</v>
      </c>
      <c r="CC109" s="59">
        <f t="shared" si="65"/>
        <v>779.85837243411595</v>
      </c>
      <c r="CD109" s="59">
        <f ca="1">AVERAGE(OFFSET($CC$3,0,0,'Données projet'!$E$12+1,1))-AVERAGE(OFFSET($H$3,0,0,'Données projet'!$E$12+1,1))</f>
        <v>211.44496956344943</v>
      </c>
      <c r="CE109" s="59">
        <f t="shared" si="94"/>
        <v>98.543169293276662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35.634361650108325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35.634361650108325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6">
        <f t="shared" si="56"/>
        <v>467.3147852106901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5.6843418860808015E-14</v>
      </c>
      <c r="O110" s="13">
        <f>N110*VLOOKUP('Données projet'!$B$9,Paramètres!$A$1:$I$89,3,0)*VLOOKUP('Données projet'!$B$9,Paramètres!$A$1:$I$89,5,0)</f>
        <v>3.2810021366458389E-14</v>
      </c>
      <c r="P110" s="13">
        <f t="shared" si="87"/>
        <v>5.6117125884464641E-13</v>
      </c>
      <c r="Q110" s="20">
        <f t="shared" si="107"/>
        <v>1.0345173963676741E-12</v>
      </c>
      <c r="R110" s="59">
        <f t="shared" si="55"/>
        <v>293.33333333333434</v>
      </c>
      <c r="S110" s="59">
        <f ca="1">AVERAGE(OFFSET($R$3,0,0,'Données projet'!$E$9+1,1))-AVERAGE(OFFSET($H$3,0,0,'Données projet'!$E$9+1,1))</f>
        <v>162.0530649500439</v>
      </c>
      <c r="T110" s="59">
        <f t="shared" si="88"/>
        <v>450.88267959505049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22.718445568621142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9.3193368921665657E-12</v>
      </c>
      <c r="AC110" s="22">
        <f t="shared" si="57"/>
        <v>22.718445568630461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342.39999999999969</v>
      </c>
      <c r="AJ110" s="13">
        <f>AI110*VLOOKUP('Données projet'!$B$10,Paramètres!$A$1:$I$89,3,0)*VLOOKUP('Données projet'!$B$10,Paramètres!$A$1:$I$89,5,0)</f>
        <v>288.43775999999974</v>
      </c>
      <c r="AK110" s="13">
        <f t="shared" si="89"/>
        <v>68.747057287972595</v>
      </c>
      <c r="AL110" s="20">
        <f t="shared" si="58"/>
        <v>622.09689010988507</v>
      </c>
      <c r="AM110" s="59">
        <f t="shared" si="59"/>
        <v>915.43022344321844</v>
      </c>
      <c r="AN110" s="59">
        <f ca="1">AVERAGE(OFFSET($AM$3,0,0,'Données projet'!$E$10+1,1))-AVERAGE(OFFSET($H$3,0,0,'Données projet'!$E$10+1,1))</f>
        <v>328.34986205643321</v>
      </c>
      <c r="AO110" s="59">
        <f t="shared" si="90"/>
        <v>251.60894449147008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63.914939240973382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63.914939240973382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3.2</v>
      </c>
      <c r="BD110" s="12">
        <f>IF('Données projet'!$A$88&gt;35,BD109+BC110-BL109,IF(A110&lt;'Données projet'!$A$88,$BA$205^A110,IF(A110='Données projet'!$A$88,'Données projet'!$B$88,BD109+BC110-BL109)))</f>
        <v>224.39999999999961</v>
      </c>
      <c r="BE110" s="13">
        <f>BD110*VLOOKUP('Données projet'!$B$11,Paramètres!$A$1:$I$89,3,0)*VLOOKUP('Données projet'!$B$11,Paramètres!$A$1:$I$89,5,0)</f>
        <v>255.54671999999954</v>
      </c>
      <c r="BF110" s="13">
        <f t="shared" si="91"/>
        <v>61.772166265822342</v>
      </c>
      <c r="BG110" s="20">
        <f t="shared" si="61"/>
        <v>552.66372691297317</v>
      </c>
      <c r="BH110" s="59">
        <f t="shared" si="62"/>
        <v>845.99706024630655</v>
      </c>
      <c r="BI110" s="59">
        <f ca="1">AVERAGE(OFFSET($BH$3,0,0,'Données projet'!$E$11+1,1))-AVERAGE(OFFSET($H$3,0,0,'Données projet'!$E$11+1,1))</f>
        <v>250.68173853329841</v>
      </c>
      <c r="BJ110" s="59">
        <f t="shared" si="92"/>
        <v>113.25940301904359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39.235358913328987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39.235358913328987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3.2</v>
      </c>
      <c r="BY110" s="12">
        <f>IF('Données projet'!$A$114&gt;35,BY109+BX110-CG109,IF(A110&lt;'Données projet'!$A$114,$BV$205^A110,IF(A110='Données projet'!$A$114,'Données projet'!$B$114,BY109+BX110-CG109)))</f>
        <v>224.39999999999961</v>
      </c>
      <c r="BZ110" s="13">
        <f>BY110*VLOOKUP('Données projet'!$B$12,Paramètres!$A$1:$I$89,3,0)*VLOOKUP('Données projet'!$B$12,Paramètres!$A$1:$I$89,5,0)</f>
        <v>227.54159999999962</v>
      </c>
      <c r="CA110" s="13">
        <f t="shared" si="93"/>
        <v>55.750785974779419</v>
      </c>
      <c r="CB110" s="20">
        <f t="shared" si="64"/>
        <v>493.40090557274016</v>
      </c>
      <c r="CC110" s="59">
        <f t="shared" si="65"/>
        <v>786.73423890607341</v>
      </c>
      <c r="CD110" s="59">
        <f ca="1">AVERAGE(OFFSET($CC$3,0,0,'Données projet'!$E$12+1,1))-AVERAGE(OFFSET($H$3,0,0,'Données projet'!$E$12+1,1))</f>
        <v>211.44496956344943</v>
      </c>
      <c r="CE110" s="59">
        <f t="shared" si="94"/>
        <v>98.543169293276662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34.935593552964171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34.935593552964171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6">
        <f t="shared" si="56"/>
        <v>469.23437192664602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5.6843418860808015E-14</v>
      </c>
      <c r="O111" s="13">
        <f>N111*VLOOKUP('Données projet'!$B$9,Paramètres!$A$1:$I$89,3,0)*VLOOKUP('Données projet'!$B$9,Paramètres!$A$1:$I$89,5,0)</f>
        <v>3.2810021366458389E-14</v>
      </c>
      <c r="P111" s="13">
        <f t="shared" si="87"/>
        <v>5.6117125884464641E-13</v>
      </c>
      <c r="Q111" s="20">
        <f t="shared" si="107"/>
        <v>1.0345173963676741E-12</v>
      </c>
      <c r="R111" s="59">
        <f t="shared" si="55"/>
        <v>293.33333333333434</v>
      </c>
      <c r="S111" s="59">
        <f ca="1">AVERAGE(OFFSET($R$3,0,0,'Données projet'!$E$9+1,1))-AVERAGE(OFFSET($H$3,0,0,'Données projet'!$E$9+1,1))</f>
        <v>162.0530649500439</v>
      </c>
      <c r="T111" s="59">
        <f t="shared" si="88"/>
        <v>450.88267959505049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22.272950707904023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6.5897663126129437E-12</v>
      </c>
      <c r="AC111" s="22">
        <f t="shared" si="57"/>
        <v>22.272950707910613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347.59999999999968</v>
      </c>
      <c r="AJ111" s="13">
        <f>AI111*VLOOKUP('Données projet'!$B$10,Paramètres!$A$1:$I$89,3,0)*VLOOKUP('Données projet'!$B$10,Paramètres!$A$1:$I$89,5,0)</f>
        <v>292.81823999999978</v>
      </c>
      <c r="AK111" s="13">
        <f t="shared" si="89"/>
        <v>69.668774141370633</v>
      </c>
      <c r="AL111" s="20">
        <f t="shared" si="58"/>
        <v>631.33154962955348</v>
      </c>
      <c r="AM111" s="59">
        <f t="shared" si="59"/>
        <v>924.66488296288685</v>
      </c>
      <c r="AN111" s="59">
        <f ca="1">AVERAGE(OFFSET($AM$3,0,0,'Données projet'!$E$10+1,1))-AVERAGE(OFFSET($H$3,0,0,'Données projet'!$E$10+1,1))</f>
        <v>328.34986205643321</v>
      </c>
      <c r="AO111" s="59">
        <f t="shared" si="90"/>
        <v>251.60894449147008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62.661606266721456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62.661606266721456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3.2</v>
      </c>
      <c r="BD111" s="12">
        <f>IF('Données projet'!$A$88&gt;35,BD110+BC111-BL110,IF(A111&lt;'Données projet'!$A$88,$BA$205^A111,IF(A111='Données projet'!$A$88,'Données projet'!$B$88,BD110+BC111-BL110)))</f>
        <v>227.5999999999996</v>
      </c>
      <c r="BE111" s="13">
        <f>BD111*VLOOKUP('Données projet'!$B$11,Paramètres!$A$1:$I$89,3,0)*VLOOKUP('Données projet'!$B$11,Paramètres!$A$1:$I$89,5,0)</f>
        <v>259.19087999999954</v>
      </c>
      <c r="BF111" s="13">
        <f t="shared" si="91"/>
        <v>62.549874995410789</v>
      </c>
      <c r="BG111" s="20">
        <f t="shared" si="61"/>
        <v>560.36514828367297</v>
      </c>
      <c r="BH111" s="59">
        <f t="shared" si="62"/>
        <v>853.69848161700634</v>
      </c>
      <c r="BI111" s="59">
        <f ca="1">AVERAGE(OFFSET($BH$3,0,0,'Données projet'!$E$11+1,1))-AVERAGE(OFFSET($H$3,0,0,'Données projet'!$E$11+1,1))</f>
        <v>250.68173853329841</v>
      </c>
      <c r="BJ111" s="59">
        <f t="shared" si="92"/>
        <v>113.25940301904359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38.465977456244531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38.465977456244531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3.2</v>
      </c>
      <c r="BY111" s="12">
        <f>IF('Données projet'!$A$114&gt;35,BY110+BX111-CG110,IF(A111&lt;'Données projet'!$A$114,$BV$205^A111,IF(A111='Données projet'!$A$114,'Données projet'!$B$114,BY110+BX111-CG110)))</f>
        <v>227.5999999999996</v>
      </c>
      <c r="BZ111" s="13">
        <f>BY111*VLOOKUP('Données projet'!$B$12,Paramètres!$A$1:$I$89,3,0)*VLOOKUP('Données projet'!$B$12,Paramètres!$A$1:$I$89,5,0)</f>
        <v>230.78639999999962</v>
      </c>
      <c r="CA111" s="13">
        <f t="shared" si="93"/>
        <v>56.452685803699502</v>
      </c>
      <c r="CB111" s="20">
        <f t="shared" si="64"/>
        <v>500.27474110810925</v>
      </c>
      <c r="CC111" s="59">
        <f t="shared" si="65"/>
        <v>793.60807444144257</v>
      </c>
      <c r="CD111" s="59">
        <f ca="1">AVERAGE(OFFSET($CC$3,0,0,'Données projet'!$E$12+1,1))-AVERAGE(OFFSET($H$3,0,0,'Données projet'!$E$12+1,1))</f>
        <v>211.44496956344943</v>
      </c>
      <c r="CE111" s="59">
        <f t="shared" si="94"/>
        <v>98.543169293276662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34.250527871998564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34.250527871998564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6">
        <f t="shared" si="56"/>
        <v>471.15355910766601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5.6843418860808015E-14</v>
      </c>
      <c r="O112" s="13">
        <f>N112*VLOOKUP('Données projet'!$B$9,Paramètres!$A$1:$I$89,3,0)*VLOOKUP('Données projet'!$B$9,Paramètres!$A$1:$I$89,5,0)</f>
        <v>3.2810021366458389E-14</v>
      </c>
      <c r="P112" s="13">
        <f t="shared" si="87"/>
        <v>5.6117125884464641E-13</v>
      </c>
      <c r="Q112" s="20">
        <f t="shared" si="107"/>
        <v>1.0345173963676741E-12</v>
      </c>
      <c r="R112" s="59">
        <f t="shared" si="55"/>
        <v>293.33333333333434</v>
      </c>
      <c r="S112" s="59">
        <f ca="1">AVERAGE(OFFSET($R$3,0,0,'Données projet'!$E$9+1,1))-AVERAGE(OFFSET($H$3,0,0,'Données projet'!$E$9+1,1))</f>
        <v>162.0530649500439</v>
      </c>
      <c r="T112" s="59">
        <f t="shared" si="88"/>
        <v>450.88267959505049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21.836191729680536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4.6596684460832828E-12</v>
      </c>
      <c r="AC112" s="22">
        <f t="shared" si="57"/>
        <v>21.836191729685197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352.79999999999967</v>
      </c>
      <c r="AJ112" s="13">
        <f>AI112*VLOOKUP('Données projet'!$B$10,Paramètres!$A$1:$I$89,3,0)*VLOOKUP('Données projet'!$B$10,Paramètres!$A$1:$I$89,5,0)</f>
        <v>297.19871999999975</v>
      </c>
      <c r="AK112" s="13">
        <f t="shared" si="89"/>
        <v>70.588887331631497</v>
      </c>
      <c r="AL112" s="20">
        <f t="shared" si="58"/>
        <v>640.56341610259108</v>
      </c>
      <c r="AM112" s="59">
        <f t="shared" si="59"/>
        <v>933.89674943592445</v>
      </c>
      <c r="AN112" s="59">
        <f ca="1">AVERAGE(OFFSET($AM$3,0,0,'Données projet'!$E$10+1,1))-AVERAGE(OFFSET($H$3,0,0,'Données projet'!$E$10+1,1))</f>
        <v>328.34986205643321</v>
      </c>
      <c r="AO112" s="59">
        <f t="shared" si="90"/>
        <v>251.60894449147008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61.432850387636982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61.432850387636982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3.2</v>
      </c>
      <c r="BD112" s="12">
        <f>IF('Données projet'!$A$88&gt;35,BD111+BC112-BL111,IF(A112&lt;'Données projet'!$A$88,$BA$205^A112,IF(A112='Données projet'!$A$88,'Données projet'!$B$88,BD111+BC112-BL111)))</f>
        <v>230.79999999999959</v>
      </c>
      <c r="BE112" s="13">
        <f>BD112*VLOOKUP('Données projet'!$B$11,Paramètres!$A$1:$I$89,3,0)*VLOOKUP('Données projet'!$B$11,Paramètres!$A$1:$I$89,5,0)</f>
        <v>262.83503999999954</v>
      </c>
      <c r="BF112" s="13">
        <f t="shared" si="91"/>
        <v>63.32631195821088</v>
      </c>
      <c r="BG112" s="20">
        <f t="shared" si="61"/>
        <v>568.06435466054984</v>
      </c>
      <c r="BH112" s="59">
        <f t="shared" si="62"/>
        <v>861.39768799388321</v>
      </c>
      <c r="BI112" s="59">
        <f ca="1">AVERAGE(OFFSET($BH$3,0,0,'Données projet'!$E$11+1,1))-AVERAGE(OFFSET($H$3,0,0,'Données projet'!$E$11+1,1))</f>
        <v>250.68173853329841</v>
      </c>
      <c r="BJ112" s="59">
        <f t="shared" si="92"/>
        <v>113.25940301904359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37.711683100257147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37.711683100257147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3.2</v>
      </c>
      <c r="BY112" s="12">
        <f>IF('Données projet'!$A$114&gt;35,BY111+BX112-CG111,IF(A112&lt;'Données projet'!$A$114,$BV$205^A112,IF(A112='Données projet'!$A$114,'Données projet'!$B$114,BY111+BX112-CG111)))</f>
        <v>230.79999999999959</v>
      </c>
      <c r="BZ112" s="13">
        <f>BY112*VLOOKUP('Données projet'!$B$12,Paramètres!$A$1:$I$89,3,0)*VLOOKUP('Données projet'!$B$12,Paramètres!$A$1:$I$89,5,0)</f>
        <v>234.03119999999959</v>
      </c>
      <c r="CA112" s="13">
        <f t="shared" si="93"/>
        <v>57.153437834147972</v>
      </c>
      <c r="CB112" s="20">
        <f t="shared" si="64"/>
        <v>507.1465775611403</v>
      </c>
      <c r="CC112" s="59">
        <f t="shared" si="65"/>
        <v>800.47991089447362</v>
      </c>
      <c r="CD112" s="59">
        <f ca="1">AVERAGE(OFFSET($CC$3,0,0,'Données projet'!$E$12+1,1))-AVERAGE(OFFSET($H$3,0,0,'Données projet'!$E$12+1,1))</f>
        <v>211.44496956344943</v>
      </c>
      <c r="CE112" s="59">
        <f t="shared" si="94"/>
        <v>98.543169293276662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33.578895911187885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33.578895911187885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6">
        <f t="shared" si="56"/>
        <v>473.0723508437984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5.6843418860808015E-14</v>
      </c>
      <c r="O113" s="13">
        <f>N113*VLOOKUP('Données projet'!$B$9,Paramètres!$A$1:$I$89,3,0)*VLOOKUP('Données projet'!$B$9,Paramètres!$A$1:$I$89,5,0)</f>
        <v>3.2810021366458389E-14</v>
      </c>
      <c r="P113" s="13">
        <f t="shared" si="87"/>
        <v>5.6117125884464641E-13</v>
      </c>
      <c r="Q113" s="20">
        <f t="shared" si="107"/>
        <v>1.0345173963676741E-12</v>
      </c>
      <c r="R113" s="59">
        <f t="shared" si="55"/>
        <v>293.33333333333434</v>
      </c>
      <c r="S113" s="59">
        <f ca="1">AVERAGE(OFFSET($R$3,0,0,'Données projet'!$E$9+1,1))-AVERAGE(OFFSET($H$3,0,0,'Données projet'!$E$9+1,1))</f>
        <v>162.0530649500439</v>
      </c>
      <c r="T113" s="59">
        <f t="shared" si="88"/>
        <v>450.88267959505049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21.407997328623338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3.2948831563064718E-12</v>
      </c>
      <c r="AC113" s="22">
        <f t="shared" si="57"/>
        <v>21.407997328626632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357.99999999999966</v>
      </c>
      <c r="AJ113" s="13">
        <f>AI113*VLOOKUP('Données projet'!$B$10,Paramètres!$A$1:$I$89,3,0)*VLOOKUP('Données projet'!$B$10,Paramètres!$A$1:$I$89,5,0)</f>
        <v>301.57919999999973</v>
      </c>
      <c r="AK113" s="13">
        <f t="shared" si="89"/>
        <v>71.507423226130868</v>
      </c>
      <c r="AL113" s="20">
        <f t="shared" si="58"/>
        <v>649.79253545217739</v>
      </c>
      <c r="AM113" s="59">
        <f t="shared" si="59"/>
        <v>943.12586878551065</v>
      </c>
      <c r="AN113" s="59">
        <f ca="1">AVERAGE(OFFSET($AM$3,0,0,'Données projet'!$E$10+1,1))-AVERAGE(OFFSET($H$3,0,0,'Données projet'!$E$10+1,1))</f>
        <v>328.34986205643321</v>
      </c>
      <c r="AO113" s="59">
        <f t="shared" si="90"/>
        <v>251.60894449147008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0.36549999999999999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77.587122623472027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77.587122623472027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234</v>
      </c>
      <c r="BB113" s="12">
        <f>VLOOKUP(A113,'Données projet'!$A$87:$I$107,9,0)</f>
        <v>3.2</v>
      </c>
      <c r="BC113" s="12">
        <f t="array" ref="BC113">INDEX(BB:BB,MIN(IF(ISNUMBER(BB113:BB309),ROW(BB113:BB309),"")))</f>
        <v>3.2</v>
      </c>
      <c r="BD113" s="12">
        <f>IF('Données projet'!$A$88&gt;35,BD112+BC113-BL112,IF(A113&lt;'Données projet'!$A$88,$BA$205^A113,IF(A113='Données projet'!$A$88,'Données projet'!$B$88,BD112+BC113-BL112)))</f>
        <v>233.99999999999957</v>
      </c>
      <c r="BE113" s="13">
        <f>BD113*VLOOKUP('Données projet'!$B$11,Paramètres!$A$1:$I$89,3,0)*VLOOKUP('Données projet'!$B$11,Paramètres!$A$1:$I$89,5,0)</f>
        <v>266.47919999999954</v>
      </c>
      <c r="BF113" s="13">
        <f t="shared" si="91"/>
        <v>64.101496824889566</v>
      </c>
      <c r="BG113" s="20">
        <f t="shared" si="61"/>
        <v>575.76138030334857</v>
      </c>
      <c r="BH113" s="59">
        <f t="shared" si="62"/>
        <v>869.09471363668194</v>
      </c>
      <c r="BI113" s="59">
        <f ca="1">AVERAGE(OFFSET($BH$3,0,0,'Données projet'!$E$11+1,1))-AVERAGE(OFFSET($H$3,0,0,'Données projet'!$E$11+1,1))</f>
        <v>250.68173853329841</v>
      </c>
      <c r="BJ113" s="59">
        <f t="shared" si="92"/>
        <v>113.25940301904359</v>
      </c>
      <c r="BK113" s="15">
        <f>IF(ISNA(VLOOKUP(A113,'Données projet'!$A$87:$I$107,3,0)),0,VLOOKUP(A113,'Données projet'!$A$87:$I$107,3,0))</f>
        <v>9</v>
      </c>
      <c r="BL113" s="15">
        <f>IF(ISNA(VLOOKUP(A113,'Données projet'!$A$87:$I$107,4,0)),0,VLOOKUP(A113,'Données projet'!$A$87:$I$107,4,0))</f>
        <v>27</v>
      </c>
      <c r="BM113" s="16">
        <f>IF(ISNA(VLOOKUP(A113,'Données projet'!$A$87:$I$107,5,0)),0%,VLOOKUP(A113,'Données projet'!$A$87:$I$107,5,0)*VLOOKUP('Données projet'!$B$11,Paramètres!$A$1:$I$89,7,0))</f>
        <v>0.36549999999999999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49.39573005726789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49.39573005726789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234</v>
      </c>
      <c r="BW113" s="12">
        <f>VLOOKUP(A113,'Données projet'!$A$113:$I$133,9,0)</f>
        <v>3.2</v>
      </c>
      <c r="BX113" s="12">
        <f t="array" ref="BX113">INDEX(BW:BW,MIN(IF(ISNUMBER(BW113:BW309),ROW(BW113:BW309),"")))</f>
        <v>3.2</v>
      </c>
      <c r="BY113" s="12">
        <f>IF('Données projet'!$A$114&gt;35,BY112+BX113-CG112,IF(A113&lt;'Données projet'!$A$114,$BV$205^A113,IF(A113='Données projet'!$A$114,'Données projet'!$B$114,BY112+BX113-CG112)))</f>
        <v>233.99999999999957</v>
      </c>
      <c r="BZ113" s="13">
        <f>BY113*VLOOKUP('Données projet'!$B$12,Paramètres!$A$1:$I$89,3,0)*VLOOKUP('Données projet'!$B$12,Paramètres!$A$1:$I$89,5,0)</f>
        <v>237.27599999999961</v>
      </c>
      <c r="CA113" s="13">
        <f t="shared" si="93"/>
        <v>57.853059819349461</v>
      </c>
      <c r="CB113" s="20">
        <f t="shared" si="64"/>
        <v>514.01644585203292</v>
      </c>
      <c r="CC113" s="59">
        <f t="shared" si="65"/>
        <v>807.34977918536629</v>
      </c>
      <c r="CD113" s="59">
        <f ca="1">AVERAGE(OFFSET($CC$3,0,0,'Données projet'!$E$12+1,1))-AVERAGE(OFFSET($H$3,0,0,'Données projet'!$E$12+1,1))</f>
        <v>211.44496956344943</v>
      </c>
      <c r="CE113" s="59">
        <f t="shared" si="94"/>
        <v>98.543169293276662</v>
      </c>
      <c r="CF113" s="15">
        <f>IF(ISNA(VLOOKUP(A113,'Données projet'!$A$113:$I$133,3,0)),0,VLOOKUP(A113,'Données projet'!$A$113:$I$133,3,0))</f>
        <v>9</v>
      </c>
      <c r="CG113" s="15">
        <f>IF(ISNA(VLOOKUP(A113,'Données projet'!$A$113:$I$133,4,0)),0,VLOOKUP(A113,'Données projet'!$A$113:$I$133,4,0))</f>
        <v>27</v>
      </c>
      <c r="CH113" s="16">
        <f>IF(ISNA(VLOOKUP(A113,'Données projet'!$A$113:$I$133,5,0)),0%,VLOOKUP(A113,'Données projet'!$A$113:$I$133,5,0)*VLOOKUP('Données projet'!$B$12,Paramètres!$A$1:$I$89,7,0))</f>
        <v>0.36549999999999999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43.982499366060466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43.982499366060466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6">
        <f t="shared" si="56"/>
        <v>474.99075114643767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5.6843418860808015E-14</v>
      </c>
      <c r="O114" s="13">
        <f>N114*VLOOKUP('Données projet'!$B$9,Paramètres!$A$1:$I$89,3,0)*VLOOKUP('Données projet'!$B$9,Paramètres!$A$1:$I$89,5,0)</f>
        <v>3.2810021366458389E-14</v>
      </c>
      <c r="P114" s="13">
        <f t="shared" si="87"/>
        <v>5.6117125884464641E-13</v>
      </c>
      <c r="Q114" s="20">
        <f t="shared" si="107"/>
        <v>1.0345173963676741E-12</v>
      </c>
      <c r="R114" s="59">
        <f t="shared" si="55"/>
        <v>293.33333333333434</v>
      </c>
      <c r="S114" s="59">
        <f ca="1">AVERAGE(OFFSET($R$3,0,0,'Données projet'!$E$9+1,1))-AVERAGE(OFFSET($H$3,0,0,'Données projet'!$E$9+1,1))</f>
        <v>162.0530649500439</v>
      </c>
      <c r="T114" s="59">
        <f t="shared" si="88"/>
        <v>450.88267959505049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20.988199558598076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2.3298342230416414E-12</v>
      </c>
      <c r="AC114" s="22">
        <f t="shared" si="57"/>
        <v>20.988199558600407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311.49999999999966</v>
      </c>
      <c r="AJ114" s="13">
        <f>AI114*VLOOKUP('Données projet'!$B$10,Paramètres!$A$1:$I$89,3,0)*VLOOKUP('Données projet'!$B$10,Paramètres!$A$1:$I$89,5,0)</f>
        <v>262.40759999999977</v>
      </c>
      <c r="AK114" s="13">
        <f t="shared" si="89"/>
        <v>63.235305349754363</v>
      </c>
      <c r="AL114" s="20">
        <f t="shared" si="58"/>
        <v>567.16139348415504</v>
      </c>
      <c r="AM114" s="59">
        <f t="shared" si="59"/>
        <v>860.4947268174883</v>
      </c>
      <c r="AN114" s="59">
        <f ca="1">AVERAGE(OFFSET($AM$3,0,0,'Données projet'!$E$10+1,1))-AVERAGE(OFFSET($H$3,0,0,'Données projet'!$E$10+1,1))</f>
        <v>328.34986205643321</v>
      </c>
      <c r="AO114" s="59">
        <f t="shared" si="90"/>
        <v>251.60894449147008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76.065686472297742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76.065686472297742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2.6</v>
      </c>
      <c r="BD114" s="12">
        <f>IF('Données projet'!$A$88&gt;35,BD113+BC114-BL113,IF(A114&lt;'Données projet'!$A$88,$BA$205^A114,IF(A114='Données projet'!$A$88,'Données projet'!$B$88,BD113+BC114-BL113)))</f>
        <v>209.59999999999957</v>
      </c>
      <c r="BE114" s="13">
        <f>BD114*VLOOKUP('Données projet'!$B$11,Paramètres!$A$1:$I$89,3,0)*VLOOKUP('Données projet'!$B$11,Paramètres!$A$1:$I$89,5,0)</f>
        <v>238.69247999999948</v>
      </c>
      <c r="BF114" s="13">
        <f t="shared" si="91"/>
        <v>58.158121804486157</v>
      </c>
      <c r="BG114" s="20">
        <f t="shared" si="61"/>
        <v>517.01479814281254</v>
      </c>
      <c r="BH114" s="59">
        <f t="shared" si="62"/>
        <v>810.34813147614591</v>
      </c>
      <c r="BI114" s="59">
        <f ca="1">AVERAGE(OFFSET($BH$3,0,0,'Données projet'!$E$11+1,1))-AVERAGE(OFFSET($H$3,0,0,'Données projet'!$E$11+1,1))</f>
        <v>250.68173853329841</v>
      </c>
      <c r="BJ114" s="59">
        <f t="shared" si="92"/>
        <v>113.25940301904359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48.42710991926527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48.42710991926527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2.6</v>
      </c>
      <c r="BY114" s="12">
        <f>IF('Données projet'!$A$114&gt;35,BY113+BX114-CG113,IF(A114&lt;'Données projet'!$A$114,$BV$205^A114,IF(A114='Données projet'!$A$114,'Données projet'!$B$114,BY113+BX114-CG113)))</f>
        <v>209.59999999999957</v>
      </c>
      <c r="BZ114" s="13">
        <f>BY114*VLOOKUP('Données projet'!$B$12,Paramètres!$A$1:$I$89,3,0)*VLOOKUP('Données projet'!$B$12,Paramètres!$A$1:$I$89,5,0)</f>
        <v>212.53439999999958</v>
      </c>
      <c r="CA114" s="13">
        <f t="shared" si="93"/>
        <v>52.489028593627495</v>
      </c>
      <c r="CB114" s="20">
        <f t="shared" si="64"/>
        <v>461.58247146723374</v>
      </c>
      <c r="CC114" s="59">
        <f t="shared" si="65"/>
        <v>754.915804800567</v>
      </c>
      <c r="CD114" s="59">
        <f ca="1">AVERAGE(OFFSET($CC$3,0,0,'Données projet'!$E$12+1,1))-AVERAGE(OFFSET($H$3,0,0,'Données projet'!$E$12+1,1))</f>
        <v>211.44496956344943</v>
      </c>
      <c r="CE114" s="59">
        <f t="shared" si="94"/>
        <v>98.543169293276662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43.120029380167722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43.120029380167722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6">
        <f t="shared" si="56"/>
        <v>476.90876395053112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5.6843418860808015E-14</v>
      </c>
      <c r="O115" s="13">
        <f>N115*VLOOKUP('Données projet'!$B$9,Paramètres!$A$1:$I$89,3,0)*VLOOKUP('Données projet'!$B$9,Paramètres!$A$1:$I$89,5,0)</f>
        <v>3.2810021366458389E-14</v>
      </c>
      <c r="P115" s="13">
        <f t="shared" si="87"/>
        <v>5.6117125884464641E-13</v>
      </c>
      <c r="Q115" s="20">
        <f t="shared" si="107"/>
        <v>1.0345173963676741E-12</v>
      </c>
      <c r="R115" s="59">
        <f t="shared" si="55"/>
        <v>293.33333333333434</v>
      </c>
      <c r="S115" s="59">
        <f ca="1">AVERAGE(OFFSET($R$3,0,0,'Données projet'!$E$9+1,1))-AVERAGE(OFFSET($H$3,0,0,'Données projet'!$E$9+1,1))</f>
        <v>162.0530649500439</v>
      </c>
      <c r="T115" s="59">
        <f t="shared" si="88"/>
        <v>450.88267959505049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20.576633766791652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1.6474415781532359E-12</v>
      </c>
      <c r="AC115" s="22">
        <f t="shared" si="57"/>
        <v>20.5766337667933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315.99999999999966</v>
      </c>
      <c r="AJ115" s="13">
        <f>AI115*VLOOKUP('Données projet'!$B$10,Paramètres!$A$1:$I$89,3,0)*VLOOKUP('Données projet'!$B$10,Paramètres!$A$1:$I$89,5,0)</f>
        <v>266.19839999999971</v>
      </c>
      <c r="AK115" s="13">
        <f t="shared" si="89"/>
        <v>64.041809198373159</v>
      </c>
      <c r="AL115" s="20">
        <f t="shared" si="58"/>
        <v>575.16836435383277</v>
      </c>
      <c r="AM115" s="59">
        <f t="shared" si="59"/>
        <v>868.50169768716614</v>
      </c>
      <c r="AN115" s="59">
        <f ca="1">AVERAGE(OFFSET($AM$3,0,0,'Données projet'!$E$10+1,1))-AVERAGE(OFFSET($H$3,0,0,'Données projet'!$E$10+1,1))</f>
        <v>328.34986205643321</v>
      </c>
      <c r="AO115" s="59">
        <f t="shared" si="90"/>
        <v>251.60894449147008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74.574084756063556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74.574084756063556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2.6</v>
      </c>
      <c r="BD115" s="12">
        <f>IF('Données projet'!$A$88&gt;35,BD114+BC115-BL114,IF(A115&lt;'Données projet'!$A$88,$BA$205^A115,IF(A115='Données projet'!$A$88,'Données projet'!$B$88,BD114+BC115-BL114)))</f>
        <v>212.19999999999956</v>
      </c>
      <c r="BE115" s="13">
        <f>BD115*VLOOKUP('Données projet'!$B$11,Paramètres!$A$1:$I$89,3,0)*VLOOKUP('Données projet'!$B$11,Paramètres!$A$1:$I$89,5,0)</f>
        <v>241.65335999999948</v>
      </c>
      <c r="BF115" s="13">
        <f t="shared" si="91"/>
        <v>58.795116678994233</v>
      </c>
      <c r="BG115" s="20">
        <f t="shared" si="61"/>
        <v>523.28109688258075</v>
      </c>
      <c r="BH115" s="59">
        <f t="shared" si="62"/>
        <v>816.61443021591413</v>
      </c>
      <c r="BI115" s="59">
        <f ca="1">AVERAGE(OFFSET($BH$3,0,0,'Données projet'!$E$11+1,1))-AVERAGE(OFFSET($H$3,0,0,'Données projet'!$E$11+1,1))</f>
        <v>250.68173853329841</v>
      </c>
      <c r="BJ115" s="59">
        <f t="shared" si="92"/>
        <v>113.25940301904359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47.477483831368929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47.477483831368929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2.6</v>
      </c>
      <c r="BY115" s="12">
        <f>IF('Données projet'!$A$114&gt;35,BY114+BX115-CG114,IF(A115&lt;'Données projet'!$A$114,$BV$205^A115,IF(A115='Données projet'!$A$114,'Données projet'!$B$114,BY114+BX115-CG114)))</f>
        <v>212.19999999999956</v>
      </c>
      <c r="BZ115" s="13">
        <f>BY115*VLOOKUP('Données projet'!$B$12,Paramètres!$A$1:$I$89,3,0)*VLOOKUP('Données projet'!$B$12,Paramètres!$A$1:$I$89,5,0)</f>
        <v>215.17079999999959</v>
      </c>
      <c r="CA115" s="13">
        <f t="shared" si="93"/>
        <v>53.063930965723515</v>
      </c>
      <c r="CB115" s="20">
        <f t="shared" si="64"/>
        <v>467.17548976530105</v>
      </c>
      <c r="CC115" s="59">
        <f t="shared" si="65"/>
        <v>760.50882309863437</v>
      </c>
      <c r="CD115" s="59">
        <f ca="1">AVERAGE(OFFSET($CC$3,0,0,'Données projet'!$E$12+1,1))-AVERAGE(OFFSET($H$3,0,0,'Données projet'!$E$12+1,1))</f>
        <v>211.44496956344943</v>
      </c>
      <c r="CE115" s="59">
        <f t="shared" si="94"/>
        <v>98.543169293276662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42.274471904643583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42.274471904643583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6">
        <f t="shared" si="56"/>
        <v>478.82639311670562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5.6843418860808015E-14</v>
      </c>
      <c r="O116" s="13">
        <f>N116*VLOOKUP('Données projet'!$B$9,Paramètres!$A$1:$I$89,3,0)*VLOOKUP('Données projet'!$B$9,Paramètres!$A$1:$I$89,5,0)</f>
        <v>3.2810021366458389E-14</v>
      </c>
      <c r="P116" s="13">
        <f t="shared" si="87"/>
        <v>5.6117125884464641E-13</v>
      </c>
      <c r="Q116" s="20">
        <f t="shared" si="107"/>
        <v>1.0345173963676741E-12</v>
      </c>
      <c r="R116" s="59">
        <f t="shared" si="55"/>
        <v>293.33333333333434</v>
      </c>
      <c r="S116" s="59">
        <f ca="1">AVERAGE(OFFSET($R$3,0,0,'Données projet'!$E$9+1,1))-AVERAGE(OFFSET($H$3,0,0,'Données projet'!$E$9+1,1))</f>
        <v>162.0530649500439</v>
      </c>
      <c r="T116" s="59">
        <f t="shared" si="88"/>
        <v>450.88267959505049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20.173138529132206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1.1649171115208207E-12</v>
      </c>
      <c r="AC116" s="22">
        <f t="shared" si="57"/>
        <v>20.173138529133372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320.49999999999966</v>
      </c>
      <c r="AJ116" s="13">
        <f>AI116*VLOOKUP('Données projet'!$B$10,Paramètres!$A$1:$I$89,3,0)*VLOOKUP('Données projet'!$B$10,Paramètres!$A$1:$I$89,5,0)</f>
        <v>269.98919999999976</v>
      </c>
      <c r="AK116" s="13">
        <f t="shared" si="89"/>
        <v>64.846977249929026</v>
      </c>
      <c r="AL116" s="20">
        <f t="shared" si="58"/>
        <v>583.17300871029261</v>
      </c>
      <c r="AM116" s="59">
        <f t="shared" si="59"/>
        <v>876.50634204362586</v>
      </c>
      <c r="AN116" s="59">
        <f ca="1">AVERAGE(OFFSET($AM$3,0,0,'Données projet'!$E$10+1,1))-AVERAGE(OFFSET($H$3,0,0,'Données projet'!$E$10+1,1))</f>
        <v>328.34986205643321</v>
      </c>
      <c r="AO116" s="59">
        <f t="shared" si="90"/>
        <v>251.60894449147008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73.111732439697505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73.111732439697505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2.6</v>
      </c>
      <c r="BD116" s="12">
        <f>IF('Données projet'!$A$88&gt;35,BD115+BC116-BL115,IF(A116&lt;'Données projet'!$A$88,$BA$205^A116,IF(A116='Données projet'!$A$88,'Données projet'!$B$88,BD115+BC116-BL115)))</f>
        <v>214.79999999999956</v>
      </c>
      <c r="BE116" s="13">
        <f>BD116*VLOOKUP('Données projet'!$B$11,Paramètres!$A$1:$I$89,3,0)*VLOOKUP('Données projet'!$B$11,Paramètres!$A$1:$I$89,5,0)</f>
        <v>244.61423999999948</v>
      </c>
      <c r="BF116" s="13">
        <f t="shared" si="91"/>
        <v>59.431203693842548</v>
      </c>
      <c r="BG116" s="20">
        <f t="shared" si="61"/>
        <v>529.54581443344148</v>
      </c>
      <c r="BH116" s="59">
        <f t="shared" si="62"/>
        <v>822.87914776677485</v>
      </c>
      <c r="BI116" s="59">
        <f ca="1">AVERAGE(OFFSET($BH$3,0,0,'Données projet'!$E$11+1,1))-AVERAGE(OFFSET($H$3,0,0,'Données projet'!$E$11+1,1))</f>
        <v>250.68173853329841</v>
      </c>
      <c r="BJ116" s="59">
        <f t="shared" si="92"/>
        <v>113.25940301904359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46.546479331841518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46.546479331841518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2.6</v>
      </c>
      <c r="BY116" s="12">
        <f>IF('Données projet'!$A$114&gt;35,BY115+BX116-CG115,IF(A116&lt;'Données projet'!$A$114,$BV$205^A116,IF(A116='Données projet'!$A$114,'Données projet'!$B$114,BY115+BX116-CG115)))</f>
        <v>214.79999999999956</v>
      </c>
      <c r="BZ116" s="13">
        <f>BY116*VLOOKUP('Données projet'!$B$12,Paramètres!$A$1:$I$89,3,0)*VLOOKUP('Données projet'!$B$12,Paramètres!$A$1:$I$89,5,0)</f>
        <v>217.80719999999957</v>
      </c>
      <c r="CA116" s="13">
        <f t="shared" si="93"/>
        <v>53.638013973813926</v>
      </c>
      <c r="CB116" s="20">
        <f t="shared" si="64"/>
        <v>472.76708100439186</v>
      </c>
      <c r="CC116" s="59">
        <f t="shared" si="65"/>
        <v>766.10041433772517</v>
      </c>
      <c r="CD116" s="59">
        <f ca="1">AVERAGE(OFFSET($CC$3,0,0,'Données projet'!$E$12+1,1))-AVERAGE(OFFSET($H$3,0,0,'Données projet'!$E$12+1,1))</f>
        <v>211.44496956344943</v>
      </c>
      <c r="CE116" s="59">
        <f t="shared" si="94"/>
        <v>98.543169293276662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41.44549529547534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41.44549529547534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6">
        <f t="shared" si="56"/>
        <v>480.74364243331581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5.6843418860808015E-14</v>
      </c>
      <c r="O117" s="13">
        <f>N117*VLOOKUP('Données projet'!$B$9,Paramètres!$A$1:$I$89,3,0)*VLOOKUP('Données projet'!$B$9,Paramètres!$A$1:$I$89,5,0)</f>
        <v>3.2810021366458389E-14</v>
      </c>
      <c r="P117" s="13">
        <f t="shared" si="87"/>
        <v>5.6117125884464641E-13</v>
      </c>
      <c r="Q117" s="20">
        <f t="shared" si="107"/>
        <v>1.0345173963676741E-12</v>
      </c>
      <c r="R117" s="59">
        <f t="shared" si="55"/>
        <v>293.33333333333434</v>
      </c>
      <c r="S117" s="59">
        <f ca="1">AVERAGE(OFFSET($R$3,0,0,'Données projet'!$E$9+1,1))-AVERAGE(OFFSET($H$3,0,0,'Données projet'!$E$9+1,1))</f>
        <v>162.0530649500439</v>
      </c>
      <c r="T117" s="59">
        <f t="shared" si="88"/>
        <v>450.88267959505049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19.777555586975467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8.2372078907661796E-13</v>
      </c>
      <c r="AC117" s="22">
        <f t="shared" si="57"/>
        <v>19.777555586976291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324.99999999999966</v>
      </c>
      <c r="AJ117" s="13">
        <f>AI117*VLOOKUP('Données projet'!$B$10,Paramètres!$A$1:$I$89,3,0)*VLOOKUP('Données projet'!$B$10,Paramètres!$A$1:$I$89,5,0)</f>
        <v>273.77999999999975</v>
      </c>
      <c r="AK117" s="13">
        <f t="shared" si="89"/>
        <v>65.650830427167435</v>
      </c>
      <c r="AL117" s="20">
        <f t="shared" si="58"/>
        <v>591.17536299398284</v>
      </c>
      <c r="AM117" s="59">
        <f t="shared" si="59"/>
        <v>884.5086963273161</v>
      </c>
      <c r="AN117" s="59">
        <f ca="1">AVERAGE(OFFSET($AM$3,0,0,'Données projet'!$E$10+1,1))-AVERAGE(OFFSET($H$3,0,0,'Données projet'!$E$10+1,1))</f>
        <v>328.34986205643321</v>
      </c>
      <c r="AO117" s="59">
        <f t="shared" si="90"/>
        <v>251.60894449147008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71.678055960308555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71.678055960308555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2.6</v>
      </c>
      <c r="BD117" s="12">
        <f>IF('Données projet'!$A$88&gt;35,BD116+BC117-BL116,IF(A117&lt;'Données projet'!$A$88,$BA$205^A117,IF(A117='Données projet'!$A$88,'Données projet'!$B$88,BD116+BC117-BL116)))</f>
        <v>217.39999999999955</v>
      </c>
      <c r="BE117" s="13">
        <f>BD117*VLOOKUP('Données projet'!$B$11,Paramètres!$A$1:$I$89,3,0)*VLOOKUP('Données projet'!$B$11,Paramètres!$A$1:$I$89,5,0)</f>
        <v>247.57511999999949</v>
      </c>
      <c r="BF117" s="13">
        <f t="shared" si="91"/>
        <v>60.066395109103389</v>
      </c>
      <c r="BG117" s="20">
        <f t="shared" si="61"/>
        <v>535.8089721483542</v>
      </c>
      <c r="BH117" s="59">
        <f t="shared" si="62"/>
        <v>829.14230548168757</v>
      </c>
      <c r="BI117" s="59">
        <f ca="1">AVERAGE(OFFSET($BH$3,0,0,'Données projet'!$E$11+1,1))-AVERAGE(OFFSET($H$3,0,0,'Données projet'!$E$11+1,1))</f>
        <v>250.68173853329841</v>
      </c>
      <c r="BJ117" s="59">
        <f t="shared" si="92"/>
        <v>113.25940301904359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45.633731262693161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45.633731262693161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2.6</v>
      </c>
      <c r="BY117" s="12">
        <f>IF('Données projet'!$A$114&gt;35,BY116+BX117-CG116,IF(A117&lt;'Données projet'!$A$114,$BV$205^A117,IF(A117='Données projet'!$A$114,'Données projet'!$B$114,BY116+BX117-CG116)))</f>
        <v>217.39999999999955</v>
      </c>
      <c r="BZ117" s="13">
        <f>BY117*VLOOKUP('Données projet'!$B$12,Paramètres!$A$1:$I$89,3,0)*VLOOKUP('Données projet'!$B$12,Paramètres!$A$1:$I$89,5,0)</f>
        <v>220.44359999999958</v>
      </c>
      <c r="CA117" s="13">
        <f t="shared" si="93"/>
        <v>54.21128868289297</v>
      </c>
      <c r="CB117" s="20">
        <f t="shared" si="64"/>
        <v>478.35726445603774</v>
      </c>
      <c r="CC117" s="59">
        <f t="shared" si="65"/>
        <v>771.69059778937105</v>
      </c>
      <c r="CD117" s="59">
        <f ca="1">AVERAGE(OFFSET($CC$3,0,0,'Données projet'!$E$12+1,1))-AVERAGE(OFFSET($H$3,0,0,'Données projet'!$E$12+1,1))</f>
        <v>211.44496956344943</v>
      </c>
      <c r="CE117" s="59">
        <f t="shared" si="94"/>
        <v>98.543169293276662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40.632774411987079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40.632774411987079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6">
        <f t="shared" si="56"/>
        <v>482.66051561841903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5.6843418860808015E-14</v>
      </c>
      <c r="O118" s="13">
        <f>N118*VLOOKUP('Données projet'!$B$9,Paramètres!$A$1:$I$89,3,0)*VLOOKUP('Données projet'!$B$9,Paramètres!$A$1:$I$89,5,0)</f>
        <v>3.2810021366458389E-14</v>
      </c>
      <c r="P118" s="13">
        <f t="shared" si="87"/>
        <v>5.6117125884464641E-13</v>
      </c>
      <c r="Q118" s="20">
        <f t="shared" si="107"/>
        <v>1.0345173963676741E-12</v>
      </c>
      <c r="R118" s="59">
        <f t="shared" si="55"/>
        <v>293.33333333333434</v>
      </c>
      <c r="S118" s="59">
        <f ca="1">AVERAGE(OFFSET($R$3,0,0,'Données projet'!$E$9+1,1))-AVERAGE(OFFSET($H$3,0,0,'Données projet'!$E$9+1,1))</f>
        <v>162.0530649500439</v>
      </c>
      <c r="T118" s="59">
        <f t="shared" si="88"/>
        <v>450.88267959505049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19.389729785032653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5.8245855576041035E-13</v>
      </c>
      <c r="AC118" s="22">
        <f t="shared" si="57"/>
        <v>19.389729785033236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329.49999999999966</v>
      </c>
      <c r="AJ118" s="13">
        <f>AI118*VLOOKUP('Données projet'!$B$10,Paramètres!$A$1:$I$89,3,0)*VLOOKUP('Données projet'!$B$10,Paramètres!$A$1:$I$89,5,0)</f>
        <v>277.57079999999974</v>
      </c>
      <c r="AK118" s="13">
        <f t="shared" si="89"/>
        <v>66.453389040149148</v>
      </c>
      <c r="AL118" s="20">
        <f t="shared" si="58"/>
        <v>599.17546257825927</v>
      </c>
      <c r="AM118" s="59">
        <f t="shared" si="59"/>
        <v>892.50879591159264</v>
      </c>
      <c r="AN118" s="59">
        <f ca="1">AVERAGE(OFFSET($AM$3,0,0,'Données projet'!$E$10+1,1))-AVERAGE(OFFSET($H$3,0,0,'Données projet'!$E$10+1,1))</f>
        <v>328.34986205643321</v>
      </c>
      <c r="AO118" s="59">
        <f t="shared" si="90"/>
        <v>251.60894449147008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70.272493002224124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70.272493002224124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2.6</v>
      </c>
      <c r="BD118" s="12">
        <f>IF('Données projet'!$A$88&gt;35,BD117+BC118-BL117,IF(A118&lt;'Données projet'!$A$88,$BA$205^A118,IF(A118='Données projet'!$A$88,'Données projet'!$B$88,BD117+BC118-BL117)))</f>
        <v>219.99999999999955</v>
      </c>
      <c r="BE118" s="13">
        <f>BD118*VLOOKUP('Données projet'!$B$11,Paramètres!$A$1:$I$89,3,0)*VLOOKUP('Données projet'!$B$11,Paramètres!$A$1:$I$89,5,0)</f>
        <v>250.53599999999946</v>
      </c>
      <c r="BF118" s="13">
        <f t="shared" si="91"/>
        <v>60.70070287472663</v>
      </c>
      <c r="BG118" s="20">
        <f t="shared" si="61"/>
        <v>542.07059084014793</v>
      </c>
      <c r="BH118" s="59">
        <f t="shared" si="62"/>
        <v>835.4039241734813</v>
      </c>
      <c r="BI118" s="59">
        <f ca="1">AVERAGE(OFFSET($BH$3,0,0,'Données projet'!$E$11+1,1))-AVERAGE(OFFSET($H$3,0,0,'Données projet'!$E$11+1,1))</f>
        <v>250.68173853329841</v>
      </c>
      <c r="BJ118" s="59">
        <f t="shared" si="92"/>
        <v>113.25940301904359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44.738881626459452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44.738881626459452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2.6</v>
      </c>
      <c r="BY118" s="12">
        <f>IF('Données projet'!$A$114&gt;35,BY117+BX118-CG117,IF(A118&lt;'Données projet'!$A$114,$BV$205^A118,IF(A118='Données projet'!$A$114,'Données projet'!$B$114,BY117+BX118-CG117)))</f>
        <v>219.99999999999955</v>
      </c>
      <c r="BZ118" s="13">
        <f>BY118*VLOOKUP('Données projet'!$B$12,Paramètres!$A$1:$I$89,3,0)*VLOOKUP('Données projet'!$B$12,Paramètres!$A$1:$I$89,5,0)</f>
        <v>223.07999999999956</v>
      </c>
      <c r="CA118" s="13">
        <f t="shared" si="93"/>
        <v>54.783765878062567</v>
      </c>
      <c r="CB118" s="20">
        <f t="shared" si="64"/>
        <v>483.94605890429148</v>
      </c>
      <c r="CC118" s="59">
        <f t="shared" si="65"/>
        <v>777.27939223762473</v>
      </c>
      <c r="CD118" s="59">
        <f ca="1">AVERAGE(OFFSET($CC$3,0,0,'Données projet'!$E$12+1,1))-AVERAGE(OFFSET($H$3,0,0,'Données projet'!$E$12+1,1))</f>
        <v>211.44496956344943</v>
      </c>
      <c r="CE118" s="59">
        <f t="shared" si="94"/>
        <v>98.543169293276662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39.835990489313232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39.835990489313232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6">
        <f t="shared" si="56"/>
        <v>484.57701632167959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5.6843418860808015E-14</v>
      </c>
      <c r="O119" s="13">
        <f>N119*VLOOKUP('Données projet'!$B$9,Paramètres!$A$1:$I$89,3,0)*VLOOKUP('Données projet'!$B$9,Paramètres!$A$1:$I$89,5,0)</f>
        <v>3.2810021366458389E-14</v>
      </c>
      <c r="P119" s="13">
        <f t="shared" si="87"/>
        <v>5.6117125884464641E-13</v>
      </c>
      <c r="Q119" s="20">
        <f t="shared" si="107"/>
        <v>1.0345173963676741E-12</v>
      </c>
      <c r="R119" s="59">
        <f t="shared" si="55"/>
        <v>293.33333333333434</v>
      </c>
      <c r="S119" s="59">
        <f ca="1">AVERAGE(OFFSET($R$3,0,0,'Données projet'!$E$9+1,1))-AVERAGE(OFFSET($H$3,0,0,'Données projet'!$E$9+1,1))</f>
        <v>162.0530649500439</v>
      </c>
      <c r="T119" s="59">
        <f t="shared" si="88"/>
        <v>450.88267959505049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19.009509010515554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4.1186039453830898E-13</v>
      </c>
      <c r="AC119" s="22">
        <f t="shared" si="57"/>
        <v>19.009509010515966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333.99999999999966</v>
      </c>
      <c r="AJ119" s="13">
        <f>AI119*VLOOKUP('Données projet'!$B$10,Paramètres!$A$1:$I$89,3,0)*VLOOKUP('Données projet'!$B$10,Paramètres!$A$1:$I$89,5,0)</f>
        <v>281.36159999999973</v>
      </c>
      <c r="AK119" s="13">
        <f t="shared" si="89"/>
        <v>67.254672812309238</v>
      </c>
      <c r="AL119" s="20">
        <f t="shared" si="58"/>
        <v>607.17334181477145</v>
      </c>
      <c r="AM119" s="59">
        <f t="shared" si="59"/>
        <v>900.5066751481047</v>
      </c>
      <c r="AN119" s="59">
        <f ca="1">AVERAGE(OFFSET($AM$3,0,0,'Données projet'!$E$10+1,1))-AVERAGE(OFFSET($H$3,0,0,'Données projet'!$E$10+1,1))</f>
        <v>328.34986205643321</v>
      </c>
      <c r="AO119" s="59">
        <f t="shared" si="90"/>
        <v>251.60894449147008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68.894492276438967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68.894492276438967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2.6</v>
      </c>
      <c r="BD119" s="12">
        <f>IF('Données projet'!$A$88&gt;35,BD118+BC119-BL118,IF(A119&lt;'Données projet'!$A$88,$BA$205^A119,IF(A119='Données projet'!$A$88,'Données projet'!$B$88,BD118+BC119-BL118)))</f>
        <v>222.59999999999954</v>
      </c>
      <c r="BE119" s="13">
        <f>BD119*VLOOKUP('Données projet'!$B$11,Paramètres!$A$1:$I$89,3,0)*VLOOKUP('Données projet'!$B$11,Paramètres!$A$1:$I$89,5,0)</f>
        <v>253.49687999999946</v>
      </c>
      <c r="BF119" s="13">
        <f t="shared" si="91"/>
        <v>61.334138641955029</v>
      </c>
      <c r="BG119" s="20">
        <f t="shared" si="61"/>
        <v>548.3306908014041</v>
      </c>
      <c r="BH119" s="59">
        <f t="shared" si="62"/>
        <v>841.66402413473747</v>
      </c>
      <c r="BI119" s="59">
        <f ca="1">AVERAGE(OFFSET($BH$3,0,0,'Données projet'!$E$11+1,1))-AVERAGE(OFFSET($H$3,0,0,'Données projet'!$E$11+1,1))</f>
        <v>250.68173853329841</v>
      </c>
      <c r="BJ119" s="59">
        <f t="shared" si="92"/>
        <v>113.25940301904359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43.861579445787903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43.861579445787903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2.6</v>
      </c>
      <c r="BY119" s="12">
        <f>IF('Données projet'!$A$114&gt;35,BY118+BX119-CG118,IF(A119&lt;'Données projet'!$A$114,$BV$205^A119,IF(A119='Données projet'!$A$114,'Données projet'!$B$114,BY118+BX119-CG118)))</f>
        <v>222.59999999999954</v>
      </c>
      <c r="BZ119" s="13">
        <f>BY119*VLOOKUP('Données projet'!$B$12,Paramètres!$A$1:$I$89,3,0)*VLOOKUP('Données projet'!$B$12,Paramètres!$A$1:$I$89,5,0)</f>
        <v>225.71639999999957</v>
      </c>
      <c r="CA119" s="13">
        <f t="shared" si="93"/>
        <v>55.355456074834187</v>
      </c>
      <c r="CB119" s="20">
        <f t="shared" si="64"/>
        <v>489.53348266366879</v>
      </c>
      <c r="CC119" s="59">
        <f t="shared" si="65"/>
        <v>782.86681599700205</v>
      </c>
      <c r="CD119" s="59">
        <f ca="1">AVERAGE(OFFSET($CC$3,0,0,'Données projet'!$E$12+1,1))-AVERAGE(OFFSET($H$3,0,0,'Données projet'!$E$12+1,1))</f>
        <v>211.44496956344943</v>
      </c>
      <c r="CE119" s="59">
        <f t="shared" si="94"/>
        <v>98.543169293276662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39.054831013372812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39.054831013372812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6">
        <f t="shared" si="56"/>
        <v>486.49314812620531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5.6843418860808015E-14</v>
      </c>
      <c r="O120" s="13">
        <f>N120*VLOOKUP('Données projet'!$B$9,Paramètres!$A$1:$I$89,3,0)*VLOOKUP('Données projet'!$B$9,Paramètres!$A$1:$I$89,5,0)</f>
        <v>3.2810021366458389E-14</v>
      </c>
      <c r="P120" s="13">
        <f t="shared" si="87"/>
        <v>5.6117125884464641E-13</v>
      </c>
      <c r="Q120" s="20">
        <f t="shared" si="107"/>
        <v>1.0345173963676741E-12</v>
      </c>
      <c r="R120" s="59">
        <f t="shared" si="55"/>
        <v>293.33333333333434</v>
      </c>
      <c r="S120" s="59">
        <f ca="1">AVERAGE(OFFSET($R$3,0,0,'Données projet'!$E$9+1,1))-AVERAGE(OFFSET($H$3,0,0,'Données projet'!$E$9+1,1))</f>
        <v>162.0530649500439</v>
      </c>
      <c r="T120" s="59">
        <f t="shared" si="88"/>
        <v>450.88267959505049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18.636744133474963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2.9122927788020518E-13</v>
      </c>
      <c r="AC120" s="22">
        <f t="shared" si="57"/>
        <v>18.636744133475254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338.49999999999966</v>
      </c>
      <c r="AJ120" s="13">
        <f>AI120*VLOOKUP('Données projet'!$B$10,Paramètres!$A$1:$I$89,3,0)*VLOOKUP('Données projet'!$B$10,Paramètres!$A$1:$I$89,5,0)</f>
        <v>285.15239999999972</v>
      </c>
      <c r="AK120" s="13">
        <f t="shared" si="89"/>
        <v>68.054700905071442</v>
      </c>
      <c r="AL120" s="20">
        <f t="shared" si="58"/>
        <v>615.1690340763322</v>
      </c>
      <c r="AM120" s="59">
        <f t="shared" si="59"/>
        <v>908.50236740966557</v>
      </c>
      <c r="AN120" s="59">
        <f ca="1">AVERAGE(OFFSET($AM$3,0,0,'Données projet'!$E$10+1,1))-AVERAGE(OFFSET($H$3,0,0,'Données projet'!$E$10+1,1))</f>
        <v>328.34986205643321</v>
      </c>
      <c r="AO120" s="59">
        <f t="shared" si="90"/>
        <v>251.60894449147008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67.543513304389009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67.543513304389009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2.6</v>
      </c>
      <c r="BD120" s="12">
        <f>IF('Données projet'!$A$88&gt;35,BD119+BC120-BL119,IF(A120&lt;'Données projet'!$A$88,$BA$205^A120,IF(A120='Données projet'!$A$88,'Données projet'!$B$88,BD119+BC120-BL119)))</f>
        <v>225.19999999999953</v>
      </c>
      <c r="BE120" s="13">
        <f>BD120*VLOOKUP('Données projet'!$B$11,Paramètres!$A$1:$I$89,3,0)*VLOOKUP('Données projet'!$B$11,Paramètres!$A$1:$I$89,5,0)</f>
        <v>256.45775999999944</v>
      </c>
      <c r="BF120" s="13">
        <f t="shared" si="91"/>
        <v>61.966713774190119</v>
      </c>
      <c r="BG120" s="20">
        <f t="shared" si="61"/>
        <v>554.58929182337999</v>
      </c>
      <c r="BH120" s="59">
        <f t="shared" si="62"/>
        <v>847.92262515671337</v>
      </c>
      <c r="BI120" s="59">
        <f ca="1">AVERAGE(OFFSET($BH$3,0,0,'Données projet'!$E$11+1,1))-AVERAGE(OFFSET($H$3,0,0,'Données projet'!$E$11+1,1))</f>
        <v>250.68173853329841</v>
      </c>
      <c r="BJ120" s="59">
        <f t="shared" si="92"/>
        <v>113.25940301904359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43.00148062577783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43.00148062577783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2.6</v>
      </c>
      <c r="BY120" s="12">
        <f>IF('Données projet'!$A$114&gt;35,BY119+BX120-CG119,IF(A120&lt;'Données projet'!$A$114,$BV$205^A120,IF(A120='Données projet'!$A$114,'Données projet'!$B$114,BY119+BX120-CG119)))</f>
        <v>225.19999999999953</v>
      </c>
      <c r="BZ120" s="13">
        <f>BY120*VLOOKUP('Données projet'!$B$12,Paramètres!$A$1:$I$89,3,0)*VLOOKUP('Données projet'!$B$12,Paramètres!$A$1:$I$89,5,0)</f>
        <v>228.35279999999955</v>
      </c>
      <c r="CA120" s="13">
        <f t="shared" si="93"/>
        <v>55.926369528936611</v>
      </c>
      <c r="CB120" s="20">
        <f t="shared" si="64"/>
        <v>495.11955359623045</v>
      </c>
      <c r="CC120" s="59">
        <f t="shared" si="65"/>
        <v>788.45288692956376</v>
      </c>
      <c r="CD120" s="59">
        <f ca="1">AVERAGE(OFFSET($CC$3,0,0,'Données projet'!$E$12+1,1))-AVERAGE(OFFSET($H$3,0,0,'Données projet'!$E$12+1,1))</f>
        <v>211.44496956344943</v>
      </c>
      <c r="CE120" s="59">
        <f t="shared" si="94"/>
        <v>98.543169293276662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38.288989598295352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38.288989598295352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6">
        <f t="shared" si="56"/>
        <v>488.40891455031931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5.6843418860808015E-14</v>
      </c>
      <c r="O121" s="13">
        <f>N121*VLOOKUP('Données projet'!$B$9,Paramètres!$A$1:$I$89,3,0)*VLOOKUP('Données projet'!$B$9,Paramètres!$A$1:$I$89,5,0)</f>
        <v>3.2810021366458389E-14</v>
      </c>
      <c r="P121" s="13">
        <f t="shared" si="87"/>
        <v>5.6117125884464641E-13</v>
      </c>
      <c r="Q121" s="20">
        <f t="shared" si="107"/>
        <v>1.0345173963676741E-12</v>
      </c>
      <c r="R121" s="59">
        <f t="shared" si="55"/>
        <v>293.33333333333434</v>
      </c>
      <c r="S121" s="59">
        <f ca="1">AVERAGE(OFFSET($R$3,0,0,'Données projet'!$E$9+1,1))-AVERAGE(OFFSET($H$3,0,0,'Données projet'!$E$9+1,1))</f>
        <v>162.0530649500439</v>
      </c>
      <c r="T121" s="59">
        <f t="shared" si="88"/>
        <v>450.88267959505049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18.271288948309014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2.0593019726915449E-13</v>
      </c>
      <c r="AC121" s="22">
        <f t="shared" si="57"/>
        <v>18.27128894830922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342.99999999999966</v>
      </c>
      <c r="AJ121" s="13">
        <f>AI121*VLOOKUP('Données projet'!$B$10,Paramètres!$A$1:$I$89,3,0)*VLOOKUP('Données projet'!$B$10,Paramètres!$A$1:$I$89,5,0)</f>
        <v>288.94319999999976</v>
      </c>
      <c r="AK121" s="13">
        <f t="shared" si="89"/>
        <v>68.853491941116658</v>
      </c>
      <c r="AL121" s="20">
        <f t="shared" si="58"/>
        <v>623.16257179744446</v>
      </c>
      <c r="AM121" s="59">
        <f t="shared" si="59"/>
        <v>916.49590513077783</v>
      </c>
      <c r="AN121" s="59">
        <f ca="1">AVERAGE(OFFSET($AM$3,0,0,'Données projet'!$E$10+1,1))-AVERAGE(OFFSET($H$3,0,0,'Données projet'!$E$10+1,1))</f>
        <v>328.34986205643321</v>
      </c>
      <c r="AO121" s="59">
        <f t="shared" si="90"/>
        <v>251.60894449147008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66.21902620596515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66.21902620596515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2.6</v>
      </c>
      <c r="BD121" s="12">
        <f>IF('Données projet'!$A$88&gt;35,BD120+BC121-BL120,IF(A121&lt;'Données projet'!$A$88,$BA$205^A121,IF(A121='Données projet'!$A$88,'Données projet'!$B$88,BD120+BC121-BL120)))</f>
        <v>227.79999999999953</v>
      </c>
      <c r="BE121" s="13">
        <f>BD121*VLOOKUP('Données projet'!$B$11,Paramètres!$A$1:$I$89,3,0)*VLOOKUP('Données projet'!$B$11,Paramètres!$A$1:$I$89,5,0)</f>
        <v>259.41863999999947</v>
      </c>
      <c r="BF121" s="13">
        <f t="shared" si="91"/>
        <v>62.59843935734348</v>
      </c>
      <c r="BG121" s="20">
        <f t="shared" si="61"/>
        <v>560.84641321403888</v>
      </c>
      <c r="BH121" s="59">
        <f t="shared" si="62"/>
        <v>854.17974654737213</v>
      </c>
      <c r="BI121" s="59">
        <f ca="1">AVERAGE(OFFSET($BH$3,0,0,'Données projet'!$E$11+1,1))-AVERAGE(OFFSET($H$3,0,0,'Données projet'!$E$11+1,1))</f>
        <v>250.68173853329841</v>
      </c>
      <c r="BJ121" s="59">
        <f t="shared" si="92"/>
        <v>113.25940301904359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42.158247819019678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42.158247819019678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2.6</v>
      </c>
      <c r="BY121" s="12">
        <f>IF('Données projet'!$A$114&gt;35,BY120+BX121-CG120,IF(A121&lt;'Données projet'!$A$114,$BV$205^A121,IF(A121='Données projet'!$A$114,'Données projet'!$B$114,BY120+BX121-CG120)))</f>
        <v>227.79999999999953</v>
      </c>
      <c r="BZ121" s="13">
        <f>BY121*VLOOKUP('Données projet'!$B$12,Paramètres!$A$1:$I$89,3,0)*VLOOKUP('Données projet'!$B$12,Paramètres!$A$1:$I$89,5,0)</f>
        <v>230.98919999999956</v>
      </c>
      <c r="CA121" s="13">
        <f t="shared" si="93"/>
        <v>56.496516245657176</v>
      </c>
      <c r="CB121" s="20">
        <f t="shared" si="64"/>
        <v>500.70428912785206</v>
      </c>
      <c r="CC121" s="59">
        <f t="shared" si="65"/>
        <v>794.03762246118538</v>
      </c>
      <c r="CD121" s="59">
        <f ca="1">AVERAGE(OFFSET($CC$3,0,0,'Données projet'!$E$12+1,1))-AVERAGE(OFFSET($H$3,0,0,'Données projet'!$E$12+1,1))</f>
        <v>211.44496956344943</v>
      </c>
      <c r="CE121" s="59">
        <f t="shared" si="94"/>
        <v>98.543169293276662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37.538165866250424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37.538165866250424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6">
        <f t="shared" si="56"/>
        <v>490.32431904927057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5.6843418860808015E-14</v>
      </c>
      <c r="O122" s="13">
        <f>N122*VLOOKUP('Données projet'!$B$9,Paramètres!$A$1:$I$89,3,0)*VLOOKUP('Données projet'!$B$9,Paramètres!$A$1:$I$89,5,0)</f>
        <v>3.2810021366458389E-14</v>
      </c>
      <c r="P122" s="13">
        <f t="shared" si="87"/>
        <v>5.6117125884464641E-13</v>
      </c>
      <c r="Q122" s="20">
        <f t="shared" si="107"/>
        <v>1.0345173963676741E-12</v>
      </c>
      <c r="R122" s="59">
        <f t="shared" si="55"/>
        <v>293.33333333333434</v>
      </c>
      <c r="S122" s="59">
        <f ca="1">AVERAGE(OFFSET($R$3,0,0,'Données projet'!$E$9+1,1))-AVERAGE(OFFSET($H$3,0,0,'Données projet'!$E$9+1,1))</f>
        <v>162.0530649500439</v>
      </c>
      <c r="T122" s="59">
        <f t="shared" si="88"/>
        <v>450.88267959505049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17.913000116418516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1.4561463894010259E-13</v>
      </c>
      <c r="AC122" s="22">
        <f t="shared" si="57"/>
        <v>17.913000116418662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347.49999999999966</v>
      </c>
      <c r="AJ122" s="13">
        <f>AI122*VLOOKUP('Données projet'!$B$10,Paramètres!$A$1:$I$89,3,0)*VLOOKUP('Données projet'!$B$10,Paramètres!$A$1:$I$89,5,0)</f>
        <v>292.73399999999975</v>
      </c>
      <c r="AK122" s="13">
        <f t="shared" si="89"/>
        <v>69.651064026395574</v>
      </c>
      <c r="AL122" s="20">
        <f t="shared" si="58"/>
        <v>631.15398651263843</v>
      </c>
      <c r="AM122" s="59">
        <f t="shared" si="59"/>
        <v>924.4873198459718</v>
      </c>
      <c r="AN122" s="59">
        <f ca="1">AVERAGE(OFFSET($AM$3,0,0,'Données projet'!$E$10+1,1))-AVERAGE(OFFSET($H$3,0,0,'Données projet'!$E$10+1,1))</f>
        <v>328.34986205643321</v>
      </c>
      <c r="AO122" s="59">
        <f t="shared" si="90"/>
        <v>251.60894449147008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64.92051149168401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64.92051149168401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2.6</v>
      </c>
      <c r="BD122" s="12">
        <f>IF('Données projet'!$A$88&gt;35,BD121+BC122-BL121,IF(A122&lt;'Données projet'!$A$88,$BA$205^A122,IF(A122='Données projet'!$A$88,'Données projet'!$B$88,BD121+BC122-BL121)))</f>
        <v>230.39999999999952</v>
      </c>
      <c r="BE122" s="13">
        <f>BD122*VLOOKUP('Données projet'!$B$11,Paramètres!$A$1:$I$89,3,0)*VLOOKUP('Données projet'!$B$11,Paramètres!$A$1:$I$89,5,0)</f>
        <v>262.37951999999945</v>
      </c>
      <c r="BF122" s="13">
        <f t="shared" si="91"/>
        <v>63.229326209700247</v>
      </c>
      <c r="BG122" s="20">
        <f t="shared" si="61"/>
        <v>567.10207381522684</v>
      </c>
      <c r="BH122" s="59">
        <f t="shared" si="62"/>
        <v>860.43540714856022</v>
      </c>
      <c r="BI122" s="59">
        <f ca="1">AVERAGE(OFFSET($BH$3,0,0,'Données projet'!$E$11+1,1))-AVERAGE(OFFSET($H$3,0,0,'Données projet'!$E$11+1,1))</f>
        <v>250.68173853329841</v>
      </c>
      <c r="BJ122" s="59">
        <f t="shared" si="92"/>
        <v>113.25940301904359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41.331550293280827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41.331550293280827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2.6</v>
      </c>
      <c r="BY122" s="12">
        <f>IF('Données projet'!$A$114&gt;35,BY121+BX122-CG121,IF(A122&lt;'Données projet'!$A$114,$BV$205^A122,IF(A122='Données projet'!$A$114,'Données projet'!$B$114,BY121+BX122-CG121)))</f>
        <v>230.39999999999952</v>
      </c>
      <c r="BZ122" s="13">
        <f>BY122*VLOOKUP('Données projet'!$B$12,Paramètres!$A$1:$I$89,3,0)*VLOOKUP('Données projet'!$B$12,Paramètres!$A$1:$I$89,5,0)</f>
        <v>233.62559999999954</v>
      </c>
      <c r="CA122" s="13">
        <f t="shared" si="93"/>
        <v>57.065905988744511</v>
      </c>
      <c r="CB122" s="20">
        <f t="shared" si="64"/>
        <v>506.28770626372915</v>
      </c>
      <c r="CC122" s="59">
        <f t="shared" si="65"/>
        <v>799.62103959706246</v>
      </c>
      <c r="CD122" s="59">
        <f ca="1">AVERAGE(OFFSET($CC$3,0,0,'Données projet'!$E$12+1,1))-AVERAGE(OFFSET($H$3,0,0,'Données projet'!$E$12+1,1))</f>
        <v>211.44496956344943</v>
      </c>
      <c r="CE122" s="59">
        <f t="shared" si="94"/>
        <v>98.543169293276662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36.802065329633635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36.802065329633635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6">
        <f t="shared" si="56"/>
        <v>492.23936501688451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5.6843418860808015E-14</v>
      </c>
      <c r="O123" s="13">
        <f>N123*VLOOKUP('Données projet'!$B$9,Paramètres!$A$1:$I$89,3,0)*VLOOKUP('Données projet'!$B$9,Paramètres!$A$1:$I$89,5,0)</f>
        <v>3.2810021366458389E-14</v>
      </c>
      <c r="P123" s="13">
        <f t="shared" si="87"/>
        <v>5.6117125884464641E-13</v>
      </c>
      <c r="Q123" s="20">
        <f t="shared" si="107"/>
        <v>1.0345173963676741E-12</v>
      </c>
      <c r="R123" s="59">
        <f t="shared" si="55"/>
        <v>293.33333333333434</v>
      </c>
      <c r="S123" s="59">
        <f ca="1">AVERAGE(OFFSET($R$3,0,0,'Données projet'!$E$9+1,1))-AVERAGE(OFFSET($H$3,0,0,'Données projet'!$E$9+1,1))</f>
        <v>162.0530649500439</v>
      </c>
      <c r="T123" s="59">
        <f t="shared" si="88"/>
        <v>450.88267959505049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17.561737109986783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1.0296509863457724E-13</v>
      </c>
      <c r="AC123" s="22">
        <f t="shared" si="57"/>
        <v>17.561737109986886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352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351.99999999999966</v>
      </c>
      <c r="AJ123" s="13">
        <f>AI123*VLOOKUP('Données projet'!$B$10,Paramètres!$A$1:$I$89,3,0)*VLOOKUP('Données projet'!$B$10,Paramètres!$A$1:$I$89,5,0)</f>
        <v>296.52479999999974</v>
      </c>
      <c r="AK123" s="13">
        <f t="shared" si="89"/>
        <v>70.447434770968471</v>
      </c>
      <c r="AL123" s="20">
        <f t="shared" si="58"/>
        <v>639.1433088927696</v>
      </c>
      <c r="AM123" s="59">
        <f t="shared" si="59"/>
        <v>932.47664222610297</v>
      </c>
      <c r="AN123" s="59">
        <f ca="1">AVERAGE(OFFSET($AM$3,0,0,'Données projet'!$E$10+1,1))-AVERAGE(OFFSET($H$3,0,0,'Données projet'!$E$10+1,1))</f>
        <v>328.34986205643321</v>
      </c>
      <c r="AO123" s="59">
        <f t="shared" si="90"/>
        <v>251.60894449147008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47</v>
      </c>
      <c r="AR123" s="16">
        <f>IF(ISNA(VLOOKUP(A123,'Données projet'!$A$61:$I$81,5,0)),0%,VLOOKUP(A123,'Données projet'!$A$61:$I$81,5,0)*VLOOKUP('Données projet'!$B$10,Paramètres!$A$1:$I$89,7,0))</f>
        <v>0.36549999999999999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79.644907882367391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79.644907882367391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233</v>
      </c>
      <c r="BB123" s="12">
        <f>VLOOKUP(A123,'Données projet'!$A$87:$I$107,9,0)</f>
        <v>2.6</v>
      </c>
      <c r="BC123" s="12">
        <f t="array" ref="BC123">INDEX(BB:BB,MIN(IF(ISNUMBER(BB123:BB319),ROW(BB123:BB319),"")))</f>
        <v>2.6</v>
      </c>
      <c r="BD123" s="12">
        <f>IF('Données projet'!$A$88&gt;35,BD122+BC123-BL122,IF(A123&lt;'Données projet'!$A$88,$BA$205^A123,IF(A123='Données projet'!$A$88,'Données projet'!$B$88,BD122+BC123-BL122)))</f>
        <v>232.99999999999952</v>
      </c>
      <c r="BE123" s="13">
        <f>BD123*VLOOKUP('Données projet'!$B$11,Paramètres!$A$1:$I$89,3,0)*VLOOKUP('Données projet'!$B$11,Paramètres!$A$1:$I$89,5,0)</f>
        <v>265.34039999999942</v>
      </c>
      <c r="BF123" s="13">
        <f t="shared" si="91"/>
        <v>63.859384891326236</v>
      </c>
      <c r="BG123" s="20">
        <f t="shared" si="61"/>
        <v>573.35629201905874</v>
      </c>
      <c r="BH123" s="59">
        <f t="shared" si="62"/>
        <v>866.68962535239211</v>
      </c>
      <c r="BI123" s="59">
        <f ca="1">AVERAGE(OFFSET($BH$3,0,0,'Données projet'!$E$11+1,1))-AVERAGE(OFFSET($H$3,0,0,'Données projet'!$E$11+1,1))</f>
        <v>250.68173853329841</v>
      </c>
      <c r="BJ123" s="59">
        <f t="shared" si="92"/>
        <v>113.25940301904359</v>
      </c>
      <c r="BK123" s="15">
        <f>IF(ISNA(VLOOKUP(A123,'Données projet'!$A$87:$I$107,3,0)),0,VLOOKUP(A123,'Données projet'!$A$87:$I$107,3,0))</f>
        <v>10</v>
      </c>
      <c r="BL123" s="15">
        <f>IF(ISNA(VLOOKUP(A123,'Données projet'!$A$87:$I$107,4,0)),0,VLOOKUP(A123,'Données projet'!$A$87:$I$107,4,0))</f>
        <v>25</v>
      </c>
      <c r="BM123" s="16">
        <f>IF(ISNA(VLOOKUP(A123,'Données projet'!$A$87:$I$107,5,0)),0%,VLOOKUP(A123,'Données projet'!$A$87:$I$107,5,0)*VLOOKUP('Données projet'!$B$11,Paramètres!$A$1:$I$89,7,0))</f>
        <v>0.36549999999999999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52.024350895074292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52.024350895074292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233</v>
      </c>
      <c r="BW123" s="12">
        <f>VLOOKUP(A123,'Données projet'!$A$113:$I$133,9,0)</f>
        <v>2.6</v>
      </c>
      <c r="BX123" s="12">
        <f t="array" ref="BX123">INDEX(BW:BW,MIN(IF(ISNUMBER(BW123:BW319),ROW(BW123:BW319),"")))</f>
        <v>2.6</v>
      </c>
      <c r="BY123" s="12">
        <f>IF('Données projet'!$A$114&gt;35,BY122+BX123-CG122,IF(A123&lt;'Données projet'!$A$114,$BV$205^A123,IF(A123='Données projet'!$A$114,'Données projet'!$B$114,BY122+BX123-CG122)))</f>
        <v>232.99999999999952</v>
      </c>
      <c r="BZ123" s="13">
        <f>BY123*VLOOKUP('Données projet'!$B$12,Paramètres!$A$1:$I$89,3,0)*VLOOKUP('Données projet'!$B$12,Paramètres!$A$1:$I$89,5,0)</f>
        <v>236.26199999999955</v>
      </c>
      <c r="CA123" s="13">
        <f t="shared" si="93"/>
        <v>57.634548288898344</v>
      </c>
      <c r="CB123" s="20">
        <f t="shared" si="64"/>
        <v>511.86982160316376</v>
      </c>
      <c r="CC123" s="59">
        <f t="shared" si="65"/>
        <v>805.20315493649707</v>
      </c>
      <c r="CD123" s="59">
        <f ca="1">AVERAGE(OFFSET($CC$3,0,0,'Données projet'!$E$12+1,1))-AVERAGE(OFFSET($H$3,0,0,'Données projet'!$E$12+1,1))</f>
        <v>211.44496956344943</v>
      </c>
      <c r="CE123" s="59">
        <f t="shared" si="94"/>
        <v>98.543169293276662</v>
      </c>
      <c r="CF123" s="15">
        <f>IF(ISNA(VLOOKUP(A123,'Données projet'!$A$113:$I$133,3,0)),0,VLOOKUP(A123,'Données projet'!$A$113:$I$133,3,0))</f>
        <v>10</v>
      </c>
      <c r="CG123" s="15">
        <f>IF(ISNA(VLOOKUP(A123,'Données projet'!$A$113:$I$133,4,0)),0,VLOOKUP(A123,'Données projet'!$A$113:$I$133,4,0))</f>
        <v>25</v>
      </c>
      <c r="CH123" s="16">
        <f>IF(ISNA(VLOOKUP(A123,'Données projet'!$A$113:$I$133,5,0)),0%,VLOOKUP(A123,'Données projet'!$A$113:$I$133,5,0)*VLOOKUP('Données projet'!$B$12,Paramètres!$A$1:$I$89,7,0))</f>
        <v>0.36549999999999999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46.323052166846999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46.323052166846999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6">
        <f t="shared" si="56"/>
        <v>494.15405578715797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3.2810021366458389E-14</v>
      </c>
      <c r="P124" s="13">
        <f t="shared" si="87"/>
        <v>5.6117125884464641E-13</v>
      </c>
      <c r="Q124" s="20">
        <f t="shared" si="107"/>
        <v>1.0345173963676741E-12</v>
      </c>
      <c r="R124" s="59">
        <f t="shared" si="55"/>
        <v>293.33333333333434</v>
      </c>
      <c r="S124" s="59">
        <f ca="1">AVERAGE(OFFSET($R$3,0,0,'Données projet'!$E$9+1,1))-AVERAGE(OFFSET($H$3,0,0,'Données projet'!$E$9+1,1))</f>
        <v>162.0530649500439</v>
      </c>
      <c r="T124" s="59">
        <f t="shared" si="88"/>
        <v>450.88267959505049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17.217362156861896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7.2807319470051294E-14</v>
      </c>
      <c r="AC124" s="22">
        <f t="shared" si="57"/>
        <v>17.217362156861967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4.0999999999999996</v>
      </c>
      <c r="AI124" s="13">
        <f>IF('Données projet'!$A$62&gt;35,AI123+AH124-AQ123,IF(A124&lt;'Données projet'!$A$62,$AF$205^A124,IF(A124='Données projet'!$A$62,'Données projet'!$B$62,AI123+AH124-AQ123)))</f>
        <v>309.09999999999968</v>
      </c>
      <c r="AJ124" s="13">
        <f>AI124*VLOOKUP('Données projet'!$B$10,Paramètres!$A$1:$I$89,3,0)*VLOOKUP('Données projet'!$B$10,Paramètres!$A$1:$I$89,5,0)</f>
        <v>260.38583999999975</v>
      </c>
      <c r="AK124" s="13">
        <f t="shared" si="89"/>
        <v>62.804616352490115</v>
      </c>
      <c r="AL124" s="20">
        <f t="shared" si="58"/>
        <v>562.89004481391976</v>
      </c>
      <c r="AM124" s="59">
        <f t="shared" si="59"/>
        <v>856.22337814725302</v>
      </c>
      <c r="AN124" s="59">
        <f ca="1">AVERAGE(OFFSET($AM$3,0,0,'Données projet'!$E$10+1,1))-AVERAGE(OFFSET($H$3,0,0,'Données projet'!$E$10+1,1))</f>
        <v>328.34986205643321</v>
      </c>
      <c r="AO124" s="59">
        <f t="shared" si="90"/>
        <v>251.60894449147008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78.083119817391236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78.083119817391236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2.2000000000000002</v>
      </c>
      <c r="BD124" s="12">
        <f>IF('Données projet'!$A$88&gt;35,BD123+BC124-BL123,IF(A124&lt;'Données projet'!$A$88,$BA$205^A124,IF(A124='Données projet'!$A$88,'Données projet'!$B$88,BD123+BC124-BL123)))</f>
        <v>210.19999999999951</v>
      </c>
      <c r="BE124" s="13">
        <f>BD124*VLOOKUP('Données projet'!$B$11,Paramètres!$A$1:$I$89,3,0)*VLOOKUP('Données projet'!$B$11,Paramètres!$A$1:$I$89,5,0)</f>
        <v>239.37575999999942</v>
      </c>
      <c r="BF124" s="13">
        <f t="shared" si="91"/>
        <v>58.305201854245233</v>
      </c>
      <c r="BG124" s="20">
        <f t="shared" si="61"/>
        <v>518.4610085628093</v>
      </c>
      <c r="BH124" s="59">
        <f t="shared" si="62"/>
        <v>811.79434189614267</v>
      </c>
      <c r="BI124" s="59">
        <f ca="1">AVERAGE(OFFSET($BH$3,0,0,'Données projet'!$E$11+1,1))-AVERAGE(OFFSET($H$3,0,0,'Données projet'!$E$11+1,1))</f>
        <v>250.68173853329841</v>
      </c>
      <c r="BJ124" s="59">
        <f t="shared" si="92"/>
        <v>113.25940301904359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51.004185105742685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51.004185105742685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2.2000000000000002</v>
      </c>
      <c r="BY124" s="12">
        <f>IF('Données projet'!$A$114&gt;35,BY123+BX124-CG123,IF(A124&lt;'Données projet'!$A$114,$BV$205^A124,IF(A124='Données projet'!$A$114,'Données projet'!$B$114,BY123+BX124-CG123)))</f>
        <v>210.19999999999951</v>
      </c>
      <c r="BZ124" s="13">
        <f>BY124*VLOOKUP('Données projet'!$B$12,Paramètres!$A$1:$I$89,3,0)*VLOOKUP('Données projet'!$B$12,Paramètres!$A$1:$I$89,5,0)</f>
        <v>213.14279999999951</v>
      </c>
      <c r="CA124" s="13">
        <f t="shared" si="93"/>
        <v>52.621771686042159</v>
      </c>
      <c r="CB124" s="20">
        <f t="shared" si="64"/>
        <v>462.87329568652257</v>
      </c>
      <c r="CC124" s="59">
        <f t="shared" si="65"/>
        <v>756.20662901985588</v>
      </c>
      <c r="CD124" s="59">
        <f ca="1">AVERAGE(OFFSET($CC$3,0,0,'Données projet'!$E$12+1,1))-AVERAGE(OFFSET($H$3,0,0,'Données projet'!$E$12+1,1))</f>
        <v>211.44496956344943</v>
      </c>
      <c r="CE124" s="59">
        <f t="shared" si="94"/>
        <v>98.543169293276662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45.414685368127074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45.414685368127074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6">
        <f t="shared" si="56"/>
        <v>496.06839463579934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3.2810021366458389E-14</v>
      </c>
      <c r="P125" s="13">
        <f t="shared" si="87"/>
        <v>5.6117125884464641E-13</v>
      </c>
      <c r="Q125" s="20">
        <f t="shared" si="107"/>
        <v>1.0345173963676741E-12</v>
      </c>
      <c r="R125" s="59">
        <f t="shared" si="55"/>
        <v>293.33333333333434</v>
      </c>
      <c r="S125" s="59">
        <f ca="1">AVERAGE(OFFSET($R$3,0,0,'Données projet'!$E$9+1,1))-AVERAGE(OFFSET($H$3,0,0,'Données projet'!$E$9+1,1))</f>
        <v>162.0530649500439</v>
      </c>
      <c r="T125" s="59">
        <f t="shared" si="88"/>
        <v>450.88267959505049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16.879740186519808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5.1482549317288622E-14</v>
      </c>
      <c r="AC125" s="22">
        <f t="shared" si="57"/>
        <v>16.879740186519857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4.0999999999999996</v>
      </c>
      <c r="AI125" s="13">
        <f>IF('Données projet'!$A$62&gt;35,AI124+AH125-AQ124,IF(A125&lt;'Données projet'!$A$62,$AF$205^A125,IF(A125='Données projet'!$A$62,'Données projet'!$B$62,AI124+AH125-AQ124)))</f>
        <v>313.1999999999997</v>
      </c>
      <c r="AJ125" s="13">
        <f>AI125*VLOOKUP('Données projet'!$B$10,Paramètres!$A$1:$I$89,3,0)*VLOOKUP('Données projet'!$B$10,Paramètres!$A$1:$I$89,5,0)</f>
        <v>263.83967999999976</v>
      </c>
      <c r="AK125" s="13">
        <f t="shared" si="89"/>
        <v>63.540142934904779</v>
      </c>
      <c r="AL125" s="20">
        <f t="shared" si="58"/>
        <v>570.18652494495871</v>
      </c>
      <c r="AM125" s="59">
        <f t="shared" si="59"/>
        <v>863.51985827829208</v>
      </c>
      <c r="AN125" s="59">
        <f ca="1">AVERAGE(OFFSET($AM$3,0,0,'Données projet'!$E$10+1,1))-AVERAGE(OFFSET($H$3,0,0,'Données projet'!$E$10+1,1))</f>
        <v>328.34986205643321</v>
      </c>
      <c r="AO125" s="59">
        <f t="shared" si="90"/>
        <v>251.60894449147008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76.551957463772609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76.551957463772609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2.2000000000000002</v>
      </c>
      <c r="BD125" s="12">
        <f>IF('Données projet'!$A$88&gt;35,BD124+BC125-BL124,IF(A125&lt;'Données projet'!$A$88,$BA$205^A125,IF(A125='Données projet'!$A$88,'Données projet'!$B$88,BD124+BC125-BL124)))</f>
        <v>212.39999999999949</v>
      </c>
      <c r="BE125" s="13">
        <f>BD125*VLOOKUP('Données projet'!$B$11,Paramètres!$A$1:$I$89,3,0)*VLOOKUP('Données projet'!$B$11,Paramètres!$A$1:$I$89,5,0)</f>
        <v>241.88111999999941</v>
      </c>
      <c r="BF125" s="13">
        <f t="shared" si="91"/>
        <v>58.844078522878263</v>
      </c>
      <c r="BG125" s="20">
        <f t="shared" si="61"/>
        <v>523.76305409401198</v>
      </c>
      <c r="BH125" s="59">
        <f t="shared" si="62"/>
        <v>817.09638742734523</v>
      </c>
      <c r="BI125" s="59">
        <f ca="1">AVERAGE(OFFSET($BH$3,0,0,'Données projet'!$E$11+1,1))-AVERAGE(OFFSET($H$3,0,0,'Données projet'!$E$11+1,1))</f>
        <v>250.68173853329841</v>
      </c>
      <c r="BJ125" s="59">
        <f t="shared" si="92"/>
        <v>113.25940301904359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50.004024145300178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50.004024145300178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2.2000000000000002</v>
      </c>
      <c r="BY125" s="12">
        <f>IF('Données projet'!$A$114&gt;35,BY124+BX125-CG124,IF(A125&lt;'Données projet'!$A$114,$BV$205^A125,IF(A125='Données projet'!$A$114,'Données projet'!$B$114,BY124+BX125-CG124)))</f>
        <v>212.39999999999949</v>
      </c>
      <c r="BZ125" s="13">
        <f>BY125*VLOOKUP('Données projet'!$B$12,Paramètres!$A$1:$I$89,3,0)*VLOOKUP('Données projet'!$B$12,Paramètres!$A$1:$I$89,5,0)</f>
        <v>215.37359999999953</v>
      </c>
      <c r="CA125" s="13">
        <f t="shared" si="93"/>
        <v>53.108120144188867</v>
      </c>
      <c r="CB125" s="20">
        <f t="shared" si="64"/>
        <v>467.60566258446141</v>
      </c>
      <c r="CC125" s="59">
        <f t="shared" si="65"/>
        <v>760.93899591779473</v>
      </c>
      <c r="CD125" s="59">
        <f ca="1">AVERAGE(OFFSET($CC$3,0,0,'Données projet'!$E$12+1,1))-AVERAGE(OFFSET($H$3,0,0,'Données projet'!$E$12+1,1))</f>
        <v>211.44496956344943</v>
      </c>
      <c r="CE125" s="59">
        <f t="shared" si="94"/>
        <v>98.543169293276662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44.52413108828101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44.52413108828101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6">
        <f t="shared" si="56"/>
        <v>497.98238478171629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3.2810021366458389E-14</v>
      </c>
      <c r="P126" s="13">
        <f t="shared" si="87"/>
        <v>5.6117125884464641E-13</v>
      </c>
      <c r="Q126" s="20">
        <f t="shared" si="107"/>
        <v>1.0345173963676741E-12</v>
      </c>
      <c r="R126" s="59">
        <f t="shared" si="55"/>
        <v>293.33333333333434</v>
      </c>
      <c r="S126" s="59">
        <f ca="1">AVERAGE(OFFSET($R$3,0,0,'Données projet'!$E$9+1,1))-AVERAGE(OFFSET($H$3,0,0,'Données projet'!$E$9+1,1))</f>
        <v>162.0530649500439</v>
      </c>
      <c r="T126" s="59">
        <f t="shared" si="88"/>
        <v>450.88267959505049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16.54873877708706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3.6403659735025647E-14</v>
      </c>
      <c r="AC126" s="22">
        <f t="shared" si="57"/>
        <v>16.548738777087095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4.0999999999999996</v>
      </c>
      <c r="AI126" s="13">
        <f>IF('Données projet'!$A$62&gt;35,AI125+AH126-AQ125,IF(A126&lt;'Données projet'!$A$62,$AF$205^A126,IF(A126='Données projet'!$A$62,'Données projet'!$B$62,AI125+AH126-AQ125)))</f>
        <v>317.29999999999973</v>
      </c>
      <c r="AJ126" s="13">
        <f>AI126*VLOOKUP('Données projet'!$B$10,Paramètres!$A$1:$I$89,3,0)*VLOOKUP('Données projet'!$B$10,Paramètres!$A$1:$I$89,5,0)</f>
        <v>267.29351999999983</v>
      </c>
      <c r="AK126" s="13">
        <f t="shared" si="89"/>
        <v>64.274549574792829</v>
      </c>
      <c r="AL126" s="20">
        <f t="shared" si="58"/>
        <v>577.48105450943058</v>
      </c>
      <c r="AM126" s="59">
        <f t="shared" si="59"/>
        <v>870.81438784276384</v>
      </c>
      <c r="AN126" s="59">
        <f ca="1">AVERAGE(OFFSET($AM$3,0,0,'Données projet'!$E$10+1,1))-AVERAGE(OFFSET($H$3,0,0,'Données projet'!$E$10+1,1))</f>
        <v>328.34986205643321</v>
      </c>
      <c r="AO126" s="59">
        <f t="shared" si="90"/>
        <v>251.60894449147008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75.050820269991618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75.050820269991618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2.2000000000000002</v>
      </c>
      <c r="BD126" s="12">
        <f>IF('Données projet'!$A$88&gt;35,BD125+BC126-BL125,IF(A126&lt;'Données projet'!$A$88,$BA$205^A126,IF(A126='Données projet'!$A$88,'Données projet'!$B$88,BD125+BC126-BL125)))</f>
        <v>214.59999999999948</v>
      </c>
      <c r="BE126" s="13">
        <f>BD126*VLOOKUP('Données projet'!$B$11,Paramètres!$A$1:$I$89,3,0)*VLOOKUP('Données projet'!$B$11,Paramètres!$A$1:$I$89,5,0)</f>
        <v>244.38647999999941</v>
      </c>
      <c r="BF126" s="13">
        <f t="shared" si="91"/>
        <v>59.382305874225011</v>
      </c>
      <c r="BG126" s="20">
        <f t="shared" si="61"/>
        <v>529.06396873094093</v>
      </c>
      <c r="BH126" s="59">
        <f t="shared" si="62"/>
        <v>822.3973020642743</v>
      </c>
      <c r="BI126" s="59">
        <f ca="1">AVERAGE(OFFSET($BH$3,0,0,'Données projet'!$E$11+1,1))-AVERAGE(OFFSET($H$3,0,0,'Données projet'!$E$11+1,1))</f>
        <v>250.68173853329841</v>
      </c>
      <c r="BJ126" s="59">
        <f t="shared" si="92"/>
        <v>113.25940301904359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49.023475731254003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49.023475731254003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2.2000000000000002</v>
      </c>
      <c r="BY126" s="12">
        <f>IF('Données projet'!$A$114&gt;35,BY125+BX126-CG125,IF(A126&lt;'Données projet'!$A$114,$BV$205^A126,IF(A126='Données projet'!$A$114,'Données projet'!$B$114,BY125+BX126-CG125)))</f>
        <v>214.59999999999948</v>
      </c>
      <c r="BZ126" s="13">
        <f>BY126*VLOOKUP('Données projet'!$B$12,Paramètres!$A$1:$I$89,3,0)*VLOOKUP('Données projet'!$B$12,Paramètres!$A$1:$I$89,5,0)</f>
        <v>217.60439999999949</v>
      </c>
      <c r="CA126" s="13">
        <f t="shared" si="93"/>
        <v>53.593882578706314</v>
      </c>
      <c r="CB126" s="20">
        <f t="shared" si="64"/>
        <v>472.33700882457924</v>
      </c>
      <c r="CC126" s="59">
        <f t="shared" si="65"/>
        <v>765.6703421579125</v>
      </c>
      <c r="CD126" s="59">
        <f ca="1">AVERAGE(OFFSET($CC$3,0,0,'Données projet'!$E$12+1,1))-AVERAGE(OFFSET($H$3,0,0,'Données projet'!$E$12+1,1))</f>
        <v>211.44496956344943</v>
      </c>
      <c r="CE126" s="59">
        <f t="shared" si="94"/>
        <v>98.543169293276662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43.651040034678246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43.651040034678246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6">
        <f t="shared" si="56"/>
        <v>499.89602938845536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3.2810021366458389E-14</v>
      </c>
      <c r="P127" s="13">
        <f t="shared" si="87"/>
        <v>5.6117125884464641E-13</v>
      </c>
      <c r="Q127" s="20">
        <f t="shared" si="107"/>
        <v>1.0345173963676741E-12</v>
      </c>
      <c r="R127" s="59">
        <f t="shared" si="55"/>
        <v>293.33333333333434</v>
      </c>
      <c r="S127" s="59">
        <f ca="1">AVERAGE(OFFSET($R$3,0,0,'Données projet'!$E$9+1,1))-AVERAGE(OFFSET($H$3,0,0,'Données projet'!$E$9+1,1))</f>
        <v>162.0530649500439</v>
      </c>
      <c r="T127" s="59">
        <f t="shared" si="88"/>
        <v>450.88267959505049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16.224228103402364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2.5741274658644311E-14</v>
      </c>
      <c r="AC127" s="22">
        <f t="shared" si="57"/>
        <v>16.224228103402389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4.0999999999999996</v>
      </c>
      <c r="AI127" s="13">
        <f>IF('Données projet'!$A$62&gt;35,AI126+AH127-AQ126,IF(A127&lt;'Données projet'!$A$62,$AF$205^A127,IF(A127='Données projet'!$A$62,'Données projet'!$B$62,AI126+AH127-AQ126)))</f>
        <v>321.39999999999975</v>
      </c>
      <c r="AJ127" s="13">
        <f>AI127*VLOOKUP('Données projet'!$B$10,Paramètres!$A$1:$I$89,3,0)*VLOOKUP('Données projet'!$B$10,Paramètres!$A$1:$I$89,5,0)</f>
        <v>270.74735999999979</v>
      </c>
      <c r="AK127" s="13">
        <f t="shared" si="89"/>
        <v>65.007852416747056</v>
      </c>
      <c r="AL127" s="20">
        <f t="shared" si="58"/>
        <v>584.77366162583417</v>
      </c>
      <c r="AM127" s="59">
        <f t="shared" si="59"/>
        <v>878.10699495916742</v>
      </c>
      <c r="AN127" s="59">
        <f ca="1">AVERAGE(OFFSET($AM$3,0,0,'Données projet'!$E$10+1,1))-AVERAGE(OFFSET($H$3,0,0,'Données projet'!$E$10+1,1))</f>
        <v>328.34986205643321</v>
      </c>
      <c r="AO127" s="59">
        <f t="shared" si="90"/>
        <v>251.60894449147008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73.579119460977395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73.579119460977395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2.2000000000000002</v>
      </c>
      <c r="BD127" s="12">
        <f>IF('Données projet'!$A$88&gt;35,BD126+BC127-BL126,IF(A127&lt;'Données projet'!$A$88,$BA$205^A127,IF(A127='Données projet'!$A$88,'Données projet'!$B$88,BD126+BC127-BL126)))</f>
        <v>216.79999999999947</v>
      </c>
      <c r="BE127" s="13">
        <f>BD127*VLOOKUP('Données projet'!$B$11,Paramètres!$A$1:$I$89,3,0)*VLOOKUP('Données projet'!$B$11,Paramètres!$A$1:$I$89,5,0)</f>
        <v>246.89183999999941</v>
      </c>
      <c r="BF127" s="13">
        <f t="shared" si="91"/>
        <v>59.919891335499479</v>
      </c>
      <c r="BG127" s="20">
        <f t="shared" si="61"/>
        <v>534.36376540932724</v>
      </c>
      <c r="BH127" s="59">
        <f t="shared" si="62"/>
        <v>827.6970987426605</v>
      </c>
      <c r="BI127" s="59">
        <f ca="1">AVERAGE(OFFSET($BH$3,0,0,'Données projet'!$E$11+1,1))-AVERAGE(OFFSET($H$3,0,0,'Données projet'!$E$11+1,1))</f>
        <v>250.68173853329841</v>
      </c>
      <c r="BJ127" s="59">
        <f t="shared" si="92"/>
        <v>113.25940301904359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48.062155273531793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48.062155273531793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2.2000000000000002</v>
      </c>
      <c r="BY127" s="12">
        <f>IF('Données projet'!$A$114&gt;35,BY126+BX127-CG126,IF(A127&lt;'Données projet'!$A$114,$BV$205^A127,IF(A127='Données projet'!$A$114,'Données projet'!$B$114,BY126+BX127-CG126)))</f>
        <v>216.79999999999947</v>
      </c>
      <c r="BZ127" s="13">
        <f>BY127*VLOOKUP('Données projet'!$B$12,Paramètres!$A$1:$I$89,3,0)*VLOOKUP('Données projet'!$B$12,Paramètres!$A$1:$I$89,5,0)</f>
        <v>219.8351999999995</v>
      </c>
      <c r="CA127" s="13">
        <f t="shared" si="93"/>
        <v>54.079065692824294</v>
      </c>
      <c r="CB127" s="20">
        <f t="shared" si="64"/>
        <v>477.06734608166806</v>
      </c>
      <c r="CC127" s="59">
        <f t="shared" si="65"/>
        <v>770.40067941500138</v>
      </c>
      <c r="CD127" s="59">
        <f ca="1">AVERAGE(OFFSET($CC$3,0,0,'Données projet'!$E$12+1,1))-AVERAGE(OFFSET($H$3,0,0,'Données projet'!$E$12+1,1))</f>
        <v>211.44496956344943</v>
      </c>
      <c r="CE127" s="59">
        <f t="shared" si="94"/>
        <v>98.543169293276662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42.795069764103673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42.795069764103673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6">
        <f t="shared" si="56"/>
        <v>501.80933156559138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3.2810021366458389E-14</v>
      </c>
      <c r="P128" s="13">
        <f t="shared" si="87"/>
        <v>5.6117125884464641E-13</v>
      </c>
      <c r="Q128" s="20">
        <f t="shared" si="107"/>
        <v>1.0345173963676741E-12</v>
      </c>
      <c r="R128" s="59">
        <f t="shared" si="55"/>
        <v>293.33333333333434</v>
      </c>
      <c r="S128" s="59">
        <f ca="1">AVERAGE(OFFSET($R$3,0,0,'Données projet'!$E$9+1,1))-AVERAGE(OFFSET($H$3,0,0,'Données projet'!$E$9+1,1))</f>
        <v>162.0530649500439</v>
      </c>
      <c r="T128" s="59">
        <f t="shared" si="88"/>
        <v>450.88267959505049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15.906080886096657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1.8201829867512824E-14</v>
      </c>
      <c r="AC128" s="22">
        <f t="shared" si="57"/>
        <v>15.906080886096674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4.0999999999999996</v>
      </c>
      <c r="AI128" s="13">
        <f>IF('Données projet'!$A$62&gt;35,AI127+AH128-AQ127,IF(A128&lt;'Données projet'!$A$62,$AF$205^A128,IF(A128='Données projet'!$A$62,'Données projet'!$B$62,AI127+AH128-AQ127)))</f>
        <v>325.49999999999977</v>
      </c>
      <c r="AJ128" s="13">
        <f>AI128*VLOOKUP('Données projet'!$B$10,Paramètres!$A$1:$I$89,3,0)*VLOOKUP('Données projet'!$B$10,Paramètres!$A$1:$I$89,5,0)</f>
        <v>274.20119999999986</v>
      </c>
      <c r="AK128" s="13">
        <f t="shared" si="89"/>
        <v>65.740067169772757</v>
      </c>
      <c r="AL128" s="20">
        <f t="shared" si="58"/>
        <v>592.06437365402064</v>
      </c>
      <c r="AM128" s="59">
        <f t="shared" si="59"/>
        <v>885.39770698735401</v>
      </c>
      <c r="AN128" s="59">
        <f ca="1">AVERAGE(OFFSET($AM$3,0,0,'Données projet'!$E$10+1,1))-AVERAGE(OFFSET($H$3,0,0,'Données projet'!$E$10+1,1))</f>
        <v>328.34986205643321</v>
      </c>
      <c r="AO128" s="59">
        <f t="shared" si="90"/>
        <v>251.60894449147008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72.136277807179084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72.136277807179084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2.2000000000000002</v>
      </c>
      <c r="BD128" s="12">
        <f>IF('Données projet'!$A$88&gt;35,BD127+BC128-BL127,IF(A128&lt;'Données projet'!$A$88,$BA$205^A128,IF(A128='Données projet'!$A$88,'Données projet'!$B$88,BD127+BC128-BL127)))</f>
        <v>218.99999999999946</v>
      </c>
      <c r="BE128" s="13">
        <f>BD128*VLOOKUP('Données projet'!$B$11,Paramètres!$A$1:$I$89,3,0)*VLOOKUP('Données projet'!$B$11,Paramètres!$A$1:$I$89,5,0)</f>
        <v>249.3971999999994</v>
      </c>
      <c r="BF128" s="13">
        <f t="shared" si="91"/>
        <v>60.456842174492238</v>
      </c>
      <c r="BG128" s="20">
        <f t="shared" si="61"/>
        <v>539.66245678723953</v>
      </c>
      <c r="BH128" s="59">
        <f t="shared" si="62"/>
        <v>832.99579012057279</v>
      </c>
      <c r="BI128" s="59">
        <f ca="1">AVERAGE(OFFSET($BH$3,0,0,'Données projet'!$E$11+1,1))-AVERAGE(OFFSET($H$3,0,0,'Données projet'!$E$11+1,1))</f>
        <v>250.68173853329841</v>
      </c>
      <c r="BJ128" s="59">
        <f t="shared" si="92"/>
        <v>113.25940301904359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47.119685723637936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47.119685723637936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2.2000000000000002</v>
      </c>
      <c r="BY128" s="12">
        <f>IF('Données projet'!$A$114&gt;35,BY127+BX128-CG127,IF(A128&lt;'Données projet'!$A$114,$BV$205^A128,IF(A128='Données projet'!$A$114,'Données projet'!$B$114,BY127+BX128-CG127)))</f>
        <v>218.99999999999946</v>
      </c>
      <c r="BZ128" s="13">
        <f>BY128*VLOOKUP('Données projet'!$B$12,Paramètres!$A$1:$I$89,3,0)*VLOOKUP('Données projet'!$B$12,Paramètres!$A$1:$I$89,5,0)</f>
        <v>222.06599999999946</v>
      </c>
      <c r="CA128" s="13">
        <f t="shared" si="93"/>
        <v>54.563676045889196</v>
      </c>
      <c r="CB128" s="20">
        <f t="shared" si="64"/>
        <v>481.79668577992283</v>
      </c>
      <c r="CC128" s="59">
        <f t="shared" si="65"/>
        <v>775.13001911325614</v>
      </c>
      <c r="CD128" s="59">
        <f ca="1">AVERAGE(OFFSET($CC$3,0,0,'Données projet'!$E$12+1,1))-AVERAGE(OFFSET($H$3,0,0,'Données projet'!$E$12+1,1))</f>
        <v>211.44496956344943</v>
      </c>
      <c r="CE128" s="59">
        <f t="shared" si="94"/>
        <v>98.543169293276662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41.955884548444757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41.955884548444757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6">
        <f t="shared" si="56"/>
        <v>503.72229437007394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3.2810021366458389E-14</v>
      </c>
      <c r="P129" s="13">
        <f t="shared" si="87"/>
        <v>5.6117125884464641E-13</v>
      </c>
      <c r="Q129" s="20">
        <f t="shared" si="107"/>
        <v>1.0345173963676741E-12</v>
      </c>
      <c r="R129" s="59">
        <f t="shared" si="55"/>
        <v>293.33333333333434</v>
      </c>
      <c r="S129" s="59">
        <f ca="1">AVERAGE(OFFSET($R$3,0,0,'Données projet'!$E$9+1,1))-AVERAGE(OFFSET($H$3,0,0,'Données projet'!$E$9+1,1))</f>
        <v>162.0530649500439</v>
      </c>
      <c r="T129" s="59">
        <f t="shared" si="88"/>
        <v>450.88267959505049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15.594172341671673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1.2870637329322156E-14</v>
      </c>
      <c r="AC129" s="22">
        <f t="shared" si="57"/>
        <v>15.594172341671685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4.0999999999999996</v>
      </c>
      <c r="AI129" s="13">
        <f>IF('Données projet'!$A$62&gt;35,AI128+AH129-AQ128,IF(A129&lt;'Données projet'!$A$62,$AF$205^A129,IF(A129='Données projet'!$A$62,'Données projet'!$B$62,AI128+AH129-AQ128)))</f>
        <v>329.5999999999998</v>
      </c>
      <c r="AJ129" s="13">
        <f>AI129*VLOOKUP('Données projet'!$B$10,Paramètres!$A$1:$I$89,3,0)*VLOOKUP('Données projet'!$B$10,Paramètres!$A$1:$I$89,5,0)</f>
        <v>277.65503999999987</v>
      </c>
      <c r="AK129" s="13">
        <f t="shared" si="89"/>
        <v>66.47120912437552</v>
      </c>
      <c r="AL129" s="20">
        <f t="shared" si="58"/>
        <v>599.35321722495371</v>
      </c>
      <c r="AM129" s="59">
        <f t="shared" si="59"/>
        <v>892.68655055828708</v>
      </c>
      <c r="AN129" s="59">
        <f ca="1">AVERAGE(OFFSET($AM$3,0,0,'Données projet'!$E$10+1,1))-AVERAGE(OFFSET($H$3,0,0,'Données projet'!$E$10+1,1))</f>
        <v>328.34986205643321</v>
      </c>
      <c r="AO129" s="59">
        <f t="shared" si="90"/>
        <v>251.60894449147008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70.721729398165252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70.721729398165252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2.2000000000000002</v>
      </c>
      <c r="BD129" s="12">
        <f>IF('Données projet'!$A$88&gt;35,BD128+BC129-BL128,IF(A129&lt;'Données projet'!$A$88,$BA$205^A129,IF(A129='Données projet'!$A$88,'Données projet'!$B$88,BD128+BC129-BL128)))</f>
        <v>221.19999999999945</v>
      </c>
      <c r="BE129" s="13">
        <f>BD129*VLOOKUP('Données projet'!$B$11,Paramètres!$A$1:$I$89,3,0)*VLOOKUP('Données projet'!$B$11,Paramètres!$A$1:$I$89,5,0)</f>
        <v>251.9025599999994</v>
      </c>
      <c r="BF129" s="13">
        <f t="shared" si="91"/>
        <v>60.993165504558554</v>
      </c>
      <c r="BG129" s="20">
        <f t="shared" si="61"/>
        <v>544.96005525377177</v>
      </c>
      <c r="BH129" s="59">
        <f t="shared" si="62"/>
        <v>838.29338858710503</v>
      </c>
      <c r="BI129" s="59">
        <f ca="1">AVERAGE(OFFSET($BH$3,0,0,'Données projet'!$E$11+1,1))-AVERAGE(OFFSET($H$3,0,0,'Données projet'!$E$11+1,1))</f>
        <v>250.68173853329841</v>
      </c>
      <c r="BJ129" s="59">
        <f t="shared" si="92"/>
        <v>113.25940301904359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46.195697426767829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46.195697426767829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2.2000000000000002</v>
      </c>
      <c r="BY129" s="12">
        <f>IF('Données projet'!$A$114&gt;35,BY128+BX129-CG128,IF(A129&lt;'Données projet'!$A$114,$BV$205^A129,IF(A129='Données projet'!$A$114,'Données projet'!$B$114,BY128+BX129-CG128)))</f>
        <v>221.19999999999945</v>
      </c>
      <c r="BZ129" s="13">
        <f>BY129*VLOOKUP('Données projet'!$B$12,Paramètres!$A$1:$I$89,3,0)*VLOOKUP('Données projet'!$B$12,Paramètres!$A$1:$I$89,5,0)</f>
        <v>224.29679999999948</v>
      </c>
      <c r="CA129" s="13">
        <f t="shared" si="93"/>
        <v>55.047720057866073</v>
      </c>
      <c r="CB129" s="20">
        <f t="shared" si="64"/>
        <v>486.52503910078241</v>
      </c>
      <c r="CC129" s="59">
        <f t="shared" si="65"/>
        <v>779.85837243411572</v>
      </c>
      <c r="CD129" s="59">
        <f ca="1">AVERAGE(OFFSET($CC$3,0,0,'Données projet'!$E$12+1,1))-AVERAGE(OFFSET($H$3,0,0,'Données projet'!$E$12+1,1))</f>
        <v>211.44496956344943</v>
      </c>
      <c r="CE129" s="59">
        <f t="shared" si="94"/>
        <v>98.543169293276662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41.133155243012475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41.133155243012475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6">
        <f t="shared" si="56"/>
        <v>505.63492080752712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3.2810021366458389E-14</v>
      </c>
      <c r="P130" s="13">
        <f t="shared" si="87"/>
        <v>5.6117125884464641E-13</v>
      </c>
      <c r="Q130" s="20">
        <f t="shared" si="107"/>
        <v>1.0345173963676741E-12</v>
      </c>
      <c r="R130" s="59">
        <f t="shared" si="55"/>
        <v>293.33333333333434</v>
      </c>
      <c r="S130" s="59">
        <f ca="1">AVERAGE(OFFSET($R$3,0,0,'Données projet'!$E$9+1,1))-AVERAGE(OFFSET($H$3,0,0,'Données projet'!$E$9+1,1))</f>
        <v>162.0530649500439</v>
      </c>
      <c r="T130" s="59">
        <f t="shared" si="88"/>
        <v>450.88267959505049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15.288380133557437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9.1009149337564118E-15</v>
      </c>
      <c r="AC130" s="22">
        <f t="shared" si="57"/>
        <v>15.288380133557446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4.0999999999999996</v>
      </c>
      <c r="AI130" s="13">
        <f>IF('Données projet'!$A$62&gt;35,AI129+AH130-AQ129,IF(A130&lt;'Données projet'!$A$62,$AF$205^A130,IF(A130='Données projet'!$A$62,'Données projet'!$B$62,AI129+AH130-AQ129)))</f>
        <v>333.69999999999982</v>
      </c>
      <c r="AJ130" s="13">
        <f>AI130*VLOOKUP('Données projet'!$B$10,Paramètres!$A$1:$I$89,3,0)*VLOOKUP('Données projet'!$B$10,Paramètres!$A$1:$I$89,5,0)</f>
        <v>281.10887999999989</v>
      </c>
      <c r="AK130" s="13">
        <f t="shared" si="89"/>
        <v>67.201293168774626</v>
      </c>
      <c r="AL130" s="20">
        <f t="shared" si="58"/>
        <v>606.64021826894884</v>
      </c>
      <c r="AM130" s="59">
        <f t="shared" si="59"/>
        <v>899.97355160228221</v>
      </c>
      <c r="AN130" s="59">
        <f ca="1">AVERAGE(OFFSET($AM$3,0,0,'Données projet'!$E$10+1,1))-AVERAGE(OFFSET($H$3,0,0,'Données projet'!$E$10+1,1))</f>
        <v>328.34986205643321</v>
      </c>
      <c r="AO130" s="59">
        <f t="shared" si="90"/>
        <v>251.60894449147008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69.334919420662843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69.334919420662843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2.2000000000000002</v>
      </c>
      <c r="BD130" s="12">
        <f>IF('Données projet'!$A$88&gt;35,BD129+BC130-BL129,IF(A130&lt;'Données projet'!$A$88,$BA$205^A130,IF(A130='Données projet'!$A$88,'Données projet'!$B$88,BD129+BC130-BL129)))</f>
        <v>223.39999999999944</v>
      </c>
      <c r="BE130" s="13">
        <f>BD130*VLOOKUP('Données projet'!$B$11,Paramètres!$A$1:$I$89,3,0)*VLOOKUP('Données projet'!$B$11,Paramètres!$A$1:$I$89,5,0)</f>
        <v>254.40791999999936</v>
      </c>
      <c r="BF130" s="13">
        <f t="shared" si="91"/>
        <v>61.528868289402531</v>
      </c>
      <c r="BG130" s="20">
        <f t="shared" si="61"/>
        <v>550.25657293737493</v>
      </c>
      <c r="BH130" s="59">
        <f t="shared" si="62"/>
        <v>843.5899062707083</v>
      </c>
      <c r="BI130" s="59">
        <f ca="1">AVERAGE(OFFSET($BH$3,0,0,'Données projet'!$E$11+1,1))-AVERAGE(OFFSET($H$3,0,0,'Données projet'!$E$11+1,1))</f>
        <v>250.68173853329841</v>
      </c>
      <c r="BJ130" s="59">
        <f t="shared" si="92"/>
        <v>113.25940301904359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45.289827976822131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45.289827976822131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2.2000000000000002</v>
      </c>
      <c r="BY130" s="12">
        <f>IF('Données projet'!$A$114&gt;35,BY129+BX130-CG129,IF(A130&lt;'Données projet'!$A$114,$BV$205^A130,IF(A130='Données projet'!$A$114,'Données projet'!$B$114,BY129+BX130-CG129)))</f>
        <v>223.39999999999944</v>
      </c>
      <c r="BZ130" s="13">
        <f>BY130*VLOOKUP('Données projet'!$B$12,Paramètres!$A$1:$I$89,3,0)*VLOOKUP('Données projet'!$B$12,Paramètres!$A$1:$I$89,5,0)</f>
        <v>226.52759999999944</v>
      </c>
      <c r="CA130" s="13">
        <f t="shared" si="93"/>
        <v>55.531204013656222</v>
      </c>
      <c r="CB130" s="20">
        <f t="shared" si="64"/>
        <v>491.25241699045029</v>
      </c>
      <c r="CC130" s="59">
        <f t="shared" si="65"/>
        <v>784.5857503237836</v>
      </c>
      <c r="CD130" s="59">
        <f ca="1">AVERAGE(OFFSET($CC$3,0,0,'Données projet'!$E$12+1,1))-AVERAGE(OFFSET($H$3,0,0,'Données projet'!$E$12+1,1))</f>
        <v>211.44496956344943</v>
      </c>
      <c r="CE130" s="59">
        <f t="shared" si="94"/>
        <v>98.543169293276662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40.326559157444393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40.326559157444393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6">
        <f t="shared" si="56"/>
        <v>507.5472138335092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3.2810021366458389E-14</v>
      </c>
      <c r="P131" s="13">
        <f t="shared" si="87"/>
        <v>5.6117125884464641E-13</v>
      </c>
      <c r="Q131" s="20">
        <f t="shared" ref="Q131:Q153" si="108">(O131+P131)*0.475*44/12</f>
        <v>1.0345173963676741E-12</v>
      </c>
      <c r="R131" s="59">
        <f t="shared" ref="R131:R194" si="109">Q131+(I131+J131)*44/12</f>
        <v>293.33333333333434</v>
      </c>
      <c r="S131" s="59">
        <f ca="1">AVERAGE(OFFSET($R$3,0,0,'Données projet'!$E$9+1,1))-AVERAGE(OFFSET($H$3,0,0,'Données projet'!$E$9+1,1))</f>
        <v>162.0530649500439</v>
      </c>
      <c r="T131" s="59">
        <f t="shared" si="88"/>
        <v>450.88267959505049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14.988584324129491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6.4353186646610778E-15</v>
      </c>
      <c r="AC131" s="22">
        <f t="shared" si="57"/>
        <v>14.988584324129498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4.0999999999999996</v>
      </c>
      <c r="AI131" s="13">
        <f>IF('Données projet'!$A$62&gt;35,AI130+AH131-AQ130,IF(A131&lt;'Données projet'!$A$62,$AF$205^A131,IF(A131='Données projet'!$A$62,'Données projet'!$B$62,AI130+AH131-AQ130)))</f>
        <v>337.79999999999984</v>
      </c>
      <c r="AJ131" s="13">
        <f>AI131*VLOOKUP('Données projet'!$B$10,Paramètres!$A$1:$I$89,3,0)*VLOOKUP('Données projet'!$B$10,Paramètres!$A$1:$I$89,5,0)</f>
        <v>284.5627199999999</v>
      </c>
      <c r="AK131" s="13">
        <f t="shared" si="89"/>
        <v>67.93033380429695</v>
      </c>
      <c r="AL131" s="20">
        <f t="shared" si="58"/>
        <v>613.9254020424836</v>
      </c>
      <c r="AM131" s="59">
        <f t="shared" si="59"/>
        <v>907.25873537581697</v>
      </c>
      <c r="AN131" s="59">
        <f ca="1">AVERAGE(OFFSET($AM$3,0,0,'Données projet'!$E$10+1,1))-AVERAGE(OFFSET($H$3,0,0,'Données projet'!$E$10+1,1))</f>
        <v>328.34986205643321</v>
      </c>
      <c r="AO131" s="59">
        <f t="shared" si="90"/>
        <v>251.60894449147008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67.975303940948692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67.975303940948692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2.2000000000000002</v>
      </c>
      <c r="BD131" s="12">
        <f>IF('Données projet'!$A$88&gt;35,BD130+BC131-BL130,IF(A131&lt;'Données projet'!$A$88,$BA$205^A131,IF(A131='Données projet'!$A$88,'Données projet'!$B$88,BD130+BC131-BL130)))</f>
        <v>225.59999999999943</v>
      </c>
      <c r="BE131" s="13">
        <f>BD131*VLOOKUP('Données projet'!$B$11,Paramètres!$A$1:$I$89,3,0)*VLOOKUP('Données projet'!$B$11,Paramètres!$A$1:$I$89,5,0)</f>
        <v>256.91327999999936</v>
      </c>
      <c r="BF131" s="13">
        <f t="shared" si="91"/>
        <v>62.063957347667802</v>
      </c>
      <c r="BG131" s="20">
        <f t="shared" si="61"/>
        <v>555.55202171385361</v>
      </c>
      <c r="BH131" s="59">
        <f t="shared" si="62"/>
        <v>848.88535504718698</v>
      </c>
      <c r="BI131" s="59">
        <f ca="1">AVERAGE(OFFSET($BH$3,0,0,'Données projet'!$E$11+1,1))-AVERAGE(OFFSET($H$3,0,0,'Données projet'!$E$11+1,1))</f>
        <v>250.68173853329841</v>
      </c>
      <c r="BJ131" s="59">
        <f t="shared" si="92"/>
        <v>113.25940301904359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44.401722074264065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44.401722074264065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2.2000000000000002</v>
      </c>
      <c r="BY131" s="12">
        <f>IF('Données projet'!$A$114&gt;35,BY130+BX131-CG130,IF(A131&lt;'Données projet'!$A$114,$BV$205^A131,IF(A131='Données projet'!$A$114,'Données projet'!$B$114,BY130+BX131-CG130)))</f>
        <v>225.59999999999943</v>
      </c>
      <c r="BZ131" s="13">
        <f>BY131*VLOOKUP('Données projet'!$B$12,Paramètres!$A$1:$I$89,3,0)*VLOOKUP('Données projet'!$B$12,Paramètres!$A$1:$I$89,5,0)</f>
        <v>228.75839999999945</v>
      </c>
      <c r="CA131" s="13">
        <f t="shared" si="93"/>
        <v>56.014134067240867</v>
      </c>
      <c r="CB131" s="20">
        <f t="shared" si="64"/>
        <v>495.97883016711029</v>
      </c>
      <c r="CC131" s="59">
        <f t="shared" si="65"/>
        <v>789.3121635004436</v>
      </c>
      <c r="CD131" s="59">
        <f ca="1">AVERAGE(OFFSET($CC$3,0,0,'Données projet'!$E$12+1,1))-AVERAGE(OFFSET($H$3,0,0,'Données projet'!$E$12+1,1))</f>
        <v>211.44496956344943</v>
      </c>
      <c r="CE131" s="59">
        <f t="shared" si="94"/>
        <v>98.543169293276662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39.535779929139267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39.535779929139267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6">
        <f t="shared" ref="H132:H195" si="110">(B132+E132+F132)*44/12+(C132+D132)*0.475*44/12</f>
        <v>509.45917635473086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3.2810021366458389E-14</v>
      </c>
      <c r="P132" s="13">
        <f t="shared" si="87"/>
        <v>5.6117125884464641E-13</v>
      </c>
      <c r="Q132" s="20">
        <f t="shared" si="108"/>
        <v>1.0345173963676741E-12</v>
      </c>
      <c r="R132" s="59">
        <f t="shared" si="109"/>
        <v>293.33333333333434</v>
      </c>
      <c r="S132" s="59">
        <f ca="1">AVERAGE(OFFSET($R$3,0,0,'Données projet'!$E$9+1,1))-AVERAGE(OFFSET($H$3,0,0,'Données projet'!$E$9+1,1))</f>
        <v>162.0530649500439</v>
      </c>
      <c r="T132" s="59">
        <f t="shared" si="88"/>
        <v>450.88267959505049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14.694667327667039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4.5504574668782059E-15</v>
      </c>
      <c r="AC132" s="22">
        <f t="shared" ref="AC132:AC153" si="111">SUM(Z132:AB132)</f>
        <v>14.694667327667045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4.0999999999999996</v>
      </c>
      <c r="AI132" s="13">
        <f>IF('Données projet'!$A$62&gt;35,AI131+AH132-AQ131,IF(A132&lt;'Données projet'!$A$62,$AF$205^A132,IF(A132='Données projet'!$A$62,'Données projet'!$B$62,AI131+AH132-AQ131)))</f>
        <v>341.89999999999986</v>
      </c>
      <c r="AJ132" s="13">
        <f>AI132*VLOOKUP('Données projet'!$B$10,Paramètres!$A$1:$I$89,3,0)*VLOOKUP('Données projet'!$B$10,Paramètres!$A$1:$I$89,5,0)</f>
        <v>288.01655999999991</v>
      </c>
      <c r="AK132" s="13">
        <f t="shared" si="89"/>
        <v>68.658345160002241</v>
      </c>
      <c r="AL132" s="20">
        <f t="shared" ref="AL132:AL153" si="112">(AJ132+AK132)*0.475*44/12</f>
        <v>621.2087931536704</v>
      </c>
      <c r="AM132" s="59">
        <f t="shared" ref="AM132:AM195" si="113">AL132+(AD132+AE132)*44/12</f>
        <v>914.54212648700377</v>
      </c>
      <c r="AN132" s="59">
        <f ca="1">AVERAGE(OFFSET($AM$3,0,0,'Données projet'!$E$10+1,1))-AVERAGE(OFFSET($H$3,0,0,'Données projet'!$E$10+1,1))</f>
        <v>328.34986205643321</v>
      </c>
      <c r="AO132" s="59">
        <f t="shared" si="90"/>
        <v>251.60894449147008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66.642349691508173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66.642349691508173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2.2000000000000002</v>
      </c>
      <c r="BD132" s="12">
        <f>IF('Données projet'!$A$88&gt;35,BD131+BC132-BL131,IF(A132&lt;'Données projet'!$A$88,$BA$205^A132,IF(A132='Données projet'!$A$88,'Données projet'!$B$88,BD131+BC132-BL131)))</f>
        <v>227.79999999999941</v>
      </c>
      <c r="BE132" s="13">
        <f>BD132*VLOOKUP('Données projet'!$B$11,Paramètres!$A$1:$I$89,3,0)*VLOOKUP('Données projet'!$B$11,Paramètres!$A$1:$I$89,5,0)</f>
        <v>259.4186399999993</v>
      </c>
      <c r="BF132" s="13">
        <f t="shared" si="91"/>
        <v>62.59843935734348</v>
      </c>
      <c r="BG132" s="20">
        <f t="shared" ref="BG132:BG153" si="115">(BE132+BF132)*0.475*44/12</f>
        <v>560.84641321403853</v>
      </c>
      <c r="BH132" s="59">
        <f t="shared" ref="BH132:BH195" si="116">BG132+(AY132+AZ132)*44/12</f>
        <v>854.17974654737191</v>
      </c>
      <c r="BI132" s="59">
        <f ca="1">AVERAGE(OFFSET($BH$3,0,0,'Données projet'!$E$11+1,1))-AVERAGE(OFFSET($H$3,0,0,'Données projet'!$E$11+1,1))</f>
        <v>250.68173853329841</v>
      </c>
      <c r="BJ132" s="59">
        <f t="shared" si="92"/>
        <v>113.25940301904359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43.531031386764049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43.531031386764049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2.2000000000000002</v>
      </c>
      <c r="BY132" s="12">
        <f>IF('Données projet'!$A$114&gt;35,BY131+BX132-CG131,IF(A132&lt;'Données projet'!$A$114,$BV$205^A132,IF(A132='Données projet'!$A$114,'Données projet'!$B$114,BY131+BX132-CG131)))</f>
        <v>227.79999999999941</v>
      </c>
      <c r="BZ132" s="13">
        <f>BY132*VLOOKUP('Données projet'!$B$12,Paramètres!$A$1:$I$89,3,0)*VLOOKUP('Données projet'!$B$12,Paramètres!$A$1:$I$89,5,0)</f>
        <v>230.98919999999941</v>
      </c>
      <c r="CA132" s="13">
        <f t="shared" si="93"/>
        <v>56.496516245657126</v>
      </c>
      <c r="CB132" s="20">
        <f t="shared" ref="CB132:CB153" si="118">(BZ132+CA132)*0.475*44/12</f>
        <v>500.70428912785178</v>
      </c>
      <c r="CC132" s="59">
        <f t="shared" ref="CC132:CC195" si="119">CB132+(BT132+BU132)*44/12</f>
        <v>794.03762246118504</v>
      </c>
      <c r="CD132" s="59">
        <f ca="1">AVERAGE(OFFSET($CC$3,0,0,'Données projet'!$E$12+1,1))-AVERAGE(OFFSET($H$3,0,0,'Données projet'!$E$12+1,1))</f>
        <v>211.44496956344943</v>
      </c>
      <c r="CE132" s="59">
        <f t="shared" si="94"/>
        <v>98.543169293276662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38.760507399173498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38.760507399173498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6">
        <f t="shared" si="110"/>
        <v>511.37081123023484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3.2810021366458389E-14</v>
      </c>
      <c r="P133" s="13">
        <f t="shared" ref="P133:P196" si="141">EXP(-1.0587+0.8836*LN(O133)+0.284)</f>
        <v>5.6117125884464641E-13</v>
      </c>
      <c r="Q133" s="20">
        <f t="shared" si="108"/>
        <v>1.0345173963676741E-12</v>
      </c>
      <c r="R133" s="59">
        <f t="shared" si="109"/>
        <v>293.33333333333434</v>
      </c>
      <c r="S133" s="59">
        <f ca="1">AVERAGE(OFFSET($R$3,0,0,'Données projet'!$E$9+1,1))-AVERAGE(OFFSET($H$3,0,0,'Données projet'!$E$9+1,1))</f>
        <v>162.0530649500439</v>
      </c>
      <c r="T133" s="59">
        <f t="shared" ref="T133:T196" si="142">$T$3</f>
        <v>450.88267959505049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14.406513864233549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3.2176593323305389E-15</v>
      </c>
      <c r="AC133" s="22">
        <f t="shared" si="111"/>
        <v>14.406513864233553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346</v>
      </c>
      <c r="AG133" s="12">
        <f>VLOOKUP(A133,'Données projet'!$A$61:$I$81,9,0)</f>
        <v>4.0999999999999996</v>
      </c>
      <c r="AH133" s="12">
        <f t="array" ref="AH133">INDEX(AG:AG,MIN(IF(ISNUMBER(AG133:AG329),ROW(AG133:AG329),"")))</f>
        <v>4.0999999999999996</v>
      </c>
      <c r="AI133" s="13">
        <f>IF('Données projet'!$A$62&gt;35,AI132+AH133-AQ132,IF(A133&lt;'Données projet'!$A$62,$AF$205^A133,IF(A133='Données projet'!$A$62,'Données projet'!$B$62,AI132+AH133-AQ132)))</f>
        <v>345.99999999999989</v>
      </c>
      <c r="AJ133" s="13">
        <f>AI133*VLOOKUP('Données projet'!$B$10,Paramètres!$A$1:$I$89,3,0)*VLOOKUP('Données projet'!$B$10,Paramètres!$A$1:$I$89,5,0)</f>
        <v>291.47039999999993</v>
      </c>
      <c r="AK133" s="13">
        <f t="shared" ref="AK133:AK153" si="143">EXP(-1.0587+0.8836*LN(AJ133)+0.284)</f>
        <v>69.38534100658697</v>
      </c>
      <c r="AL133" s="20">
        <f t="shared" si="112"/>
        <v>628.49041558647207</v>
      </c>
      <c r="AM133" s="59">
        <f t="shared" si="113"/>
        <v>921.82374891980544</v>
      </c>
      <c r="AN133" s="59">
        <f ca="1">AVERAGE(OFFSET($AM$3,0,0,'Données projet'!$E$10+1,1))-AVERAGE(OFFSET($H$3,0,0,'Données projet'!$E$10+1,1))</f>
        <v>328.34986205643321</v>
      </c>
      <c r="AO133" s="59">
        <f t="shared" ref="AO133:AO196" si="144">$AO$3</f>
        <v>251.60894449147008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44</v>
      </c>
      <c r="AR133" s="16">
        <f>IF(ISNA(VLOOKUP(A133,'Données projet'!$A$61:$I$81,5,0)),0%,VLOOKUP(A133,'Données projet'!$A$61:$I$81,5,0)*VLOOKUP('Données projet'!$B$10,Paramètres!$A$1:$I$89,7,0))</f>
        <v>0.36549999999999999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80.311868181687203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80.311868181687203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230</v>
      </c>
      <c r="BB133" s="12">
        <f>VLOOKUP(A133,'Données projet'!$A$87:$I$107,9,0)</f>
        <v>2.2000000000000002</v>
      </c>
      <c r="BC133" s="12">
        <f t="array" ref="BC133">INDEX(BB:BB,MIN(IF(ISNUMBER(BB133:BB329),ROW(BB133:BB329),"")))</f>
        <v>2.2000000000000002</v>
      </c>
      <c r="BD133" s="12">
        <f>IF('Données projet'!$A$88&gt;35,BD132+BC133-BL132,IF(A133&lt;'Données projet'!$A$88,$BA$205^A133,IF(A133='Données projet'!$A$88,'Données projet'!$B$88,BD132+BC133-BL132)))</f>
        <v>229.9999999999994</v>
      </c>
      <c r="BE133" s="13">
        <f>BD133*VLOOKUP('Données projet'!$B$11,Paramètres!$A$1:$I$89,3,0)*VLOOKUP('Données projet'!$B$11,Paramètres!$A$1:$I$89,5,0)</f>
        <v>261.9239999999993</v>
      </c>
      <c r="BF133" s="13">
        <f t="shared" ref="BF133:BF153" si="145">EXP(-1.0587+0.8836*LN(BE133)+0.284)</f>
        <v>63.132320859995481</v>
      </c>
      <c r="BG133" s="20">
        <f t="shared" si="115"/>
        <v>566.13975883115756</v>
      </c>
      <c r="BH133" s="59">
        <f t="shared" si="116"/>
        <v>859.47309216449094</v>
      </c>
      <c r="BI133" s="59">
        <f ca="1">AVERAGE(OFFSET($BH$3,0,0,'Données projet'!$E$11+1,1))-AVERAGE(OFFSET($H$3,0,0,'Données projet'!$E$11+1,1))</f>
        <v>250.68173853329841</v>
      </c>
      <c r="BJ133" s="59">
        <f t="shared" ref="BJ133:BJ196" si="146">$BJ$3</f>
        <v>113.25940301904359</v>
      </c>
      <c r="BK133" s="15">
        <f>IF(ISNA(VLOOKUP(A133,'Données projet'!$A$87:$I$107,3,0)),0,VLOOKUP(A133,'Données projet'!$A$87:$I$107,3,0))</f>
        <v>11</v>
      </c>
      <c r="BL133" s="15">
        <f>IF(ISNA(VLOOKUP(A133,'Données projet'!$A$87:$I$107,4,0)),0,VLOOKUP(A133,'Données projet'!$A$87:$I$107,4,0))</f>
        <v>21</v>
      </c>
      <c r="BM133" s="16">
        <f>IF(ISNA(VLOOKUP(A133,'Données projet'!$A$87:$I$107,5,0)),0%,VLOOKUP(A133,'Données projet'!$A$87:$I$107,5,0)*VLOOKUP('Données projet'!$B$11,Paramètres!$A$1:$I$89,7,0))</f>
        <v>0.36549999999999999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52.340175570939181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52.340175570939181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230</v>
      </c>
      <c r="BW133" s="12">
        <f>VLOOKUP(A133,'Données projet'!$A$113:$I$133,9,0)</f>
        <v>2.2000000000000002</v>
      </c>
      <c r="BX133" s="12">
        <f t="array" ref="BX133">INDEX(BW:BW,MIN(IF(ISNUMBER(BW133:BW329),ROW(BW133:BW329),"")))</f>
        <v>2.2000000000000002</v>
      </c>
      <c r="BY133" s="12">
        <f>IF('Données projet'!$A$114&gt;35,BY132+BX133-CG132,IF(A133&lt;'Données projet'!$A$114,$BV$205^A133,IF(A133='Données projet'!$A$114,'Données projet'!$B$114,BY132+BX133-CG132)))</f>
        <v>229.9999999999994</v>
      </c>
      <c r="BZ133" s="13">
        <f>BY133*VLOOKUP('Données projet'!$B$12,Paramètres!$A$1:$I$89,3,0)*VLOOKUP('Données projet'!$B$12,Paramètres!$A$1:$I$89,5,0)</f>
        <v>233.21999999999943</v>
      </c>
      <c r="CA133" s="13">
        <f t="shared" ref="CA133:CA153" si="147">EXP(-1.0587+0.8836*LN(BZ133)+0.284)</f>
        <v>56.978356452817117</v>
      </c>
      <c r="CB133" s="20">
        <f t="shared" si="118"/>
        <v>505.4288041553221</v>
      </c>
      <c r="CC133" s="59">
        <f t="shared" si="119"/>
        <v>798.76213748865541</v>
      </c>
      <c r="CD133" s="59">
        <f ca="1">AVERAGE(OFFSET($CC$3,0,0,'Données projet'!$E$12+1,1))-AVERAGE(OFFSET($H$3,0,0,'Données projet'!$E$12+1,1))</f>
        <v>211.44496956344943</v>
      </c>
      <c r="CE133" s="59">
        <f t="shared" ref="CE133:CE196" si="148">$CE$3</f>
        <v>98.543169293276662</v>
      </c>
      <c r="CF133" s="15">
        <f>IF(ISNA(VLOOKUP(A133,'Données projet'!$A$113:$I$133,3,0)),0,VLOOKUP(A133,'Données projet'!$A$113:$I$133,3,0))</f>
        <v>11</v>
      </c>
      <c r="CG133" s="15">
        <f>IF(ISNA(VLOOKUP(A133,'Données projet'!$A$113:$I$133,4,0)),0,VLOOKUP(A133,'Données projet'!$A$113:$I$133,4,0))</f>
        <v>21</v>
      </c>
      <c r="CH133" s="16">
        <f>IF(ISNA(VLOOKUP(A133,'Données projet'!$A$113:$I$133,5,0)),0%,VLOOKUP(A133,'Données projet'!$A$113:$I$133,5,0)*VLOOKUP('Données projet'!$B$12,Paramètres!$A$1:$I$89,7,0))</f>
        <v>0.36549999999999999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46.604265919329443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46.604265919329443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6">
        <f t="shared" si="110"/>
        <v>513.28212127253823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3.2810021366458389E-14</v>
      </c>
      <c r="P134" s="13">
        <f t="shared" si="141"/>
        <v>5.6117125884464641E-13</v>
      </c>
      <c r="Q134" s="20">
        <f t="shared" si="108"/>
        <v>1.0345173963676741E-12</v>
      </c>
      <c r="R134" s="59">
        <f t="shared" si="109"/>
        <v>293.33333333333434</v>
      </c>
      <c r="S134" s="59">
        <f ca="1">AVERAGE(OFFSET($R$3,0,0,'Données projet'!$E$9+1,1))-AVERAGE(OFFSET($H$3,0,0,'Données projet'!$E$9+1,1))</f>
        <v>162.0530649500439</v>
      </c>
      <c r="T134" s="59">
        <f t="shared" si="142"/>
        <v>450.88267959505049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14.124010914461731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2.2752287334391029E-15</v>
      </c>
      <c r="AC134" s="22">
        <f t="shared" si="111"/>
        <v>14.124010914461733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3.8</v>
      </c>
      <c r="AI134" s="13">
        <f>IF('Données projet'!$A$62&gt;35,AI133+AH134-AQ133,IF(A134&lt;'Données projet'!$A$62,$AF$205^A134,IF(A134='Données projet'!$A$62,'Données projet'!$B$62,AI133+AH134-AQ133)))</f>
        <v>305.7999999999999</v>
      </c>
      <c r="AJ134" s="13">
        <f>AI134*VLOOKUP('Données projet'!$B$10,Paramètres!$A$1:$I$89,3,0)*VLOOKUP('Données projet'!$B$10,Paramètres!$A$1:$I$89,5,0)</f>
        <v>257.60591999999991</v>
      </c>
      <c r="AK134" s="13">
        <f t="shared" si="143"/>
        <v>62.21178242147321</v>
      </c>
      <c r="AL134" s="20">
        <f t="shared" si="112"/>
        <v>557.01583171739901</v>
      </c>
      <c r="AM134" s="59">
        <f t="shared" si="113"/>
        <v>850.34916505073238</v>
      </c>
      <c r="AN134" s="59">
        <f ca="1">AVERAGE(OFFSET($AM$3,0,0,'Données projet'!$E$10+1,1))-AVERAGE(OFFSET($H$3,0,0,'Données projet'!$E$10+1,1))</f>
        <v>328.34986205643321</v>
      </c>
      <c r="AO134" s="59">
        <f t="shared" si="144"/>
        <v>251.60894449147008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78.737001432046995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78.737001432046995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1.8</v>
      </c>
      <c r="BD134" s="12">
        <f>IF('Données projet'!$A$88&gt;35,BD133+BC134-BL133,IF(A134&lt;'Données projet'!$A$88,$BA$205^A134,IF(A134='Données projet'!$A$88,'Données projet'!$B$88,BD133+BC134-BL133)))</f>
        <v>210.79999999999941</v>
      </c>
      <c r="BE134" s="13">
        <f>BD134*VLOOKUP('Données projet'!$B$11,Paramètres!$A$1:$I$89,3,0)*VLOOKUP('Données projet'!$B$11,Paramètres!$A$1:$I$89,5,0)</f>
        <v>240.05903999999933</v>
      </c>
      <c r="BF134" s="13">
        <f t="shared" si="145"/>
        <v>58.452233043970274</v>
      </c>
      <c r="BG134" s="20">
        <f t="shared" si="115"/>
        <v>519.90713388491372</v>
      </c>
      <c r="BH134" s="59">
        <f t="shared" si="116"/>
        <v>813.24046721824698</v>
      </c>
      <c r="BI134" s="59">
        <f ca="1">AVERAGE(OFFSET($BH$3,0,0,'Données projet'!$E$11+1,1))-AVERAGE(OFFSET($H$3,0,0,'Données projet'!$E$11+1,1))</f>
        <v>250.68173853329841</v>
      </c>
      <c r="BJ134" s="59">
        <f t="shared" si="146"/>
        <v>113.25940301904359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51.313816652347896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51.313816652347896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1.8</v>
      </c>
      <c r="BY134" s="12">
        <f>IF('Données projet'!$A$114&gt;35,BY133+BX134-CG133,IF(A134&lt;'Données projet'!$A$114,$BV$205^A134,IF(A134='Données projet'!$A$114,'Données projet'!$B$114,BY133+BX134-CG133)))</f>
        <v>210.79999999999941</v>
      </c>
      <c r="BZ134" s="13">
        <f>BY134*VLOOKUP('Données projet'!$B$12,Paramètres!$A$1:$I$89,3,0)*VLOOKUP('Données projet'!$B$12,Paramètres!$A$1:$I$89,5,0)</f>
        <v>213.75119999999941</v>
      </c>
      <c r="CA134" s="13">
        <f t="shared" si="147"/>
        <v>52.754470681164058</v>
      </c>
      <c r="CB134" s="20">
        <f t="shared" si="118"/>
        <v>464.16404310302636</v>
      </c>
      <c r="CC134" s="59">
        <f t="shared" si="119"/>
        <v>757.49737643635967</v>
      </c>
      <c r="CD134" s="59">
        <f ca="1">AVERAGE(OFFSET($CC$3,0,0,'Données projet'!$E$12+1,1))-AVERAGE(OFFSET($H$3,0,0,'Données projet'!$E$12+1,1))</f>
        <v>211.44496956344943</v>
      </c>
      <c r="CE134" s="59">
        <f t="shared" si="148"/>
        <v>98.543169293276662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45.690384690446791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45.690384690446791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6">
        <f t="shared" si="110"/>
        <v>515.19310924873832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3.2810021366458389E-14</v>
      </c>
      <c r="P135" s="13">
        <f t="shared" si="141"/>
        <v>5.6117125884464641E-13</v>
      </c>
      <c r="Q135" s="20">
        <f t="shared" si="108"/>
        <v>1.0345173963676741E-12</v>
      </c>
      <c r="R135" s="59">
        <f t="shared" si="109"/>
        <v>293.33333333333434</v>
      </c>
      <c r="S135" s="59">
        <f ca="1">AVERAGE(OFFSET($R$3,0,0,'Données projet'!$E$9+1,1))-AVERAGE(OFFSET($H$3,0,0,'Données projet'!$E$9+1,1))</f>
        <v>162.0530649500439</v>
      </c>
      <c r="T135" s="59">
        <f t="shared" si="142"/>
        <v>450.88267959505049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13.847047675225154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1.6088296661652695E-15</v>
      </c>
      <c r="AC135" s="22">
        <f t="shared" si="111"/>
        <v>13.847047675225156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3.8</v>
      </c>
      <c r="AI135" s="13">
        <f>IF('Données projet'!$A$62&gt;35,AI134+AH135-AQ134,IF(A135&lt;'Données projet'!$A$62,$AF$205^A135,IF(A135='Données projet'!$A$62,'Données projet'!$B$62,AI134+AH135-AQ134)))</f>
        <v>309.59999999999991</v>
      </c>
      <c r="AJ135" s="13">
        <f>AI135*VLOOKUP('Données projet'!$B$10,Paramètres!$A$1:$I$89,3,0)*VLOOKUP('Données projet'!$B$10,Paramètres!$A$1:$I$89,5,0)</f>
        <v>260.80703999999997</v>
      </c>
      <c r="AK135" s="13">
        <f t="shared" si="143"/>
        <v>62.894375229379683</v>
      </c>
      <c r="AL135" s="20">
        <f t="shared" si="112"/>
        <v>563.77996485783626</v>
      </c>
      <c r="AM135" s="59">
        <f t="shared" si="113"/>
        <v>857.11329819116963</v>
      </c>
      <c r="AN135" s="59">
        <f ca="1">AVERAGE(OFFSET($AM$3,0,0,'Données projet'!$E$10+1,1))-AVERAGE(OFFSET($H$3,0,0,'Données projet'!$E$10+1,1))</f>
        <v>328.34986205643321</v>
      </c>
      <c r="AO135" s="59">
        <f t="shared" si="144"/>
        <v>251.60894449147008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77.193016858793371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77.193016858793371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1.8</v>
      </c>
      <c r="BD135" s="12">
        <f>IF('Données projet'!$A$88&gt;35,BD134+BC135-BL134,IF(A135&lt;'Données projet'!$A$88,$BA$205^A135,IF(A135='Données projet'!$A$88,'Données projet'!$B$88,BD134+BC135-BL134)))</f>
        <v>212.59999999999943</v>
      </c>
      <c r="BE135" s="13">
        <f>BD135*VLOOKUP('Données projet'!$B$11,Paramètres!$A$1:$I$89,3,0)*VLOOKUP('Données projet'!$B$11,Paramètres!$A$1:$I$89,5,0)</f>
        <v>242.10887999999935</v>
      </c>
      <c r="BF135" s="13">
        <f t="shared" si="145"/>
        <v>58.893035000616173</v>
      </c>
      <c r="BG135" s="20">
        <f t="shared" si="115"/>
        <v>524.24500195940539</v>
      </c>
      <c r="BH135" s="59">
        <f t="shared" si="116"/>
        <v>817.57833529273876</v>
      </c>
      <c r="BI135" s="59">
        <f ca="1">AVERAGE(OFFSET($BH$3,0,0,'Données projet'!$E$11+1,1))-AVERAGE(OFFSET($H$3,0,0,'Données projet'!$E$11+1,1))</f>
        <v>250.68173853329841</v>
      </c>
      <c r="BJ135" s="59">
        <f t="shared" si="146"/>
        <v>113.25940301904359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50.307584006133055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50.307584006133055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1.8</v>
      </c>
      <c r="BY135" s="12">
        <f>IF('Données projet'!$A$114&gt;35,BY134+BX135-CG134,IF(A135&lt;'Données projet'!$A$114,$BV$205^A135,IF(A135='Données projet'!$A$114,'Données projet'!$B$114,BY134+BX135-CG134)))</f>
        <v>212.59999999999943</v>
      </c>
      <c r="BZ135" s="13">
        <f>BY135*VLOOKUP('Données projet'!$B$12,Paramètres!$A$1:$I$89,3,0)*VLOOKUP('Données projet'!$B$12,Paramètres!$A$1:$I$89,5,0)</f>
        <v>215.57639999999944</v>
      </c>
      <c r="CA135" s="13">
        <f t="shared" si="147"/>
        <v>53.152304479585176</v>
      </c>
      <c r="CB135" s="20">
        <f t="shared" si="118"/>
        <v>468.03582696860985</v>
      </c>
      <c r="CC135" s="59">
        <f t="shared" si="119"/>
        <v>761.36916030194311</v>
      </c>
      <c r="CD135" s="59">
        <f ca="1">AVERAGE(OFFSET($CC$3,0,0,'Données projet'!$E$12+1,1))-AVERAGE(OFFSET($H$3,0,0,'Données projet'!$E$12+1,1))</f>
        <v>211.44496956344943</v>
      </c>
      <c r="CE135" s="59">
        <f t="shared" si="148"/>
        <v>98.543169293276662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44.794424115050013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44.794424115050013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6">
        <f t="shared" si="110"/>
        <v>517.10377788158553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3.2810021366458389E-14</v>
      </c>
      <c r="P136" s="13">
        <f t="shared" si="141"/>
        <v>5.6117125884464641E-13</v>
      </c>
      <c r="Q136" s="20">
        <f t="shared" si="108"/>
        <v>1.0345173963676741E-12</v>
      </c>
      <c r="R136" s="59">
        <f t="shared" si="109"/>
        <v>293.33333333333434</v>
      </c>
      <c r="S136" s="59">
        <f ca="1">AVERAGE(OFFSET($R$3,0,0,'Données projet'!$E$9+1,1))-AVERAGE(OFFSET($H$3,0,0,'Données projet'!$E$9+1,1))</f>
        <v>162.0530649500439</v>
      </c>
      <c r="T136" s="59">
        <f t="shared" si="142"/>
        <v>450.88267959505049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13.575515516179111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1.1376143667195515E-15</v>
      </c>
      <c r="AC136" s="22">
        <f t="shared" si="111"/>
        <v>13.575515516179113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3.8</v>
      </c>
      <c r="AI136" s="13">
        <f>IF('Données projet'!$A$62&gt;35,AI135+AH136-AQ135,IF(A136&lt;'Données projet'!$A$62,$AF$205^A136,IF(A136='Données projet'!$A$62,'Données projet'!$B$62,AI135+AH136-AQ135)))</f>
        <v>313.39999999999992</v>
      </c>
      <c r="AJ136" s="13">
        <f>AI136*VLOOKUP('Données projet'!$B$10,Paramètres!$A$1:$I$89,3,0)*VLOOKUP('Données projet'!$B$10,Paramètres!$A$1:$I$89,5,0)</f>
        <v>264.00815999999998</v>
      </c>
      <c r="AK136" s="13">
        <f t="shared" si="143"/>
        <v>63.575993499536125</v>
      </c>
      <c r="AL136" s="20">
        <f t="shared" si="112"/>
        <v>570.5424006783586</v>
      </c>
      <c r="AM136" s="59">
        <f t="shared" si="113"/>
        <v>863.87573401169197</v>
      </c>
      <c r="AN136" s="59">
        <f ca="1">AVERAGE(OFFSET($AM$3,0,0,'Données projet'!$E$10+1,1))-AVERAGE(OFFSET($H$3,0,0,'Données projet'!$E$10+1,1))</f>
        <v>328.34986205643321</v>
      </c>
      <c r="AO136" s="59">
        <f t="shared" si="144"/>
        <v>251.60894449147008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75.679308881283646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75.679308881283646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1.8</v>
      </c>
      <c r="BD136" s="12">
        <f>IF('Données projet'!$A$88&gt;35,BD135+BC136-BL135,IF(A136&lt;'Données projet'!$A$88,$BA$205^A136,IF(A136='Données projet'!$A$88,'Données projet'!$B$88,BD135+BC136-BL135)))</f>
        <v>214.39999999999944</v>
      </c>
      <c r="BE136" s="13">
        <f>BD136*VLOOKUP('Données projet'!$B$11,Paramètres!$A$1:$I$89,3,0)*VLOOKUP('Données projet'!$B$11,Paramètres!$A$1:$I$89,5,0)</f>
        <v>244.15871999999933</v>
      </c>
      <c r="BF136" s="13">
        <f t="shared" si="145"/>
        <v>59.333402749839685</v>
      </c>
      <c r="BG136" s="20">
        <f t="shared" si="115"/>
        <v>528.58211378930298</v>
      </c>
      <c r="BH136" s="59">
        <f t="shared" si="116"/>
        <v>821.91544712263635</v>
      </c>
      <c r="BI136" s="59">
        <f ca="1">AVERAGE(OFFSET($BH$3,0,0,'Données projet'!$E$11+1,1))-AVERAGE(OFFSET($H$3,0,0,'Données projet'!$E$11+1,1))</f>
        <v>250.68173853329841</v>
      </c>
      <c r="BJ136" s="59">
        <f t="shared" si="146"/>
        <v>113.25940301904359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49.321082968369176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49.321082968369176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1.8</v>
      </c>
      <c r="BY136" s="12">
        <f>IF('Données projet'!$A$114&gt;35,BY135+BX136-CG135,IF(A136&lt;'Données projet'!$A$114,$BV$205^A136,IF(A136='Données projet'!$A$114,'Données projet'!$B$114,BY135+BX136-CG135)))</f>
        <v>214.39999999999944</v>
      </c>
      <c r="BZ136" s="13">
        <f>BY136*VLOOKUP('Données projet'!$B$12,Paramètres!$A$1:$I$89,3,0)*VLOOKUP('Données projet'!$B$12,Paramètres!$A$1:$I$89,5,0)</f>
        <v>217.40159999999946</v>
      </c>
      <c r="CA136" s="13">
        <f t="shared" si="147"/>
        <v>53.54974639592502</v>
      </c>
      <c r="CB136" s="20">
        <f t="shared" si="118"/>
        <v>471.9069283062351</v>
      </c>
      <c r="CC136" s="59">
        <f t="shared" si="119"/>
        <v>765.24026163956842</v>
      </c>
      <c r="CD136" s="59">
        <f ca="1">AVERAGE(OFFSET($CC$3,0,0,'Données projet'!$E$12+1,1))-AVERAGE(OFFSET($H$3,0,0,'Données projet'!$E$12+1,1))</f>
        <v>211.44496956344943</v>
      </c>
      <c r="CE136" s="59">
        <f t="shared" si="148"/>
        <v>98.543169293276662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43.916032780054778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43.916032780054778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6">
        <f t="shared" si="110"/>
        <v>519.01412985052093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3.2810021366458389E-14</v>
      </c>
      <c r="P137" s="13">
        <f t="shared" si="141"/>
        <v>5.6117125884464641E-13</v>
      </c>
      <c r="Q137" s="20">
        <f t="shared" si="108"/>
        <v>1.0345173963676741E-12</v>
      </c>
      <c r="R137" s="59">
        <f t="shared" si="109"/>
        <v>293.33333333333434</v>
      </c>
      <c r="S137" s="59">
        <f ca="1">AVERAGE(OFFSET($R$3,0,0,'Données projet'!$E$9+1,1))-AVERAGE(OFFSET($H$3,0,0,'Données projet'!$E$9+1,1))</f>
        <v>162.0530649500439</v>
      </c>
      <c r="T137" s="59">
        <f t="shared" si="142"/>
        <v>450.88267959505049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13.309307937153697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8.0441483308263473E-16</v>
      </c>
      <c r="AC137" s="22">
        <f t="shared" si="111"/>
        <v>13.309307937153697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3.8</v>
      </c>
      <c r="AI137" s="13">
        <f>IF('Données projet'!$A$62&gt;35,AI136+AH137-AQ136,IF(A137&lt;'Données projet'!$A$62,$AF$205^A137,IF(A137='Données projet'!$A$62,'Données projet'!$B$62,AI136+AH137-AQ136)))</f>
        <v>317.19999999999993</v>
      </c>
      <c r="AJ137" s="13">
        <f>AI137*VLOOKUP('Données projet'!$B$10,Paramètres!$A$1:$I$89,3,0)*VLOOKUP('Données projet'!$B$10,Paramètres!$A$1:$I$89,5,0)</f>
        <v>267.20927999999998</v>
      </c>
      <c r="AK137" s="13">
        <f t="shared" si="143"/>
        <v>64.256650415058076</v>
      </c>
      <c r="AL137" s="20">
        <f t="shared" si="112"/>
        <v>577.30316213955939</v>
      </c>
      <c r="AM137" s="59">
        <f t="shared" si="113"/>
        <v>870.63649547289265</v>
      </c>
      <c r="AN137" s="59">
        <f ca="1">AVERAGE(OFFSET($AM$3,0,0,'Données projet'!$E$10+1,1))-AVERAGE(OFFSET($H$3,0,0,'Données projet'!$E$10+1,1))</f>
        <v>328.34986205643321</v>
      </c>
      <c r="AO137" s="59">
        <f t="shared" si="144"/>
        <v>251.60894449147008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74.195283793942181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74.195283793942181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1.8</v>
      </c>
      <c r="BD137" s="12">
        <f>IF('Données projet'!$A$88&gt;35,BD136+BC137-BL136,IF(A137&lt;'Données projet'!$A$88,$BA$205^A137,IF(A137='Données projet'!$A$88,'Données projet'!$B$88,BD136+BC137-BL136)))</f>
        <v>216.19999999999945</v>
      </c>
      <c r="BE137" s="13">
        <f>BD137*VLOOKUP('Données projet'!$B$11,Paramètres!$A$1:$I$89,3,0)*VLOOKUP('Données projet'!$B$11,Paramètres!$A$1:$I$89,5,0)</f>
        <v>246.20855999999938</v>
      </c>
      <c r="BF137" s="13">
        <f t="shared" si="145"/>
        <v>59.773340359471312</v>
      </c>
      <c r="BG137" s="20">
        <f t="shared" si="115"/>
        <v>532.91847645941141</v>
      </c>
      <c r="BH137" s="59">
        <f t="shared" si="116"/>
        <v>826.25180979274478</v>
      </c>
      <c r="BI137" s="59">
        <f ca="1">AVERAGE(OFFSET($BH$3,0,0,'Données projet'!$E$11+1,1))-AVERAGE(OFFSET($H$3,0,0,'Données projet'!$E$11+1,1))</f>
        <v>250.68173853329841</v>
      </c>
      <c r="BJ137" s="59">
        <f t="shared" si="146"/>
        <v>113.25940301904359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48.35392661424963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48.35392661424963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1.8</v>
      </c>
      <c r="BY137" s="12">
        <f>IF('Données projet'!$A$114&gt;35,BY136+BX137-CG136,IF(A137&lt;'Données projet'!$A$114,$BV$205^A137,IF(A137='Données projet'!$A$114,'Données projet'!$B$114,BY136+BX137-CG136)))</f>
        <v>216.19999999999945</v>
      </c>
      <c r="BZ137" s="13">
        <f>BY137*VLOOKUP('Données projet'!$B$12,Paramètres!$A$1:$I$89,3,0)*VLOOKUP('Données projet'!$B$12,Paramètres!$A$1:$I$89,5,0)</f>
        <v>219.22679999999949</v>
      </c>
      <c r="CA137" s="13">
        <f t="shared" si="147"/>
        <v>53.946800101493373</v>
      </c>
      <c r="CB137" s="20">
        <f t="shared" si="118"/>
        <v>475.77735351010006</v>
      </c>
      <c r="CC137" s="59">
        <f t="shared" si="119"/>
        <v>769.11068684343331</v>
      </c>
      <c r="CD137" s="59">
        <f ca="1">AVERAGE(OFFSET($CC$3,0,0,'Données projet'!$E$12+1,1))-AVERAGE(OFFSET($H$3,0,0,'Données projet'!$E$12+1,1))</f>
        <v>211.44496956344943</v>
      </c>
      <c r="CE137" s="59">
        <f t="shared" si="148"/>
        <v>98.543169293276662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43.054866163372985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43.054866163372985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6">
        <f t="shared" si="110"/>
        <v>520.9241677926841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3.2810021366458389E-14</v>
      </c>
      <c r="P138" s="13">
        <f t="shared" si="141"/>
        <v>5.6117125884464641E-13</v>
      </c>
      <c r="Q138" s="20">
        <f t="shared" si="108"/>
        <v>1.0345173963676741E-12</v>
      </c>
      <c r="R138" s="59">
        <f t="shared" si="109"/>
        <v>293.33333333333434</v>
      </c>
      <c r="S138" s="59">
        <f ca="1">AVERAGE(OFFSET($R$3,0,0,'Données projet'!$E$9+1,1))-AVERAGE(OFFSET($H$3,0,0,'Données projet'!$E$9+1,1))</f>
        <v>162.0530649500439</v>
      </c>
      <c r="T138" s="59">
        <f t="shared" si="142"/>
        <v>450.88267959505049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13.048320526382382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5.6880718335977574E-16</v>
      </c>
      <c r="AC138" s="22">
        <f t="shared" si="111"/>
        <v>13.048320526382382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3.8</v>
      </c>
      <c r="AI138" s="13">
        <f>IF('Données projet'!$A$62&gt;35,AI137+AH138-AQ137,IF(A138&lt;'Données projet'!$A$62,$AF$205^A138,IF(A138='Données projet'!$A$62,'Données projet'!$B$62,AI137+AH138-AQ137)))</f>
        <v>320.99999999999994</v>
      </c>
      <c r="AJ138" s="13">
        <f>AI138*VLOOKUP('Données projet'!$B$10,Paramètres!$A$1:$I$89,3,0)*VLOOKUP('Données projet'!$B$10,Paramètres!$A$1:$I$89,5,0)</f>
        <v>270.41039999999998</v>
      </c>
      <c r="AK138" s="13">
        <f t="shared" si="143"/>
        <v>64.936358825024399</v>
      </c>
      <c r="AL138" s="20">
        <f t="shared" si="112"/>
        <v>584.06227162025073</v>
      </c>
      <c r="AM138" s="59">
        <f t="shared" si="113"/>
        <v>877.3956049535841</v>
      </c>
      <c r="AN138" s="59">
        <f ca="1">AVERAGE(OFFSET($AM$3,0,0,'Données projet'!$E$10+1,1))-AVERAGE(OFFSET($H$3,0,0,'Données projet'!$E$10+1,1))</f>
        <v>328.34986205643321</v>
      </c>
      <c r="AO138" s="59">
        <f t="shared" si="144"/>
        <v>251.60894449147008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72.740359533397566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72.740359533397566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1.8</v>
      </c>
      <c r="BD138" s="12">
        <f>IF('Données projet'!$A$88&gt;35,BD137+BC138-BL137,IF(A138&lt;'Données projet'!$A$88,$BA$205^A138,IF(A138='Données projet'!$A$88,'Données projet'!$B$88,BD137+BC138-BL137)))</f>
        <v>217.99999999999946</v>
      </c>
      <c r="BE138" s="13">
        <f>BD138*VLOOKUP('Données projet'!$B$11,Paramètres!$A$1:$I$89,3,0)*VLOOKUP('Données projet'!$B$11,Paramètres!$A$1:$I$89,5,0)</f>
        <v>248.25839999999937</v>
      </c>
      <c r="BF138" s="13">
        <f t="shared" si="145"/>
        <v>60.212851825697193</v>
      </c>
      <c r="BG138" s="20">
        <f t="shared" si="115"/>
        <v>537.25409692975484</v>
      </c>
      <c r="BH138" s="59">
        <f t="shared" si="116"/>
        <v>830.58743026308821</v>
      </c>
      <c r="BI138" s="59">
        <f ca="1">AVERAGE(OFFSET($BH$3,0,0,'Données projet'!$E$11+1,1))-AVERAGE(OFFSET($H$3,0,0,'Données projet'!$E$11+1,1))</f>
        <v>250.68173853329841</v>
      </c>
      <c r="BJ138" s="59">
        <f t="shared" si="146"/>
        <v>113.25940301904359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47.405735606327241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47.405735606327241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1.8</v>
      </c>
      <c r="BY138" s="12">
        <f>IF('Données projet'!$A$114&gt;35,BY137+BX138-CG137,IF(A138&lt;'Données projet'!$A$114,$BV$205^A138,IF(A138='Données projet'!$A$114,'Données projet'!$B$114,BY137+BX138-CG137)))</f>
        <v>217.99999999999946</v>
      </c>
      <c r="BZ138" s="13">
        <f>BY138*VLOOKUP('Données projet'!$B$12,Paramètres!$A$1:$I$89,3,0)*VLOOKUP('Données projet'!$B$12,Paramètres!$A$1:$I$89,5,0)</f>
        <v>221.05199999999945</v>
      </c>
      <c r="CA138" s="13">
        <f t="shared" si="147"/>
        <v>54.343469202939112</v>
      </c>
      <c r="CB138" s="20">
        <f t="shared" si="118"/>
        <v>479.6471088617846</v>
      </c>
      <c r="CC138" s="59">
        <f t="shared" si="119"/>
        <v>772.98044219511792</v>
      </c>
      <c r="CD138" s="59">
        <f ca="1">AVERAGE(OFFSET($CC$3,0,0,'Données projet'!$E$12+1,1))-AVERAGE(OFFSET($H$3,0,0,'Données projet'!$E$12+1,1))</f>
        <v>211.44496956344943</v>
      </c>
      <c r="CE138" s="59">
        <f t="shared" si="148"/>
        <v>98.543169293276662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42.210586498784558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42.210586498784558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6">
        <f t="shared" si="110"/>
        <v>522.83389430388831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3.2810021366458389E-14</v>
      </c>
      <c r="P139" s="13">
        <f t="shared" si="141"/>
        <v>5.6117125884464641E-13</v>
      </c>
      <c r="Q139" s="20">
        <f t="shared" si="108"/>
        <v>1.0345173963676741E-12</v>
      </c>
      <c r="R139" s="59">
        <f t="shared" si="109"/>
        <v>293.33333333333434</v>
      </c>
      <c r="S139" s="59">
        <f ca="1">AVERAGE(OFFSET($R$3,0,0,'Données projet'!$E$9+1,1))-AVERAGE(OFFSET($H$3,0,0,'Données projet'!$E$9+1,1))</f>
        <v>162.0530649500439</v>
      </c>
      <c r="T139" s="59">
        <f t="shared" si="142"/>
        <v>450.88267959505049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12.792450919549688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4.0220741654131736E-16</v>
      </c>
      <c r="AC139" s="22">
        <f t="shared" si="111"/>
        <v>12.792450919549688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3.8</v>
      </c>
      <c r="AI139" s="13">
        <f>IF('Données projet'!$A$62&gt;35,AI138+AH139-AQ138,IF(A139&lt;'Données projet'!$A$62,$AF$205^A139,IF(A139='Données projet'!$A$62,'Données projet'!$B$62,AI138+AH139-AQ138)))</f>
        <v>324.79999999999995</v>
      </c>
      <c r="AJ139" s="13">
        <f>AI139*VLOOKUP('Données projet'!$B$10,Paramètres!$A$1:$I$89,3,0)*VLOOKUP('Données projet'!$B$10,Paramètres!$A$1:$I$89,5,0)</f>
        <v>273.61151999999998</v>
      </c>
      <c r="AK139" s="13">
        <f t="shared" si="143"/>
        <v>65.615131256792893</v>
      </c>
      <c r="AL139" s="20">
        <f t="shared" si="112"/>
        <v>590.81975093891413</v>
      </c>
      <c r="AM139" s="59">
        <f t="shared" si="113"/>
        <v>884.1530842722475</v>
      </c>
      <c r="AN139" s="59">
        <f ca="1">AVERAGE(OFFSET($AM$3,0,0,'Données projet'!$E$10+1,1))-AVERAGE(OFFSET($H$3,0,0,'Données projet'!$E$10+1,1))</f>
        <v>328.34986205643321</v>
      </c>
      <c r="AO139" s="59">
        <f t="shared" si="144"/>
        <v>251.60894449147008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71.31396545018606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71.31396545018606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1.8</v>
      </c>
      <c r="BD139" s="12">
        <f>IF('Données projet'!$A$88&gt;35,BD138+BC139-BL138,IF(A139&lt;'Données projet'!$A$88,$BA$205^A139,IF(A139='Données projet'!$A$88,'Données projet'!$B$88,BD138+BC139-BL138)))</f>
        <v>219.79999999999947</v>
      </c>
      <c r="BE139" s="13">
        <f>BD139*VLOOKUP('Données projet'!$B$11,Paramètres!$A$1:$I$89,3,0)*VLOOKUP('Données projet'!$B$11,Paramètres!$A$1:$I$89,5,0)</f>
        <v>250.30823999999939</v>
      </c>
      <c r="BF139" s="13">
        <f t="shared" si="145"/>
        <v>60.651941074901956</v>
      </c>
      <c r="BG139" s="20">
        <f t="shared" si="115"/>
        <v>541.58898203878653</v>
      </c>
      <c r="BH139" s="59">
        <f t="shared" si="116"/>
        <v>834.92231537211978</v>
      </c>
      <c r="BI139" s="59">
        <f ca="1">AVERAGE(OFFSET($BH$3,0,0,'Données projet'!$E$11+1,1))-AVERAGE(OFFSET($H$3,0,0,'Données projet'!$E$11+1,1))</f>
        <v>250.68173853329841</v>
      </c>
      <c r="BJ139" s="59">
        <f t="shared" si="146"/>
        <v>113.25940301904359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46.476138045730799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46.476138045730799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1.8</v>
      </c>
      <c r="BY139" s="12">
        <f>IF('Données projet'!$A$114&gt;35,BY138+BX139-CG138,IF(A139&lt;'Données projet'!$A$114,$BV$205^A139,IF(A139='Données projet'!$A$114,'Données projet'!$B$114,BY138+BX139-CG138)))</f>
        <v>219.79999999999947</v>
      </c>
      <c r="BZ139" s="13">
        <f>BY139*VLOOKUP('Données projet'!$B$12,Paramètres!$A$1:$I$89,3,0)*VLOOKUP('Données projet'!$B$12,Paramètres!$A$1:$I$89,5,0)</f>
        <v>222.87719999999948</v>
      </c>
      <c r="CA139" s="13">
        <f t="shared" si="147"/>
        <v>54.739757243913736</v>
      </c>
      <c r="CB139" s="20">
        <f t="shared" si="118"/>
        <v>483.51620053314883</v>
      </c>
      <c r="CC139" s="59">
        <f t="shared" si="119"/>
        <v>776.84953386648215</v>
      </c>
      <c r="CD139" s="59">
        <f ca="1">AVERAGE(OFFSET($CC$3,0,0,'Données projet'!$E$12+1,1))-AVERAGE(OFFSET($H$3,0,0,'Données projet'!$E$12+1,1))</f>
        <v>211.44496956344943</v>
      </c>
      <c r="CE139" s="59">
        <f t="shared" si="148"/>
        <v>98.543169293276662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41.382862643458957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41.382862643458957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6">
        <f t="shared" si="110"/>
        <v>524.74331193956789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3.2810021366458389E-14</v>
      </c>
      <c r="P140" s="13">
        <f t="shared" si="141"/>
        <v>5.6117125884464641E-13</v>
      </c>
      <c r="Q140" s="20">
        <f t="shared" si="108"/>
        <v>1.0345173963676741E-12</v>
      </c>
      <c r="R140" s="59">
        <f t="shared" si="109"/>
        <v>293.33333333333434</v>
      </c>
      <c r="S140" s="59">
        <f ca="1">AVERAGE(OFFSET($R$3,0,0,'Données projet'!$E$9+1,1))-AVERAGE(OFFSET($H$3,0,0,'Données projet'!$E$9+1,1))</f>
        <v>162.0530649500439</v>
      </c>
      <c r="T140" s="59">
        <f t="shared" si="142"/>
        <v>450.88267959505049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12.541598759641936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2.8440359167988787E-16</v>
      </c>
      <c r="AC140" s="22">
        <f t="shared" si="111"/>
        <v>12.541598759641936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3.8</v>
      </c>
      <c r="AI140" s="13">
        <f>IF('Données projet'!$A$62&gt;35,AI139+AH140-AQ139,IF(A140&lt;'Données projet'!$A$62,$AF$205^A140,IF(A140='Données projet'!$A$62,'Données projet'!$B$62,AI139+AH140-AQ139)))</f>
        <v>328.59999999999997</v>
      </c>
      <c r="AJ140" s="13">
        <f>AI140*VLOOKUP('Données projet'!$B$10,Paramètres!$A$1:$I$89,3,0)*VLOOKUP('Données projet'!$B$10,Paramètres!$A$1:$I$89,5,0)</f>
        <v>276.81263999999999</v>
      </c>
      <c r="AK140" s="13">
        <f t="shared" si="143"/>
        <v>66.292979927723678</v>
      </c>
      <c r="AL140" s="20">
        <f t="shared" si="112"/>
        <v>597.57562137411867</v>
      </c>
      <c r="AM140" s="59">
        <f t="shared" si="113"/>
        <v>890.90895470745204</v>
      </c>
      <c r="AN140" s="59">
        <f ca="1">AVERAGE(OFFSET($AM$3,0,0,'Données projet'!$E$10+1,1))-AVERAGE(OFFSET($H$3,0,0,'Données projet'!$E$10+1,1))</f>
        <v>328.34986205643321</v>
      </c>
      <c r="AO140" s="59">
        <f t="shared" si="144"/>
        <v>251.60894449147008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69.915542084931843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69.915542084931843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1.8</v>
      </c>
      <c r="BD140" s="12">
        <f>IF('Données projet'!$A$88&gt;35,BD139+BC140-BL139,IF(A140&lt;'Données projet'!$A$88,$BA$205^A140,IF(A140='Données projet'!$A$88,'Données projet'!$B$88,BD139+BC140-BL139)))</f>
        <v>221.59999999999948</v>
      </c>
      <c r="BE140" s="13">
        <f>BD140*VLOOKUP('Données projet'!$B$11,Paramètres!$A$1:$I$89,3,0)*VLOOKUP('Données projet'!$B$11,Paramètres!$A$1:$I$89,5,0)</f>
        <v>252.35807999999943</v>
      </c>
      <c r="BF140" s="13">
        <f t="shared" si="145"/>
        <v>61.090611965449156</v>
      </c>
      <c r="BG140" s="20">
        <f t="shared" si="115"/>
        <v>545.92313850648964</v>
      </c>
      <c r="BH140" s="59">
        <f t="shared" si="116"/>
        <v>839.25647183982301</v>
      </c>
      <c r="BI140" s="59">
        <f ca="1">AVERAGE(OFFSET($BH$3,0,0,'Données projet'!$E$11+1,1))-AVERAGE(OFFSET($H$3,0,0,'Données projet'!$E$11+1,1))</f>
        <v>250.68173853329841</v>
      </c>
      <c r="BJ140" s="59">
        <f t="shared" si="146"/>
        <v>113.25940301904359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45.564769326299128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45.564769326299128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1.8</v>
      </c>
      <c r="BY140" s="12">
        <f>IF('Données projet'!$A$114&gt;35,BY139+BX140-CG139,IF(A140&lt;'Données projet'!$A$114,$BV$205^A140,IF(A140='Données projet'!$A$114,'Données projet'!$B$114,BY139+BX140-CG139)))</f>
        <v>221.59999999999948</v>
      </c>
      <c r="BZ140" s="13">
        <f>BY140*VLOOKUP('Données projet'!$B$12,Paramètres!$A$1:$I$89,3,0)*VLOOKUP('Données projet'!$B$12,Paramètres!$A$1:$I$89,5,0)</f>
        <v>224.7023999999995</v>
      </c>
      <c r="CA140" s="13">
        <f t="shared" si="147"/>
        <v>55.135667706678163</v>
      </c>
      <c r="CB140" s="20">
        <f t="shared" si="118"/>
        <v>487.3846345891302</v>
      </c>
      <c r="CC140" s="59">
        <f t="shared" si="119"/>
        <v>780.71796792246346</v>
      </c>
      <c r="CD140" s="59">
        <f ca="1">AVERAGE(OFFSET($CC$3,0,0,'Données projet'!$E$12+1,1))-AVERAGE(OFFSET($H$3,0,0,'Données projet'!$E$12+1,1))</f>
        <v>211.44496956344943</v>
      </c>
      <c r="CE140" s="59">
        <f t="shared" si="148"/>
        <v>98.543169293276662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40.57136994807459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40.57136994807459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6">
        <f t="shared" si="110"/>
        <v>526.65242321569622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3.2810021366458389E-14</v>
      </c>
      <c r="P141" s="13">
        <f t="shared" si="141"/>
        <v>5.6117125884464641E-13</v>
      </c>
      <c r="Q141" s="20">
        <f t="shared" si="108"/>
        <v>1.0345173963676741E-12</v>
      </c>
      <c r="R141" s="59">
        <f t="shared" si="109"/>
        <v>293.33333333333434</v>
      </c>
      <c r="S141" s="59">
        <f ca="1">AVERAGE(OFFSET($R$3,0,0,'Données projet'!$E$9+1,1))-AVERAGE(OFFSET($H$3,0,0,'Données projet'!$E$9+1,1))</f>
        <v>162.0530649500439</v>
      </c>
      <c r="T141" s="59">
        <f t="shared" si="142"/>
        <v>450.88267959505049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12.295665657585264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2.0110370827065868E-16</v>
      </c>
      <c r="AC141" s="22">
        <f t="shared" si="111"/>
        <v>12.295665657585264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3.8</v>
      </c>
      <c r="AI141" s="13">
        <f>IF('Données projet'!$A$62&gt;35,AI140+AH141-AQ140,IF(A141&lt;'Données projet'!$A$62,$AF$205^A141,IF(A141='Données projet'!$A$62,'Données projet'!$B$62,AI140+AH141-AQ140)))</f>
        <v>332.4</v>
      </c>
      <c r="AJ141" s="13">
        <f>AI141*VLOOKUP('Données projet'!$B$10,Paramètres!$A$1:$I$89,3,0)*VLOOKUP('Données projet'!$B$10,Paramètres!$A$1:$I$89,5,0)</f>
        <v>280.01376000000005</v>
      </c>
      <c r="AK141" s="13">
        <f t="shared" si="143"/>
        <v>66.969916756344503</v>
      </c>
      <c r="AL141" s="20">
        <f t="shared" si="112"/>
        <v>604.32990368396679</v>
      </c>
      <c r="AM141" s="59">
        <f t="shared" si="113"/>
        <v>897.66323701730016</v>
      </c>
      <c r="AN141" s="59">
        <f ca="1">AVERAGE(OFFSET($AM$3,0,0,'Données projet'!$E$10+1,1))-AVERAGE(OFFSET($H$3,0,0,'Données projet'!$E$10+1,1))</f>
        <v>328.34986205643321</v>
      </c>
      <c r="AO141" s="59">
        <f t="shared" si="144"/>
        <v>251.60894449147008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68.544540948916236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68.544540948916236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1.8</v>
      </c>
      <c r="BD141" s="12">
        <f>IF('Données projet'!$A$88&gt;35,BD140+BC141-BL140,IF(A141&lt;'Données projet'!$A$88,$BA$205^A141,IF(A141='Données projet'!$A$88,'Données projet'!$B$88,BD140+BC141-BL140)))</f>
        <v>223.39999999999949</v>
      </c>
      <c r="BE141" s="13">
        <f>BD141*VLOOKUP('Données projet'!$B$11,Paramètres!$A$1:$I$89,3,0)*VLOOKUP('Données projet'!$B$11,Paramètres!$A$1:$I$89,5,0)</f>
        <v>254.40791999999942</v>
      </c>
      <c r="BF141" s="13">
        <f t="shared" si="145"/>
        <v>61.528868289402531</v>
      </c>
      <c r="BG141" s="20">
        <f t="shared" si="115"/>
        <v>550.25657293737493</v>
      </c>
      <c r="BH141" s="59">
        <f t="shared" si="116"/>
        <v>843.5899062707083</v>
      </c>
      <c r="BI141" s="59">
        <f ca="1">AVERAGE(OFFSET($BH$3,0,0,'Données projet'!$E$11+1,1))-AVERAGE(OFFSET($H$3,0,0,'Données projet'!$E$11+1,1))</f>
        <v>250.68173853329841</v>
      </c>
      <c r="BJ141" s="59">
        <f t="shared" si="146"/>
        <v>113.25940301904359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44.67127199157548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44.67127199157548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1.8</v>
      </c>
      <c r="BY141" s="12">
        <f>IF('Données projet'!$A$114&gt;35,BY140+BX141-CG140,IF(A141&lt;'Données projet'!$A$114,$BV$205^A141,IF(A141='Données projet'!$A$114,'Données projet'!$B$114,BY140+BX141-CG140)))</f>
        <v>223.39999999999949</v>
      </c>
      <c r="BZ141" s="13">
        <f>BY141*VLOOKUP('Données projet'!$B$12,Paramètres!$A$1:$I$89,3,0)*VLOOKUP('Données projet'!$B$12,Paramètres!$A$1:$I$89,5,0)</f>
        <v>226.5275999999995</v>
      </c>
      <c r="CA141" s="13">
        <f t="shared" si="147"/>
        <v>55.531204013656271</v>
      </c>
      <c r="CB141" s="20">
        <f t="shared" si="118"/>
        <v>491.25241699045051</v>
      </c>
      <c r="CC141" s="59">
        <f t="shared" si="119"/>
        <v>784.58575032378383</v>
      </c>
      <c r="CD141" s="59">
        <f ca="1">AVERAGE(OFFSET($CC$3,0,0,'Données projet'!$E$12+1,1))-AVERAGE(OFFSET($H$3,0,0,'Données projet'!$E$12+1,1))</f>
        <v>211.44496956344943</v>
      </c>
      <c r="CE141" s="59">
        <f t="shared" si="148"/>
        <v>98.543169293276662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39.775790129485046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39.775790129485046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6">
        <f t="shared" si="110"/>
        <v>528.56123060967593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3.2810021366458389E-14</v>
      </c>
      <c r="P142" s="13">
        <f t="shared" si="141"/>
        <v>5.6117125884464641E-13</v>
      </c>
      <c r="Q142" s="20">
        <f t="shared" si="108"/>
        <v>1.0345173963676741E-12</v>
      </c>
      <c r="R142" s="59">
        <f t="shared" si="109"/>
        <v>293.33333333333434</v>
      </c>
      <c r="S142" s="59">
        <f ca="1">AVERAGE(OFFSET($R$3,0,0,'Données projet'!$E$9+1,1))-AVERAGE(OFFSET($H$3,0,0,'Données projet'!$E$9+1,1))</f>
        <v>162.0530649500439</v>
      </c>
      <c r="T142" s="59">
        <f t="shared" si="142"/>
        <v>450.88267959505049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12.054555153655542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1.4220179583994393E-16</v>
      </c>
      <c r="AC142" s="22">
        <f t="shared" si="111"/>
        <v>12.054555153655542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3.8</v>
      </c>
      <c r="AI142" s="13">
        <f>IF('Données projet'!$A$62&gt;35,AI141+AH142-AQ141,IF(A142&lt;'Données projet'!$A$62,$AF$205^A142,IF(A142='Données projet'!$A$62,'Données projet'!$B$62,AI141+AH142-AQ141)))</f>
        <v>336.2</v>
      </c>
      <c r="AJ142" s="13">
        <f>AI142*VLOOKUP('Données projet'!$B$10,Paramètres!$A$1:$I$89,3,0)*VLOOKUP('Données projet'!$B$10,Paramètres!$A$1:$I$89,5,0)</f>
        <v>283.21487999999999</v>
      </c>
      <c r="AK142" s="13">
        <f t="shared" si="143"/>
        <v>67.645953372990718</v>
      </c>
      <c r="AL142" s="20">
        <f t="shared" si="112"/>
        <v>611.08261812462547</v>
      </c>
      <c r="AM142" s="59">
        <f t="shared" si="113"/>
        <v>904.41595145795873</v>
      </c>
      <c r="AN142" s="59">
        <f ca="1">AVERAGE(OFFSET($AM$3,0,0,'Données projet'!$E$10+1,1))-AVERAGE(OFFSET($H$3,0,0,'Données projet'!$E$10+1,1))</f>
        <v>328.34986205643321</v>
      </c>
      <c r="AO142" s="59">
        <f t="shared" si="144"/>
        <v>251.60894449147008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67.200424308949763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67.200424308949763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1.8</v>
      </c>
      <c r="BD142" s="12">
        <f>IF('Données projet'!$A$88&gt;35,BD141+BC142-BL141,IF(A142&lt;'Données projet'!$A$88,$BA$205^A142,IF(A142='Données projet'!$A$88,'Données projet'!$B$88,BD141+BC142-BL141)))</f>
        <v>225.19999999999951</v>
      </c>
      <c r="BE142" s="13">
        <f>BD142*VLOOKUP('Données projet'!$B$11,Paramètres!$A$1:$I$89,3,0)*VLOOKUP('Données projet'!$B$11,Paramètres!$A$1:$I$89,5,0)</f>
        <v>256.45775999999944</v>
      </c>
      <c r="BF142" s="13">
        <f t="shared" si="145"/>
        <v>61.966713774190119</v>
      </c>
      <c r="BG142" s="20">
        <f t="shared" si="115"/>
        <v>554.58929182337999</v>
      </c>
      <c r="BH142" s="59">
        <f t="shared" si="116"/>
        <v>847.92262515671337</v>
      </c>
      <c r="BI142" s="59">
        <f ca="1">AVERAGE(OFFSET($BH$3,0,0,'Données projet'!$E$11+1,1))-AVERAGE(OFFSET($H$3,0,0,'Données projet'!$E$11+1,1))</f>
        <v>250.68173853329841</v>
      </c>
      <c r="BJ142" s="59">
        <f t="shared" si="146"/>
        <v>113.25940301904359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43.795295594606202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43.795295594606202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1.8</v>
      </c>
      <c r="BY142" s="12">
        <f>IF('Données projet'!$A$114&gt;35,BY141+BX142-CG141,IF(A142&lt;'Données projet'!$A$114,$BV$205^A142,IF(A142='Données projet'!$A$114,'Données projet'!$B$114,BY141+BX142-CG141)))</f>
        <v>225.19999999999951</v>
      </c>
      <c r="BZ142" s="13">
        <f>BY142*VLOOKUP('Données projet'!$B$12,Paramètres!$A$1:$I$89,3,0)*VLOOKUP('Données projet'!$B$12,Paramètres!$A$1:$I$89,5,0)</f>
        <v>228.35279999999952</v>
      </c>
      <c r="CA142" s="13">
        <f t="shared" si="147"/>
        <v>55.926369528936611</v>
      </c>
      <c r="CB142" s="20">
        <f t="shared" si="118"/>
        <v>495.11955359623039</v>
      </c>
      <c r="CC142" s="59">
        <f t="shared" si="119"/>
        <v>788.45288692956365</v>
      </c>
      <c r="CD142" s="59">
        <f ca="1">AVERAGE(OFFSET($CC$3,0,0,'Données projet'!$E$12+1,1))-AVERAGE(OFFSET($H$3,0,0,'Données projet'!$E$12+1,1))</f>
        <v>211.44496956344943</v>
      </c>
      <c r="CE142" s="59">
        <f t="shared" si="148"/>
        <v>98.543169293276662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38.995811145882264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38.995811145882264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6">
        <f t="shared" si="110"/>
        <v>530.4697365612044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3.2810021366458389E-14</v>
      </c>
      <c r="P143" s="13">
        <f t="shared" si="141"/>
        <v>5.6117125884464641E-13</v>
      </c>
      <c r="Q143" s="20">
        <f t="shared" si="108"/>
        <v>1.0345173963676741E-12</v>
      </c>
      <c r="R143" s="59">
        <f t="shared" si="109"/>
        <v>293.33333333333434</v>
      </c>
      <c r="S143" s="59">
        <f ca="1">AVERAGE(OFFSET($R$3,0,0,'Données projet'!$E$9+1,1))-AVERAGE(OFFSET($H$3,0,0,'Données projet'!$E$9+1,1))</f>
        <v>162.0530649500439</v>
      </c>
      <c r="T143" s="59">
        <f t="shared" si="142"/>
        <v>450.88267959505049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11.818172679644997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1.0055185413532934E-16</v>
      </c>
      <c r="AC143" s="22">
        <f t="shared" si="111"/>
        <v>11.818172679644997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340</v>
      </c>
      <c r="AG143" s="12">
        <f>VLOOKUP(A143,'Données projet'!$A$61:$I$81,9,0)</f>
        <v>3.8</v>
      </c>
      <c r="AH143" s="12">
        <f t="array" ref="AH143">INDEX(AG:AG,MIN(IF(ISNUMBER(AG143:AG339),ROW(AG143:AG339),"")))</f>
        <v>3.8</v>
      </c>
      <c r="AI143" s="13">
        <f>IF('Données projet'!$A$62&gt;35,AI142+AH143-AQ142,IF(A143&lt;'Données projet'!$A$62,$AF$205^A143,IF(A143='Données projet'!$A$62,'Données projet'!$B$62,AI142+AH143-AQ142)))</f>
        <v>340</v>
      </c>
      <c r="AJ143" s="13">
        <f>AI143*VLOOKUP('Données projet'!$B$10,Paramètres!$A$1:$I$89,3,0)*VLOOKUP('Données projet'!$B$10,Paramètres!$A$1:$I$89,5,0)</f>
        <v>286.41600000000005</v>
      </c>
      <c r="AK143" s="13">
        <f t="shared" si="143"/>
        <v>68.321101129951245</v>
      </c>
      <c r="AL143" s="20">
        <f t="shared" si="112"/>
        <v>617.8337844679985</v>
      </c>
      <c r="AM143" s="59">
        <f t="shared" si="113"/>
        <v>911.16711780133187</v>
      </c>
      <c r="AN143" s="59">
        <f ca="1">AVERAGE(OFFSET($AM$3,0,0,'Données projet'!$E$10+1,1))-AVERAGE(OFFSET($H$3,0,0,'Données projet'!$E$10+1,1))</f>
        <v>328.34986205643321</v>
      </c>
      <c r="AO143" s="59">
        <f t="shared" si="144"/>
        <v>251.60894449147008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41</v>
      </c>
      <c r="AR143" s="16">
        <f>IF(ISNA(VLOOKUP(A143,'Données projet'!$A$61:$I$81,5,0)),0%,VLOOKUP(A143,'Données projet'!$A$61:$I$81,5,0)*VLOOKUP('Données projet'!$B$10,Paramètres!$A$1:$I$89,7,0))</f>
        <v>0.36549999999999999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79.837885592649272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79.837885592649272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227</v>
      </c>
      <c r="BB143" s="12">
        <f>VLOOKUP(A143,'Données projet'!$A$87:$I$107,9,0)</f>
        <v>1.8</v>
      </c>
      <c r="BC143" s="12">
        <f t="array" ref="BC143">INDEX(BB:BB,MIN(IF(ISNUMBER(BB143:BB339),ROW(BB143:BB339),"")))</f>
        <v>1.8</v>
      </c>
      <c r="BD143" s="12">
        <f>IF('Données projet'!$A$88&gt;35,BD142+BC143-BL142,IF(A143&lt;'Données projet'!$A$88,$BA$205^A143,IF(A143='Données projet'!$A$88,'Données projet'!$B$88,BD142+BC143-BL142)))</f>
        <v>226.99999999999952</v>
      </c>
      <c r="BE143" s="13">
        <f>BD143*VLOOKUP('Données projet'!$B$11,Paramètres!$A$1:$I$89,3,0)*VLOOKUP('Données projet'!$B$11,Paramètres!$A$1:$I$89,5,0)</f>
        <v>258.50759999999946</v>
      </c>
      <c r="BF143" s="13">
        <f t="shared" si="145"/>
        <v>62.404152084213457</v>
      </c>
      <c r="BG143" s="20">
        <f t="shared" si="115"/>
        <v>558.92130154667086</v>
      </c>
      <c r="BH143" s="59">
        <f t="shared" si="116"/>
        <v>852.25463488000423</v>
      </c>
      <c r="BI143" s="59">
        <f ca="1">AVERAGE(OFFSET($BH$3,0,0,'Données projet'!$E$11+1,1))-AVERAGE(OFFSET($H$3,0,0,'Données projet'!$E$11+1,1))</f>
        <v>250.68173853329841</v>
      </c>
      <c r="BJ143" s="59">
        <f t="shared" si="146"/>
        <v>113.25940301904359</v>
      </c>
      <c r="BK143" s="15">
        <f>IF(ISNA(VLOOKUP(A143,'Données projet'!$A$87:$I$107,3,0)),0,VLOOKUP(A143,'Données projet'!$A$87:$I$107,3,0))</f>
        <v>12</v>
      </c>
      <c r="BL143" s="15">
        <f>IF(ISNA(VLOOKUP(A143,'Données projet'!$A$87:$I$107,4,0)),0,VLOOKUP(A143,'Données projet'!$A$87:$I$107,4,0))</f>
        <v>17</v>
      </c>
      <c r="BM143" s="16">
        <f>IF(ISNA(VLOOKUP(A143,'Données projet'!$A$87:$I$107,5,0)),0%,VLOOKUP(A143,'Données projet'!$A$87:$I$107,5,0)*VLOOKUP('Données projet'!$B$11,Paramètres!$A$1:$I$89,7,0))</f>
        <v>0.36549999999999999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50.758731783924681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50.758731783924681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>
        <f>VLOOKUP(A143,'Données projet'!$A$113:$I$133,2,0)</f>
        <v>227</v>
      </c>
      <c r="BW143" s="12">
        <f>VLOOKUP(A143,'Données projet'!$A$113:$I$133,9,0)</f>
        <v>1.8</v>
      </c>
      <c r="BX143" s="12">
        <f t="array" ref="BX143">INDEX(BW:BW,MIN(IF(ISNUMBER(BW143:BW339),ROW(BW143:BW339),"")))</f>
        <v>1.8</v>
      </c>
      <c r="BY143" s="12">
        <f>IF('Données projet'!$A$114&gt;35,BY142+BX143-CG142,IF(A143&lt;'Données projet'!$A$114,$BV$205^A143,IF(A143='Données projet'!$A$114,'Données projet'!$B$114,BY142+BX143-CG142)))</f>
        <v>226.99999999999952</v>
      </c>
      <c r="BZ143" s="13">
        <f>BY143*VLOOKUP('Données projet'!$B$12,Paramètres!$A$1:$I$89,3,0)*VLOOKUP('Données projet'!$B$12,Paramètres!$A$1:$I$89,5,0)</f>
        <v>230.17799999999954</v>
      </c>
      <c r="CA143" s="13">
        <f t="shared" si="147"/>
        <v>56.321167559724955</v>
      </c>
      <c r="CB143" s="20">
        <f t="shared" si="118"/>
        <v>498.98605016652004</v>
      </c>
      <c r="CC143" s="59">
        <f t="shared" si="119"/>
        <v>792.3193834998533</v>
      </c>
      <c r="CD143" s="59">
        <f ca="1">AVERAGE(OFFSET($CC$3,0,0,'Données projet'!$E$12+1,1))-AVERAGE(OFFSET($H$3,0,0,'Données projet'!$E$12+1,1))</f>
        <v>211.44496956344943</v>
      </c>
      <c r="CE143" s="59">
        <f t="shared" si="148"/>
        <v>98.543169293276662</v>
      </c>
      <c r="CF143" s="15">
        <f>IF(ISNA(VLOOKUP(A143,'Données projet'!$A$113:$I$133,3,0)),0,VLOOKUP(A143,'Données projet'!$A$113:$I$133,3,0))</f>
        <v>12</v>
      </c>
      <c r="CG143" s="15">
        <f>IF(ISNA(VLOOKUP(A143,'Données projet'!$A$113:$I$133,4,0)),0,VLOOKUP(A143,'Données projet'!$A$113:$I$133,4,0))</f>
        <v>17</v>
      </c>
      <c r="CH143" s="16">
        <f>IF(ISNA(VLOOKUP(A143,'Données projet'!$A$113:$I$133,5,0)),0%,VLOOKUP(A143,'Données projet'!$A$113:$I$133,5,0)*VLOOKUP('Données projet'!$B$12,Paramètres!$A$1:$I$89,7,0))</f>
        <v>0.36549999999999999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45.196131040480907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45.196131040480907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6">
        <f t="shared" si="110"/>
        <v>532.3779434731116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3.2810021366458389E-14</v>
      </c>
      <c r="P144" s="13">
        <f t="shared" si="141"/>
        <v>5.6117125884464641E-13</v>
      </c>
      <c r="Q144" s="20">
        <f t="shared" si="108"/>
        <v>1.0345173963676741E-12</v>
      </c>
      <c r="R144" s="59">
        <f t="shared" si="109"/>
        <v>293.33333333333434</v>
      </c>
      <c r="S144" s="59">
        <f ca="1">AVERAGE(OFFSET($R$3,0,0,'Données projet'!$E$9+1,1))-AVERAGE(OFFSET($H$3,0,0,'Données projet'!$E$9+1,1))</f>
        <v>162.0530649500439</v>
      </c>
      <c r="T144" s="59">
        <f t="shared" si="142"/>
        <v>450.88267959505049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11.586425521770725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7.1100897919971967E-17</v>
      </c>
      <c r="AC144" s="22">
        <f t="shared" si="111"/>
        <v>11.586425521770725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3.4</v>
      </c>
      <c r="AI144" s="13">
        <f>IF('Données projet'!$A$62&gt;35,AI143+AH144-AQ143,IF(A144&lt;'Données projet'!$A$62,$AF$205^A144,IF(A144='Données projet'!$A$62,'Données projet'!$B$62,AI143+AH144-AQ143)))</f>
        <v>302.39999999999998</v>
      </c>
      <c r="AJ144" s="13">
        <f>AI144*VLOOKUP('Données projet'!$B$10,Paramètres!$A$1:$I$89,3,0)*VLOOKUP('Données projet'!$B$10,Paramètres!$A$1:$I$89,5,0)</f>
        <v>254.74176</v>
      </c>
      <c r="AK144" s="13">
        <f t="shared" si="143"/>
        <v>61.600204366992962</v>
      </c>
      <c r="AL144" s="20">
        <f t="shared" si="112"/>
        <v>550.96225460584606</v>
      </c>
      <c r="AM144" s="59">
        <f t="shared" si="113"/>
        <v>844.29558793917931</v>
      </c>
      <c r="AN144" s="59">
        <f ca="1">AVERAGE(OFFSET($AM$3,0,0,'Données projet'!$E$10+1,1))-AVERAGE(OFFSET($H$3,0,0,'Données projet'!$E$10+1,1))</f>
        <v>328.34986205643321</v>
      </c>
      <c r="AO144" s="59">
        <f t="shared" si="144"/>
        <v>251.60894449147008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78.272313352479273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78.272313352479273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1.3</v>
      </c>
      <c r="BD144" s="12">
        <f>IF('Données projet'!$A$88&gt;35,BD143+BC144-BL143,IF(A144&lt;'Données projet'!$A$88,$BA$205^A144,IF(A144='Données projet'!$A$88,'Données projet'!$B$88,BD143+BC144-BL143)))</f>
        <v>211.29999999999953</v>
      </c>
      <c r="BE144" s="13">
        <f>BD144*VLOOKUP('Données projet'!$B$11,Paramètres!$A$1:$I$89,3,0)*VLOOKUP('Données projet'!$B$11,Paramètres!$A$1:$I$89,5,0)</f>
        <v>240.62843999999947</v>
      </c>
      <c r="BF144" s="13">
        <f t="shared" si="145"/>
        <v>58.574721823791677</v>
      </c>
      <c r="BG144" s="20">
        <f t="shared" si="115"/>
        <v>521.1121735097696</v>
      </c>
      <c r="BH144" s="59">
        <f t="shared" si="116"/>
        <v>814.44550684310298</v>
      </c>
      <c r="BI144" s="59">
        <f ca="1">AVERAGE(OFFSET($BH$3,0,0,'Données projet'!$E$11+1,1))-AVERAGE(OFFSET($H$3,0,0,'Données projet'!$E$11+1,1))</f>
        <v>250.68173853329841</v>
      </c>
      <c r="BJ144" s="59">
        <f t="shared" si="146"/>
        <v>113.25940301904359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49.763384013411283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49.763384013411283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1.3</v>
      </c>
      <c r="BY144" s="12">
        <f>IF('Données projet'!$A$114&gt;35,BY143+BX144-CG143,IF(A144&lt;'Données projet'!$A$114,$BV$205^A144,IF(A144='Données projet'!$A$114,'Données projet'!$B$114,BY143+BX144-CG143)))</f>
        <v>211.29999999999953</v>
      </c>
      <c r="BZ144" s="13">
        <f>BY144*VLOOKUP('Données projet'!$B$12,Paramètres!$A$1:$I$89,3,0)*VLOOKUP('Données projet'!$B$12,Paramètres!$A$1:$I$89,5,0)</f>
        <v>214.2581999999995</v>
      </c>
      <c r="CA144" s="13">
        <f t="shared" si="147"/>
        <v>52.865019592768498</v>
      </c>
      <c r="CB144" s="20">
        <f t="shared" si="118"/>
        <v>465.23960745740425</v>
      </c>
      <c r="CC144" s="59">
        <f t="shared" si="119"/>
        <v>758.57294079073756</v>
      </c>
      <c r="CD144" s="59">
        <f ca="1">AVERAGE(OFFSET($CC$3,0,0,'Données projet'!$E$12+1,1))-AVERAGE(OFFSET($H$3,0,0,'Données projet'!$E$12+1,1))</f>
        <v>211.44496956344943</v>
      </c>
      <c r="CE144" s="59">
        <f t="shared" si="148"/>
        <v>98.543169293276662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44.309862477695006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44.309862477695006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6">
        <f t="shared" si="110"/>
        <v>534.28585371217559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3.2810021366458389E-14</v>
      </c>
      <c r="P145" s="13">
        <f t="shared" si="141"/>
        <v>5.6117125884464641E-13</v>
      </c>
      <c r="Q145" s="20">
        <f t="shared" si="108"/>
        <v>1.0345173963676741E-12</v>
      </c>
      <c r="R145" s="59">
        <f t="shared" si="109"/>
        <v>293.33333333333434</v>
      </c>
      <c r="S145" s="59">
        <f ca="1">AVERAGE(OFFSET($R$3,0,0,'Données projet'!$E$9+1,1))-AVERAGE(OFFSET($H$3,0,0,'Données projet'!$E$9+1,1))</f>
        <v>162.0530649500439</v>
      </c>
      <c r="T145" s="59">
        <f t="shared" si="142"/>
        <v>450.88267959505049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11.359222784310559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5.027592706766467E-17</v>
      </c>
      <c r="AC145" s="22">
        <f t="shared" si="111"/>
        <v>11.359222784310559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3.4</v>
      </c>
      <c r="AI145" s="13">
        <f>IF('Données projet'!$A$62&gt;35,AI144+AH145-AQ144,IF(A145&lt;'Données projet'!$A$62,$AF$205^A145,IF(A145='Données projet'!$A$62,'Données projet'!$B$62,AI144+AH145-AQ144)))</f>
        <v>305.79999999999995</v>
      </c>
      <c r="AJ145" s="13">
        <f>AI145*VLOOKUP('Données projet'!$B$10,Paramètres!$A$1:$I$89,3,0)*VLOOKUP('Données projet'!$B$10,Paramètres!$A$1:$I$89,5,0)</f>
        <v>257.60591999999997</v>
      </c>
      <c r="AK145" s="13">
        <f t="shared" si="143"/>
        <v>62.21178242147321</v>
      </c>
      <c r="AL145" s="20">
        <f t="shared" si="112"/>
        <v>557.01583171739912</v>
      </c>
      <c r="AM145" s="59">
        <f t="shared" si="113"/>
        <v>850.34916505073238</v>
      </c>
      <c r="AN145" s="59">
        <f ca="1">AVERAGE(OFFSET($AM$3,0,0,'Données projet'!$E$10+1,1))-AVERAGE(OFFSET($H$3,0,0,'Données projet'!$E$10+1,1))</f>
        <v>328.34986205643321</v>
      </c>
      <c r="AO145" s="59">
        <f t="shared" si="144"/>
        <v>251.60894449147008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76.73744102903423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76.73744102903423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1.3</v>
      </c>
      <c r="BD145" s="12">
        <f>IF('Données projet'!$A$88&gt;35,BD144+BC145-BL144,IF(A145&lt;'Données projet'!$A$88,$BA$205^A145,IF(A145='Données projet'!$A$88,'Données projet'!$B$88,BD144+BC145-BL144)))</f>
        <v>212.59999999999954</v>
      </c>
      <c r="BE145" s="13">
        <f>BD145*VLOOKUP('Données projet'!$B$11,Paramètres!$A$1:$I$89,3,0)*VLOOKUP('Données projet'!$B$11,Paramètres!$A$1:$I$89,5,0)</f>
        <v>242.10887999999949</v>
      </c>
      <c r="BF145" s="13">
        <f t="shared" si="145"/>
        <v>58.89303500061623</v>
      </c>
      <c r="BG145" s="20">
        <f t="shared" si="115"/>
        <v>524.24500195940573</v>
      </c>
      <c r="BH145" s="59">
        <f t="shared" si="116"/>
        <v>817.57833529273898</v>
      </c>
      <c r="BI145" s="59">
        <f ca="1">AVERAGE(OFFSET($BH$3,0,0,'Données projet'!$E$11+1,1))-AVERAGE(OFFSET($H$3,0,0,'Données projet'!$E$11+1,1))</f>
        <v>250.68173853329841</v>
      </c>
      <c r="BJ145" s="59">
        <f t="shared" si="146"/>
        <v>113.25940301904359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48.787554405575456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48.787554405575456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1.3</v>
      </c>
      <c r="BY145" s="12">
        <f>IF('Données projet'!$A$114&gt;35,BY144+BX145-CG144,IF(A145&lt;'Données projet'!$A$114,$BV$205^A145,IF(A145='Données projet'!$A$114,'Données projet'!$B$114,BY144+BX145-CG144)))</f>
        <v>212.59999999999954</v>
      </c>
      <c r="BZ145" s="13">
        <f>BY145*VLOOKUP('Données projet'!$B$12,Paramètres!$A$1:$I$89,3,0)*VLOOKUP('Données projet'!$B$12,Paramètres!$A$1:$I$89,5,0)</f>
        <v>215.57639999999955</v>
      </c>
      <c r="CA145" s="13">
        <f t="shared" si="147"/>
        <v>53.152304479585176</v>
      </c>
      <c r="CB145" s="20">
        <f t="shared" si="118"/>
        <v>468.03582696861002</v>
      </c>
      <c r="CC145" s="59">
        <f t="shared" si="119"/>
        <v>761.36916030194334</v>
      </c>
      <c r="CD145" s="59">
        <f ca="1">AVERAGE(OFFSET($CC$3,0,0,'Données projet'!$E$12+1,1))-AVERAGE(OFFSET($H$3,0,0,'Données projet'!$E$12+1,1))</f>
        <v>211.44496956344943</v>
      </c>
      <c r="CE145" s="59">
        <f t="shared" si="148"/>
        <v>98.543169293276662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43.44097310085489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43.44097310085489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6">
        <f t="shared" si="110"/>
        <v>536.19346960991265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3.2810021366458389E-14</v>
      </c>
      <c r="P146" s="13">
        <f t="shared" si="141"/>
        <v>5.6117125884464641E-13</v>
      </c>
      <c r="Q146" s="20">
        <f t="shared" si="108"/>
        <v>1.0345173963676741E-12</v>
      </c>
      <c r="R146" s="59">
        <f t="shared" si="109"/>
        <v>293.33333333333434</v>
      </c>
      <c r="S146" s="59">
        <f ca="1">AVERAGE(OFFSET($R$3,0,0,'Données projet'!$E$9+1,1))-AVERAGE(OFFSET($H$3,0,0,'Données projet'!$E$9+1,1))</f>
        <v>162.0530649500439</v>
      </c>
      <c r="T146" s="59">
        <f t="shared" si="142"/>
        <v>450.88267959505049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11.136475353952001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3.5550448959985983E-17</v>
      </c>
      <c r="AC146" s="22">
        <f t="shared" si="111"/>
        <v>11.136475353952001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3.4</v>
      </c>
      <c r="AI146" s="13">
        <f>IF('Données projet'!$A$62&gt;35,AI145+AH146-AQ145,IF(A146&lt;'Données projet'!$A$62,$AF$205^A146,IF(A146='Données projet'!$A$62,'Données projet'!$B$62,AI145+AH146-AQ145)))</f>
        <v>309.19999999999993</v>
      </c>
      <c r="AJ146" s="13">
        <f>AI146*VLOOKUP('Données projet'!$B$10,Paramètres!$A$1:$I$89,3,0)*VLOOKUP('Données projet'!$B$10,Paramètres!$A$1:$I$89,5,0)</f>
        <v>260.47007999999994</v>
      </c>
      <c r="AK146" s="13">
        <f t="shared" si="143"/>
        <v>62.822569479065102</v>
      </c>
      <c r="AL146" s="20">
        <f t="shared" si="112"/>
        <v>563.06803117603829</v>
      </c>
      <c r="AM146" s="59">
        <f t="shared" si="113"/>
        <v>856.40136450937166</v>
      </c>
      <c r="AN146" s="59">
        <f ca="1">AVERAGE(OFFSET($AM$3,0,0,'Données projet'!$E$10+1,1))-AVERAGE(OFFSET($H$3,0,0,'Données projet'!$E$10+1,1))</f>
        <v>328.34986205643321</v>
      </c>
      <c r="AO146" s="59">
        <f t="shared" si="144"/>
        <v>251.60894449147008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75.232666615672258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75.232666615672258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1.3</v>
      </c>
      <c r="BD146" s="12">
        <f>IF('Données projet'!$A$88&gt;35,BD145+BC146-BL145,IF(A146&lt;'Données projet'!$A$88,$BA$205^A146,IF(A146='Données projet'!$A$88,'Données projet'!$B$88,BD145+BC146-BL145)))</f>
        <v>213.89999999999955</v>
      </c>
      <c r="BE146" s="13">
        <f>BD146*VLOOKUP('Données projet'!$B$11,Paramètres!$A$1:$I$89,3,0)*VLOOKUP('Données projet'!$B$11,Paramètres!$A$1:$I$89,5,0)</f>
        <v>243.5893199999995</v>
      </c>
      <c r="BF146" s="13">
        <f t="shared" si="145"/>
        <v>59.211121694234286</v>
      </c>
      <c r="BG146" s="20">
        <f t="shared" si="115"/>
        <v>527.37743595079053</v>
      </c>
      <c r="BH146" s="59">
        <f t="shared" si="116"/>
        <v>820.7107692841239</v>
      </c>
      <c r="BI146" s="59">
        <f ca="1">AVERAGE(OFFSET($BH$3,0,0,'Données projet'!$E$11+1,1))-AVERAGE(OFFSET($H$3,0,0,'Données projet'!$E$11+1,1))</f>
        <v>250.68173853329841</v>
      </c>
      <c r="BJ146" s="59">
        <f t="shared" si="146"/>
        <v>113.25940301904359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47.830860221152001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47.830860221152001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1.3</v>
      </c>
      <c r="BY146" s="12">
        <f>IF('Données projet'!$A$114&gt;35,BY145+BX146-CG145,IF(A146&lt;'Données projet'!$A$114,$BV$205^A146,IF(A146='Données projet'!$A$114,'Données projet'!$B$114,BY145+BX146-CG145)))</f>
        <v>213.89999999999955</v>
      </c>
      <c r="BZ146" s="13">
        <f>BY146*VLOOKUP('Données projet'!$B$12,Paramètres!$A$1:$I$89,3,0)*VLOOKUP('Données projet'!$B$12,Paramètres!$A$1:$I$89,5,0)</f>
        <v>216.89459999999957</v>
      </c>
      <c r="CA146" s="13">
        <f t="shared" si="147"/>
        <v>53.439384960153284</v>
      </c>
      <c r="CB146" s="20">
        <f t="shared" si="118"/>
        <v>470.83169047226619</v>
      </c>
      <c r="CC146" s="59">
        <f t="shared" si="119"/>
        <v>764.1650238055995</v>
      </c>
      <c r="CD146" s="59">
        <f ca="1">AVERAGE(OFFSET($CC$3,0,0,'Données projet'!$E$12+1,1))-AVERAGE(OFFSET($H$3,0,0,'Données projet'!$E$12+1,1))</f>
        <v>211.44496956344943</v>
      </c>
      <c r="CE146" s="59">
        <f t="shared" si="148"/>
        <v>98.543169293276662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42.589122114724418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42.589122114724418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6">
        <f t="shared" si="110"/>
        <v>538.10079346334646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3.2810021366458389E-14</v>
      </c>
      <c r="P147" s="13">
        <f t="shared" si="141"/>
        <v>5.6117125884464641E-13</v>
      </c>
      <c r="Q147" s="20">
        <f t="shared" si="108"/>
        <v>1.0345173963676741E-12</v>
      </c>
      <c r="R147" s="59">
        <f t="shared" si="109"/>
        <v>293.33333333333434</v>
      </c>
      <c r="S147" s="59">
        <f ca="1">AVERAGE(OFFSET($R$3,0,0,'Données projet'!$E$9+1,1))-AVERAGE(OFFSET($H$3,0,0,'Données projet'!$E$9+1,1))</f>
        <v>162.0530649500439</v>
      </c>
      <c r="T147" s="59">
        <f t="shared" si="142"/>
        <v>450.88267959505049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10.918095864840257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2.5137963533832335E-17</v>
      </c>
      <c r="AC147" s="22">
        <f t="shared" si="111"/>
        <v>10.918095864840257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3.4</v>
      </c>
      <c r="AI147" s="13">
        <f>IF('Données projet'!$A$62&gt;35,AI146+AH147-AQ146,IF(A147&lt;'Données projet'!$A$62,$AF$205^A147,IF(A147='Données projet'!$A$62,'Données projet'!$B$62,AI146+AH147-AQ146)))</f>
        <v>312.59999999999991</v>
      </c>
      <c r="AJ147" s="13">
        <f>AI147*VLOOKUP('Données projet'!$B$10,Paramètres!$A$1:$I$89,3,0)*VLOOKUP('Données projet'!$B$10,Paramètres!$A$1:$I$89,5,0)</f>
        <v>263.33423999999997</v>
      </c>
      <c r="AK147" s="13">
        <f t="shared" si="143"/>
        <v>63.432575244281175</v>
      </c>
      <c r="AL147" s="20">
        <f t="shared" si="112"/>
        <v>569.11886988378967</v>
      </c>
      <c r="AM147" s="59">
        <f t="shared" si="113"/>
        <v>862.45220321712304</v>
      </c>
      <c r="AN147" s="59">
        <f ca="1">AVERAGE(OFFSET($AM$3,0,0,'Données projet'!$E$10+1,1))-AVERAGE(OFFSET($H$3,0,0,'Données projet'!$E$10+1,1))</f>
        <v>328.34986205643321</v>
      </c>
      <c r="AO147" s="59">
        <f t="shared" si="144"/>
        <v>251.60894449147008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73.757399910734563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73.757399910734563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1.3</v>
      </c>
      <c r="BD147" s="12">
        <f>IF('Données projet'!$A$88&gt;35,BD146+BC147-BL146,IF(A147&lt;'Données projet'!$A$88,$BA$205^A147,IF(A147='Données projet'!$A$88,'Données projet'!$B$88,BD146+BC147-BL146)))</f>
        <v>215.19999999999956</v>
      </c>
      <c r="BE147" s="13">
        <f>BD147*VLOOKUP('Données projet'!$B$11,Paramètres!$A$1:$I$89,3,0)*VLOOKUP('Données projet'!$B$11,Paramètres!$A$1:$I$89,5,0)</f>
        <v>245.06975999999949</v>
      </c>
      <c r="BF147" s="13">
        <f t="shared" si="145"/>
        <v>59.528983440819005</v>
      </c>
      <c r="BG147" s="20">
        <f t="shared" si="115"/>
        <v>530.50947815942561</v>
      </c>
      <c r="BH147" s="59">
        <f t="shared" si="116"/>
        <v>823.84281149275898</v>
      </c>
      <c r="BI147" s="59">
        <f ca="1">AVERAGE(OFFSET($BH$3,0,0,'Données projet'!$E$11+1,1))-AVERAGE(OFFSET($H$3,0,0,'Données projet'!$E$11+1,1))</f>
        <v>250.68173853329841</v>
      </c>
      <c r="BJ147" s="59">
        <f t="shared" si="146"/>
        <v>113.25940301904359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46.892926226159254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46.892926226159254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1.3</v>
      </c>
      <c r="BY147" s="12">
        <f>IF('Données projet'!$A$114&gt;35,BY146+BX147-CG146,IF(A147&lt;'Données projet'!$A$114,$BV$205^A147,IF(A147='Données projet'!$A$114,'Données projet'!$B$114,BY146+BX147-CG146)))</f>
        <v>215.19999999999956</v>
      </c>
      <c r="BZ147" s="13">
        <f>BY147*VLOOKUP('Données projet'!$B$12,Paramètres!$A$1:$I$89,3,0)*VLOOKUP('Données projet'!$B$12,Paramètres!$A$1:$I$89,5,0)</f>
        <v>218.21279999999956</v>
      </c>
      <c r="CA147" s="13">
        <f t="shared" si="147"/>
        <v>53.726262420904064</v>
      </c>
      <c r="CB147" s="20">
        <f t="shared" si="118"/>
        <v>473.62720038307378</v>
      </c>
      <c r="CC147" s="59">
        <f t="shared" si="119"/>
        <v>766.9605337164071</v>
      </c>
      <c r="CD147" s="59">
        <f ca="1">AVERAGE(OFFSET($CC$3,0,0,'Données projet'!$E$12+1,1))-AVERAGE(OFFSET($H$3,0,0,'Données projet'!$E$12+1,1))</f>
        <v>211.44496956344943</v>
      </c>
      <c r="CE147" s="59">
        <f t="shared" si="148"/>
        <v>98.543169293276662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41.753975406854167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41.753975406854167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6">
        <f t="shared" si="110"/>
        <v>540.00782753575277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3.2810021366458389E-14</v>
      </c>
      <c r="P148" s="13">
        <f t="shared" si="141"/>
        <v>5.6117125884464641E-13</v>
      </c>
      <c r="Q148" s="20">
        <f t="shared" si="108"/>
        <v>1.0345173963676741E-12</v>
      </c>
      <c r="R148" s="59">
        <f t="shared" si="109"/>
        <v>293.33333333333434</v>
      </c>
      <c r="S148" s="59">
        <f ca="1">AVERAGE(OFFSET($R$3,0,0,'Données projet'!$E$9+1,1))-AVERAGE(OFFSET($H$3,0,0,'Données projet'!$E$9+1,1))</f>
        <v>162.0530649500439</v>
      </c>
      <c r="T148" s="59">
        <f t="shared" si="142"/>
        <v>450.88267959505049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10.703998664311658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1.7775224479992992E-17</v>
      </c>
      <c r="AC148" s="22">
        <f t="shared" si="111"/>
        <v>10.703998664311658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3.4</v>
      </c>
      <c r="AI148" s="13">
        <f>IF('Données projet'!$A$62&gt;35,AI147+AH148-AQ147,IF(A148&lt;'Données projet'!$A$62,$AF$205^A148,IF(A148='Données projet'!$A$62,'Données projet'!$B$62,AI147+AH148-AQ147)))</f>
        <v>315.99999999999989</v>
      </c>
      <c r="AJ148" s="13">
        <f>AI148*VLOOKUP('Données projet'!$B$10,Paramètres!$A$1:$I$89,3,0)*VLOOKUP('Données projet'!$B$10,Paramètres!$A$1:$I$89,5,0)</f>
        <v>266.19839999999994</v>
      </c>
      <c r="AK148" s="13">
        <f t="shared" si="143"/>
        <v>64.041809198373215</v>
      </c>
      <c r="AL148" s="20">
        <f t="shared" si="112"/>
        <v>575.16836435383323</v>
      </c>
      <c r="AM148" s="59">
        <f t="shared" si="113"/>
        <v>868.5016976871666</v>
      </c>
      <c r="AN148" s="59">
        <f ca="1">AVERAGE(OFFSET($AM$3,0,0,'Données projet'!$E$10+1,1))-AVERAGE(OFFSET($H$3,0,0,'Données projet'!$E$10+1,1))</f>
        <v>328.34986205643321</v>
      </c>
      <c r="AO148" s="59">
        <f t="shared" si="144"/>
        <v>251.60894449147008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72.311062286056853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72.311062286056853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1.3</v>
      </c>
      <c r="BD148" s="12">
        <f>IF('Données projet'!$A$88&gt;35,BD147+BC148-BL147,IF(A148&lt;'Données projet'!$A$88,$BA$205^A148,IF(A148='Données projet'!$A$88,'Données projet'!$B$88,BD147+BC148-BL147)))</f>
        <v>216.49999999999957</v>
      </c>
      <c r="BE148" s="13">
        <f>BD148*VLOOKUP('Données projet'!$B$11,Paramètres!$A$1:$I$89,3,0)*VLOOKUP('Données projet'!$B$11,Paramètres!$A$1:$I$89,5,0)</f>
        <v>246.55019999999951</v>
      </c>
      <c r="BF148" s="13">
        <f t="shared" si="145"/>
        <v>59.846621756910125</v>
      </c>
      <c r="BG148" s="20">
        <f t="shared" si="115"/>
        <v>533.64113122661763</v>
      </c>
      <c r="BH148" s="59">
        <f t="shared" si="116"/>
        <v>826.974464559951</v>
      </c>
      <c r="BI148" s="59">
        <f ca="1">AVERAGE(OFFSET($BH$3,0,0,'Données projet'!$E$11+1,1))-AVERAGE(OFFSET($H$3,0,0,'Données projet'!$E$11+1,1))</f>
        <v>250.68173853329841</v>
      </c>
      <c r="BJ148" s="59">
        <f t="shared" si="146"/>
        <v>113.25940301904359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45.973384544725072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45.973384544725072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1.3</v>
      </c>
      <c r="BY148" s="12">
        <f>IF('Données projet'!$A$114&gt;35,BY147+BX148-CG147,IF(A148&lt;'Données projet'!$A$114,$BV$205^A148,IF(A148='Données projet'!$A$114,'Données projet'!$B$114,BY147+BX148-CG147)))</f>
        <v>216.49999999999957</v>
      </c>
      <c r="BZ148" s="13">
        <f>BY148*VLOOKUP('Données projet'!$B$12,Paramètres!$A$1:$I$89,3,0)*VLOOKUP('Données projet'!$B$12,Paramètres!$A$1:$I$89,5,0)</f>
        <v>219.53099999999961</v>
      </c>
      <c r="CA148" s="13">
        <f t="shared" si="147"/>
        <v>54.012938230549196</v>
      </c>
      <c r="CB148" s="20">
        <f t="shared" si="118"/>
        <v>476.42235908487243</v>
      </c>
      <c r="CC148" s="59">
        <f t="shared" si="119"/>
        <v>769.75569241820574</v>
      </c>
      <c r="CD148" s="59">
        <f ca="1">AVERAGE(OFFSET($CC$3,0,0,'Données projet'!$E$12+1,1))-AVERAGE(OFFSET($H$3,0,0,'Données projet'!$E$12+1,1))</f>
        <v>211.44496956344943</v>
      </c>
      <c r="CE148" s="59">
        <f t="shared" si="148"/>
        <v>98.543169293276662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40.935205416536057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40.935205416536057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6">
        <f t="shared" si="110"/>
        <v>541.91457405738606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3.2810021366458389E-14</v>
      </c>
      <c r="P149" s="13">
        <f t="shared" si="141"/>
        <v>5.6117125884464641E-13</v>
      </c>
      <c r="Q149" s="20">
        <f t="shared" si="108"/>
        <v>1.0345173963676741E-12</v>
      </c>
      <c r="R149" s="59">
        <f t="shared" si="109"/>
        <v>293.33333333333434</v>
      </c>
      <c r="S149" s="59">
        <f ca="1">AVERAGE(OFFSET($R$3,0,0,'Données projet'!$E$9+1,1))-AVERAGE(OFFSET($H$3,0,0,'Données projet'!$E$9+1,1))</f>
        <v>162.0530649500439</v>
      </c>
      <c r="T149" s="59">
        <f t="shared" si="142"/>
        <v>450.88267959505049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10.494099779299027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1.2568981766916168E-17</v>
      </c>
      <c r="AC149" s="22">
        <f t="shared" si="111"/>
        <v>10.494099779299027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3.4</v>
      </c>
      <c r="AI149" s="13">
        <f>IF('Données projet'!$A$62&gt;35,AI148+AH149-AQ148,IF(A149&lt;'Données projet'!$A$62,$AF$205^A149,IF(A149='Données projet'!$A$62,'Données projet'!$B$62,AI148+AH149-AQ148)))</f>
        <v>319.39999999999986</v>
      </c>
      <c r="AJ149" s="13">
        <f>AI149*VLOOKUP('Données projet'!$B$10,Paramètres!$A$1:$I$89,3,0)*VLOOKUP('Données projet'!$B$10,Paramètres!$A$1:$I$89,5,0)</f>
        <v>269.06255999999991</v>
      </c>
      <c r="AK149" s="13">
        <f t="shared" si="143"/>
        <v>64.650280606814434</v>
      </c>
      <c r="AL149" s="20">
        <f t="shared" si="112"/>
        <v>581.2165307235349</v>
      </c>
      <c r="AM149" s="59">
        <f t="shared" si="113"/>
        <v>874.54986405686827</v>
      </c>
      <c r="AN149" s="59">
        <f ca="1">AVERAGE(OFFSET($AM$3,0,0,'Données projet'!$E$10+1,1))-AVERAGE(OFFSET($H$3,0,0,'Données projet'!$E$10+1,1))</f>
        <v>328.34986205643321</v>
      </c>
      <c r="AO149" s="59">
        <f t="shared" si="144"/>
        <v>251.60894449147008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70.893086460020228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70.893086460020228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1.3</v>
      </c>
      <c r="BD149" s="12">
        <f>IF('Données projet'!$A$88&gt;35,BD148+BC149-BL148,IF(A149&lt;'Données projet'!$A$88,$BA$205^A149,IF(A149='Données projet'!$A$88,'Données projet'!$B$88,BD148+BC149-BL148)))</f>
        <v>217.79999999999959</v>
      </c>
      <c r="BE149" s="13">
        <f>BD149*VLOOKUP('Données projet'!$B$11,Paramètres!$A$1:$I$89,3,0)*VLOOKUP('Données projet'!$B$11,Paramètres!$A$1:$I$89,5,0)</f>
        <v>248.03063999999952</v>
      </c>
      <c r="BF149" s="13">
        <f t="shared" si="145"/>
        <v>60.164038139781326</v>
      </c>
      <c r="BG149" s="20">
        <f t="shared" si="115"/>
        <v>536.77239776011834</v>
      </c>
      <c r="BH149" s="59">
        <f t="shared" si="116"/>
        <v>830.1057310934516</v>
      </c>
      <c r="BI149" s="59">
        <f ca="1">AVERAGE(OFFSET($BH$3,0,0,'Données projet'!$E$11+1,1))-AVERAGE(OFFSET($H$3,0,0,'Données projet'!$E$11+1,1))</f>
        <v>250.68173853329841</v>
      </c>
      <c r="BJ149" s="59">
        <f t="shared" si="146"/>
        <v>113.25940301904359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45.071874514798765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45.071874514798765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1.3</v>
      </c>
      <c r="BY149" s="12">
        <f>IF('Données projet'!$A$114&gt;35,BY148+BX149-CG148,IF(A149&lt;'Données projet'!$A$114,$BV$205^A149,IF(A149='Données projet'!$A$114,'Données projet'!$B$114,BY148+BX149-CG148)))</f>
        <v>217.79999999999959</v>
      </c>
      <c r="BZ149" s="13">
        <f>BY149*VLOOKUP('Données projet'!$B$12,Paramètres!$A$1:$I$89,3,0)*VLOOKUP('Données projet'!$B$12,Paramètres!$A$1:$I$89,5,0)</f>
        <v>220.8491999999996</v>
      </c>
      <c r="CA149" s="13">
        <f t="shared" si="147"/>
        <v>54.299413740412113</v>
      </c>
      <c r="CB149" s="20">
        <f t="shared" si="118"/>
        <v>479.21716893121703</v>
      </c>
      <c r="CC149" s="59">
        <f t="shared" si="119"/>
        <v>772.55050226455035</v>
      </c>
      <c r="CD149" s="59">
        <f ca="1">AVERAGE(OFFSET($CC$3,0,0,'Données projet'!$E$12+1,1))-AVERAGE(OFFSET($H$3,0,0,'Données projet'!$E$12+1,1))</f>
        <v>211.44496956344943</v>
      </c>
      <c r="CE149" s="59">
        <f t="shared" si="148"/>
        <v>98.543169293276662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40.132491006327704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40.132491006327704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6">
        <f t="shared" si="110"/>
        <v>543.82103522618308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3.2810021366458389E-14</v>
      </c>
      <c r="P150" s="13">
        <f t="shared" si="141"/>
        <v>5.6117125884464641E-13</v>
      </c>
      <c r="Q150" s="20">
        <f t="shared" si="108"/>
        <v>1.0345173963676741E-12</v>
      </c>
      <c r="R150" s="59">
        <f t="shared" si="109"/>
        <v>293.33333333333434</v>
      </c>
      <c r="S150" s="59">
        <f ca="1">AVERAGE(OFFSET($R$3,0,0,'Données projet'!$E$9+1,1))-AVERAGE(OFFSET($H$3,0,0,'Données projet'!$E$9+1,1))</f>
        <v>162.0530649500439</v>
      </c>
      <c r="T150" s="59">
        <f t="shared" si="142"/>
        <v>450.88267959505049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10.288316883395815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8.8876122399964959E-18</v>
      </c>
      <c r="AC150" s="22">
        <f t="shared" si="111"/>
        <v>10.288316883395815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3.4</v>
      </c>
      <c r="AI150" s="13">
        <f>IF('Données projet'!$A$62&gt;35,AI149+AH150-AQ149,IF(A150&lt;'Données projet'!$A$62,$AF$205^A150,IF(A150='Données projet'!$A$62,'Données projet'!$B$62,AI149+AH150-AQ149)))</f>
        <v>322.79999999999984</v>
      </c>
      <c r="AJ150" s="13">
        <f>AI150*VLOOKUP('Données projet'!$B$10,Paramètres!$A$1:$I$89,3,0)*VLOOKUP('Données projet'!$B$10,Paramètres!$A$1:$I$89,5,0)</f>
        <v>271.92671999999988</v>
      </c>
      <c r="AK150" s="13">
        <f t="shared" si="143"/>
        <v>65.257998526454017</v>
      </c>
      <c r="AL150" s="20">
        <f t="shared" si="112"/>
        <v>587.26338476690717</v>
      </c>
      <c r="AM150" s="59">
        <f t="shared" si="113"/>
        <v>880.59671810024042</v>
      </c>
      <c r="AN150" s="59">
        <f ca="1">AVERAGE(OFFSET($AM$3,0,0,'Données projet'!$E$10+1,1))-AVERAGE(OFFSET($H$3,0,0,'Données projet'!$E$10+1,1))</f>
        <v>328.34986205643321</v>
      </c>
      <c r="AO150" s="59">
        <f t="shared" si="144"/>
        <v>251.60894449147008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69.502916275052328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69.502916275052328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1.3</v>
      </c>
      <c r="BD150" s="12">
        <f>IF('Données projet'!$A$88&gt;35,BD149+BC150-BL149,IF(A150&lt;'Données projet'!$A$88,$BA$205^A150,IF(A150='Données projet'!$A$88,'Données projet'!$B$88,BD149+BC150-BL149)))</f>
        <v>219.0999999999996</v>
      </c>
      <c r="BE150" s="13">
        <f>BD150*VLOOKUP('Données projet'!$B$11,Paramètres!$A$1:$I$89,3,0)*VLOOKUP('Données projet'!$B$11,Paramètres!$A$1:$I$89,5,0)</f>
        <v>249.51107999999954</v>
      </c>
      <c r="BF150" s="13">
        <f t="shared" si="145"/>
        <v>60.481234067798518</v>
      </c>
      <c r="BG150" s="20">
        <f t="shared" si="115"/>
        <v>539.90328033474827</v>
      </c>
      <c r="BH150" s="59">
        <f t="shared" si="116"/>
        <v>833.23661366808165</v>
      </c>
      <c r="BI150" s="59">
        <f ca="1">AVERAGE(OFFSET($BH$3,0,0,'Données projet'!$E$11+1,1))-AVERAGE(OFFSET($H$3,0,0,'Données projet'!$E$11+1,1))</f>
        <v>250.68173853329841</v>
      </c>
      <c r="BJ150" s="59">
        <f t="shared" si="146"/>
        <v>113.25940301904359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44.188042546692493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44.188042546692493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1.3</v>
      </c>
      <c r="BY150" s="12">
        <f>IF('Données projet'!$A$114&gt;35,BY149+BX150-CG149,IF(A150&lt;'Données projet'!$A$114,$BV$205^A150,IF(A150='Données projet'!$A$114,'Données projet'!$B$114,BY149+BX150-CG149)))</f>
        <v>219.0999999999996</v>
      </c>
      <c r="BZ150" s="13">
        <f>BY150*VLOOKUP('Données projet'!$B$12,Paramètres!$A$1:$I$89,3,0)*VLOOKUP('Données projet'!$B$12,Paramètres!$A$1:$I$89,5,0)</f>
        <v>222.16739999999959</v>
      </c>
      <c r="CA150" s="13">
        <f t="shared" si="147"/>
        <v>54.585690284751877</v>
      </c>
      <c r="CB150" s="20">
        <f t="shared" si="118"/>
        <v>482.01163224594205</v>
      </c>
      <c r="CC150" s="59">
        <f t="shared" si="119"/>
        <v>775.34496557927537</v>
      </c>
      <c r="CD150" s="59">
        <f ca="1">AVERAGE(OFFSET($CC$3,0,0,'Données projet'!$E$12+1,1))-AVERAGE(OFFSET($H$3,0,0,'Données projet'!$E$12+1,1))</f>
        <v>211.44496956344943</v>
      </c>
      <c r="CE150" s="59">
        <f t="shared" si="148"/>
        <v>98.543169293276662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39.345517336096087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39.345517336096087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6">
        <f t="shared" si="110"/>
        <v>545.72721320844835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3.2810021366458389E-14</v>
      </c>
      <c r="P151" s="13">
        <f t="shared" si="141"/>
        <v>5.6117125884464641E-13</v>
      </c>
      <c r="Q151" s="20">
        <f t="shared" si="108"/>
        <v>1.0345173963676741E-12</v>
      </c>
      <c r="R151" s="59">
        <f t="shared" si="109"/>
        <v>293.33333333333434</v>
      </c>
      <c r="S151" s="59">
        <f ca="1">AVERAGE(OFFSET($R$3,0,0,'Données projet'!$E$9+1,1))-AVERAGE(OFFSET($H$3,0,0,'Données projet'!$E$9+1,1))</f>
        <v>162.0530649500439</v>
      </c>
      <c r="T151" s="59">
        <f t="shared" si="142"/>
        <v>450.88267959505049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10.086569264566092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6.2844908834580838E-18</v>
      </c>
      <c r="AC151" s="22">
        <f t="shared" si="111"/>
        <v>10.086569264566092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3.4</v>
      </c>
      <c r="AI151" s="13">
        <f>IF('Données projet'!$A$62&gt;35,AI150+AH151-AQ150,IF(A151&lt;'Données projet'!$A$62,$AF$205^A151,IF(A151='Données projet'!$A$62,'Données projet'!$B$62,AI150+AH151-AQ150)))</f>
        <v>326.19999999999982</v>
      </c>
      <c r="AJ151" s="13">
        <f>AI151*VLOOKUP('Données projet'!$B$10,Paramètres!$A$1:$I$89,3,0)*VLOOKUP('Données projet'!$B$10,Paramètres!$A$1:$I$89,5,0)</f>
        <v>274.79087999999985</v>
      </c>
      <c r="AK151" s="13">
        <f t="shared" si="143"/>
        <v>65.86497181236102</v>
      </c>
      <c r="AL151" s="20">
        <f t="shared" si="112"/>
        <v>593.3089419065285</v>
      </c>
      <c r="AM151" s="59">
        <f t="shared" si="113"/>
        <v>886.64227523986187</v>
      </c>
      <c r="AN151" s="59">
        <f ca="1">AVERAGE(OFFSET($AM$3,0,0,'Données projet'!$E$10+1,1))-AVERAGE(OFFSET($H$3,0,0,'Données projet'!$E$10+1,1))</f>
        <v>328.34986205643321</v>
      </c>
      <c r="AO151" s="59">
        <f t="shared" si="144"/>
        <v>251.60894449147008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68.140006479491561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68.140006479491561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1.3</v>
      </c>
      <c r="BD151" s="12">
        <f>IF('Données projet'!$A$88&gt;35,BD150+BC151-BL150,IF(A151&lt;'Données projet'!$A$88,$BA$205^A151,IF(A151='Données projet'!$A$88,'Données projet'!$B$88,BD150+BC151-BL150)))</f>
        <v>220.39999999999961</v>
      </c>
      <c r="BE151" s="13">
        <f>BD151*VLOOKUP('Données projet'!$B$11,Paramètres!$A$1:$I$89,3,0)*VLOOKUP('Données projet'!$B$11,Paramètres!$A$1:$I$89,5,0)</f>
        <v>250.99151999999955</v>
      </c>
      <c r="BF151" s="13">
        <f t="shared" si="145"/>
        <v>60.7982110007693</v>
      </c>
      <c r="BG151" s="20">
        <f t="shared" si="115"/>
        <v>543.03378149300568</v>
      </c>
      <c r="BH151" s="59">
        <f t="shared" si="116"/>
        <v>836.36711482633905</v>
      </c>
      <c r="BI151" s="59">
        <f ca="1">AVERAGE(OFFSET($BH$3,0,0,'Données projet'!$E$11+1,1))-AVERAGE(OFFSET($H$3,0,0,'Données projet'!$E$11+1,1))</f>
        <v>250.68173853329841</v>
      </c>
      <c r="BJ151" s="59">
        <f t="shared" si="146"/>
        <v>113.25940301904359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43.321541984396511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43.321541984396511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1.3</v>
      </c>
      <c r="BY151" s="12">
        <f>IF('Données projet'!$A$114&gt;35,BY150+BX151-CG150,IF(A151&lt;'Données projet'!$A$114,$BV$205^A151,IF(A151='Données projet'!$A$114,'Données projet'!$B$114,BY150+BX151-CG150)))</f>
        <v>220.39999999999961</v>
      </c>
      <c r="BZ151" s="13">
        <f>BY151*VLOOKUP('Données projet'!$B$12,Paramètres!$A$1:$I$89,3,0)*VLOOKUP('Données projet'!$B$12,Paramètres!$A$1:$I$89,5,0)</f>
        <v>223.48559999999964</v>
      </c>
      <c r="CA151" s="13">
        <f t="shared" si="147"/>
        <v>54.87176918107788</v>
      </c>
      <c r="CB151" s="20">
        <f t="shared" si="118"/>
        <v>484.80575132371001</v>
      </c>
      <c r="CC151" s="59">
        <f t="shared" si="119"/>
        <v>778.13908465704333</v>
      </c>
      <c r="CD151" s="59">
        <f ca="1">AVERAGE(OFFSET($CC$3,0,0,'Données projet'!$E$12+1,1))-AVERAGE(OFFSET($H$3,0,0,'Données projet'!$E$12+1,1))</f>
        <v>211.44496956344943</v>
      </c>
      <c r="CE151" s="59">
        <f t="shared" si="148"/>
        <v>98.543169293276662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38.573975739531171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38.573975739531171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6">
        <f t="shared" si="110"/>
        <v>547.63311013951943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3.2810021366458389E-14</v>
      </c>
      <c r="P152" s="13">
        <f t="shared" si="141"/>
        <v>5.6117125884464641E-13</v>
      </c>
      <c r="Q152" s="20">
        <f t="shared" si="108"/>
        <v>1.0345173963676741E-12</v>
      </c>
      <c r="R152" s="59">
        <f t="shared" si="109"/>
        <v>293.33333333333434</v>
      </c>
      <c r="S152" s="59">
        <f ca="1">AVERAGE(OFFSET($R$3,0,0,'Données projet'!$E$9+1,1))-AVERAGE(OFFSET($H$3,0,0,'Données projet'!$E$9+1,1))</f>
        <v>162.0530649500439</v>
      </c>
      <c r="T152" s="59">
        <f t="shared" si="142"/>
        <v>450.88267959505049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9.8887777934877228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4.4438061199982479E-18</v>
      </c>
      <c r="AC152" s="22">
        <f t="shared" si="111"/>
        <v>9.8887777934877228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3.4</v>
      </c>
      <c r="AI152" s="13">
        <f>IF('Données projet'!$A$62&gt;35,AI151+AH152-AQ151,IF(A152&lt;'Données projet'!$A$62,$AF$205^A152,IF(A152='Données projet'!$A$62,'Données projet'!$B$62,AI151+AH152-AQ151)))</f>
        <v>329.5999999999998</v>
      </c>
      <c r="AJ152" s="13">
        <f>AI152*VLOOKUP('Données projet'!$B$10,Paramètres!$A$1:$I$89,3,0)*VLOOKUP('Données projet'!$B$10,Paramètres!$A$1:$I$89,5,0)</f>
        <v>277.65503999999987</v>
      </c>
      <c r="AK152" s="13">
        <f t="shared" si="143"/>
        <v>66.47120912437552</v>
      </c>
      <c r="AL152" s="20">
        <f t="shared" si="112"/>
        <v>599.35321722495371</v>
      </c>
      <c r="AM152" s="59">
        <f t="shared" si="113"/>
        <v>892.68655055828708</v>
      </c>
      <c r="AN152" s="59">
        <f ca="1">AVERAGE(OFFSET($AM$3,0,0,'Données projet'!$E$10+1,1))-AVERAGE(OFFSET($H$3,0,0,'Données projet'!$E$10+1,1))</f>
        <v>328.34986205643321</v>
      </c>
      <c r="AO152" s="59">
        <f t="shared" si="144"/>
        <v>251.60894449147008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66.803822513728846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66.803822513728846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1.3</v>
      </c>
      <c r="BD152" s="12">
        <f>IF('Données projet'!$A$88&gt;35,BD151+BC152-BL151,IF(A152&lt;'Données projet'!$A$88,$BA$205^A152,IF(A152='Données projet'!$A$88,'Données projet'!$B$88,BD151+BC152-BL151)))</f>
        <v>221.69999999999962</v>
      </c>
      <c r="BE152" s="13">
        <f>BD152*VLOOKUP('Données projet'!$B$11,Paramètres!$A$1:$I$89,3,0)*VLOOKUP('Données projet'!$B$11,Paramètres!$A$1:$I$89,5,0)</f>
        <v>252.47195999999957</v>
      </c>
      <c r="BF152" s="13">
        <f t="shared" si="145"/>
        <v>61.114970380283857</v>
      </c>
      <c r="BG152" s="20">
        <f t="shared" si="115"/>
        <v>546.16390374566026</v>
      </c>
      <c r="BH152" s="59">
        <f t="shared" si="116"/>
        <v>839.49723707899352</v>
      </c>
      <c r="BI152" s="59">
        <f ca="1">AVERAGE(OFFSET($BH$3,0,0,'Données projet'!$E$11+1,1))-AVERAGE(OFFSET($H$3,0,0,'Données projet'!$E$11+1,1))</f>
        <v>250.68173853329841</v>
      </c>
      <c r="BJ152" s="59">
        <f t="shared" si="146"/>
        <v>113.25940301904359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42.472032969613998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42.472032969613998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1.3</v>
      </c>
      <c r="BY152" s="12">
        <f>IF('Données projet'!$A$114&gt;35,BY151+BX152-CG151,IF(A152&lt;'Données projet'!$A$114,$BV$205^A152,IF(A152='Données projet'!$A$114,'Données projet'!$B$114,BY151+BX152-CG151)))</f>
        <v>221.69999999999962</v>
      </c>
      <c r="BZ152" s="13">
        <f>BY152*VLOOKUP('Données projet'!$B$12,Paramètres!$A$1:$I$89,3,0)*VLOOKUP('Données projet'!$B$12,Paramètres!$A$1:$I$89,5,0)</f>
        <v>224.80379999999963</v>
      </c>
      <c r="CA152" s="13">
        <f t="shared" si="147"/>
        <v>55.157651730458284</v>
      </c>
      <c r="CB152" s="20">
        <f t="shared" si="118"/>
        <v>487.59952843054754</v>
      </c>
      <c r="CC152" s="59">
        <f t="shared" si="119"/>
        <v>780.93286176388085</v>
      </c>
      <c r="CD152" s="59">
        <f ca="1">AVERAGE(OFFSET($CC$3,0,0,'Données projet'!$E$12+1,1))-AVERAGE(OFFSET($H$3,0,0,'Données projet'!$E$12+1,1))</f>
        <v>211.44496956344943</v>
      </c>
      <c r="CE152" s="59">
        <f t="shared" si="148"/>
        <v>98.543169293276662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37.817563603080991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37.817563603080991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6">
        <f t="shared" si="110"/>
        <v>549.53872812441477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3.2810021366458389E-14</v>
      </c>
      <c r="P153" s="13">
        <f t="shared" si="141"/>
        <v>5.6117125884464641E-13</v>
      </c>
      <c r="Q153" s="20">
        <f t="shared" si="108"/>
        <v>1.0345173963676741E-12</v>
      </c>
      <c r="R153" s="59">
        <f t="shared" si="109"/>
        <v>293.33333333333434</v>
      </c>
      <c r="S153" s="59">
        <f ca="1">AVERAGE(OFFSET($R$3,0,0,'Données projet'!$E$9+1,1))-AVERAGE(OFFSET($H$3,0,0,'Données projet'!$E$9+1,1))</f>
        <v>162.0530649500439</v>
      </c>
      <c r="T153" s="59">
        <f t="shared" si="142"/>
        <v>450.88267959505049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9.6948648925163159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3.1422454417290419E-18</v>
      </c>
      <c r="AC153" s="22">
        <f t="shared" si="111"/>
        <v>9.6948648925163159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333</v>
      </c>
      <c r="AG153" s="12">
        <f>VLOOKUP(A153,'Données projet'!$A$61:$I$81,9,0)</f>
        <v>3.4</v>
      </c>
      <c r="AH153" s="12">
        <f t="array" ref="AH153">INDEX(AG:AG,MIN(IF(ISNUMBER(AG153:AG349),ROW(AG153:AG349),"")))</f>
        <v>3.4</v>
      </c>
      <c r="AI153" s="13">
        <f>IF('Données projet'!$A$62&gt;35,AI152+AH153-AQ152,IF(A153&lt;'Données projet'!$A$62,$AF$205^A153,IF(A153='Données projet'!$A$62,'Données projet'!$B$62,AI152+AH153-AQ152)))</f>
        <v>332.99999999999977</v>
      </c>
      <c r="AJ153" s="13">
        <f>AI153*VLOOKUP('Données projet'!$B$10,Paramètres!$A$1:$I$89,3,0)*VLOOKUP('Données projet'!$B$10,Paramètres!$A$1:$I$89,5,0)</f>
        <v>280.51919999999984</v>
      </c>
      <c r="AK153" s="13">
        <f t="shared" si="143"/>
        <v>67.076718933381159</v>
      </c>
      <c r="AL153" s="20">
        <f t="shared" si="112"/>
        <v>605.39622547563852</v>
      </c>
      <c r="AM153" s="59">
        <f t="shared" si="113"/>
        <v>898.72955880897189</v>
      </c>
      <c r="AN153" s="59">
        <f ca="1">AVERAGE(OFFSET($AM$3,0,0,'Données projet'!$E$10+1,1))-AVERAGE(OFFSET($H$3,0,0,'Données projet'!$E$10+1,1))</f>
        <v>328.34986205643321</v>
      </c>
      <c r="AO153" s="59">
        <f t="shared" si="144"/>
        <v>251.60894449147008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333</v>
      </c>
      <c r="AR153" s="16">
        <f>IF(ISNA(VLOOKUP(A153,'Données projet'!$A$61:$I$81,5,0)),0%,VLOOKUP(A153,'Données projet'!$A$61:$I$81,5,0)*VLOOKUP('Données projet'!$B$10,Paramètres!$A$1:$I$89,7,0))</f>
        <v>0.36549999999999999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178.83746140274019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178.83746140274019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223</v>
      </c>
      <c r="BB153" s="12">
        <f>VLOOKUP(A153,'Données projet'!$A$87:$I$107,9,0)</f>
        <v>1.3</v>
      </c>
      <c r="BC153" s="12">
        <f t="array" ref="BC153">INDEX(BB:BB,MIN(IF(ISNUMBER(BB153:BB349),ROW(BB153:BB349),"")))</f>
        <v>1.3</v>
      </c>
      <c r="BD153" s="12">
        <f>IF('Données projet'!$A$88&gt;35,BD152+BC153-BL152,IF(A153&lt;'Données projet'!$A$88,$BA$205^A153,IF(A153='Données projet'!$A$88,'Données projet'!$B$88,BD152+BC153-BL152)))</f>
        <v>222.99999999999963</v>
      </c>
      <c r="BE153" s="13">
        <f>BD153*VLOOKUP('Données projet'!$B$11,Paramètres!$A$1:$I$89,3,0)*VLOOKUP('Données projet'!$B$11,Paramètres!$A$1:$I$89,5,0)</f>
        <v>253.95239999999959</v>
      </c>
      <c r="BF153" s="13">
        <f t="shared" si="145"/>
        <v>61.431513630048201</v>
      </c>
      <c r="BG153" s="20">
        <f t="shared" si="115"/>
        <v>549.29364957233327</v>
      </c>
      <c r="BH153" s="59">
        <f t="shared" si="116"/>
        <v>842.62698290566664</v>
      </c>
      <c r="BI153" s="59">
        <f ca="1">AVERAGE(OFFSET($BH$3,0,0,'Données projet'!$E$11+1,1))-AVERAGE(OFFSET($H$3,0,0,'Données projet'!$E$11+1,1))</f>
        <v>250.68173853329841</v>
      </c>
      <c r="BJ153" s="59">
        <f t="shared" si="146"/>
        <v>113.25940301904359</v>
      </c>
      <c r="BK153" s="15">
        <f>IF(ISNA(VLOOKUP(A153,'Données projet'!$A$87:$I$107,3,0)),0,VLOOKUP(A153,'Données projet'!$A$87:$I$107,3,0))</f>
        <v>13</v>
      </c>
      <c r="BL153" s="15">
        <f>IF(ISNA(VLOOKUP(A153,'Données projet'!$A$87:$I$107,4,0)),0,VLOOKUP(A153,'Données projet'!$A$87:$I$107,4,0))</f>
        <v>223</v>
      </c>
      <c r="BM153" s="16">
        <f>IF(ISNA(VLOOKUP(A153,'Données projet'!$A$87:$I$107,5,0)),0%,VLOOKUP(A153,'Données projet'!$A$87:$I$107,5,0)*VLOOKUP('Données projet'!$B$11,Paramètres!$A$1:$I$89,7,0))</f>
        <v>0.36549999999999999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144.24850318059347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144.24850318059347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223</v>
      </c>
      <c r="BW153" s="12">
        <f>VLOOKUP(A153,'Données projet'!$A$113:$I$133,9,0)</f>
        <v>1.3</v>
      </c>
      <c r="BX153" s="12">
        <f t="array" ref="BX153">INDEX(BW:BW,MIN(IF(ISNUMBER(BW153:BW349),ROW(BW153:BW349),"")))</f>
        <v>1.3</v>
      </c>
      <c r="BY153" s="12">
        <f>IF('Données projet'!$A$114&gt;35,BY152+BX153-CG152,IF(A153&lt;'Données projet'!$A$114,$BV$205^A153,IF(A153='Données projet'!$A$114,'Données projet'!$B$114,BY152+BX153-CG152)))</f>
        <v>222.99999999999963</v>
      </c>
      <c r="BZ153" s="13">
        <f>BY153*VLOOKUP('Données projet'!$B$12,Paramètres!$A$1:$I$89,3,0)*VLOOKUP('Données projet'!$B$12,Paramètres!$A$1:$I$89,5,0)</f>
        <v>226.12199999999964</v>
      </c>
      <c r="CA153" s="13">
        <f t="shared" si="147"/>
        <v>55.443339217819947</v>
      </c>
      <c r="CB153" s="20">
        <f t="shared" si="118"/>
        <v>490.39296580436917</v>
      </c>
      <c r="CC153" s="59">
        <f t="shared" si="119"/>
        <v>783.72629913770243</v>
      </c>
      <c r="CD153" s="59">
        <f ca="1">AVERAGE(OFFSET($CC$3,0,0,'Données projet'!$E$12+1,1))-AVERAGE(OFFSET($H$3,0,0,'Données projet'!$E$12+1,1))</f>
        <v>211.44496956344943</v>
      </c>
      <c r="CE153" s="59">
        <f t="shared" si="148"/>
        <v>98.543169293276662</v>
      </c>
      <c r="CF153" s="15">
        <f>IF(ISNA(VLOOKUP(A153,'Données projet'!$A$113:$I$133,3,0)),0,VLOOKUP(A153,'Données projet'!$A$113:$I$133,3,0))</f>
        <v>13</v>
      </c>
      <c r="CG153" s="15">
        <f>IF(ISNA(VLOOKUP(A153,'Données projet'!$A$113:$I$133,4,0)),0,VLOOKUP(A153,'Données projet'!$A$113:$I$133,4,0))</f>
        <v>223</v>
      </c>
      <c r="CH153" s="16">
        <f>IF(ISNA(VLOOKUP(A153,'Données projet'!$A$113:$I$133,5,0)),0%,VLOOKUP(A153,'Données projet'!$A$113:$I$133,5,0)*VLOOKUP('Données projet'!$B$12,Paramètres!$A$1:$I$89,7,0))</f>
        <v>0.36549999999999999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128.44044803751478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128.44044803751478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6">
        <f t="shared" si="110"/>
        <v>551.4440692384635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3.2810021366458389E-14</v>
      </c>
      <c r="P154" s="13">
        <f t="shared" si="141"/>
        <v>5.6117125884464641E-13</v>
      </c>
      <c r="Q154" s="20">
        <f t="shared" ref="Q154:Q203" si="162">(O154+P154)*0.475*44/12</f>
        <v>1.0345173963676741E-12</v>
      </c>
      <c r="R154" s="59">
        <f t="shared" si="109"/>
        <v>293.33333333333434</v>
      </c>
      <c r="S154" s="59">
        <f ca="1">AVERAGE(OFFSET($R$3,0,0,'Données projet'!$E$9+1,1))-AVERAGE(OFFSET($H$3,0,0,'Données projet'!$E$9+1,1))</f>
        <v>162.0530649500439</v>
      </c>
      <c r="T154" s="59">
        <f t="shared" si="142"/>
        <v>450.88267959505049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9.5047545052577664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2.221903059999124E-18</v>
      </c>
      <c r="AC154" s="22">
        <f t="shared" ref="AC154:AC203" si="163">SUM(Z154:AB154)</f>
        <v>9.5047545052577664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-1.915395841933787E-13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328.34986205643321</v>
      </c>
      <c r="AO154" s="59">
        <f t="shared" si="144"/>
        <v>251.60894449147008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175.33056786471315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175.33056786471315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-3.694822225952521E-13</v>
      </c>
      <c r="BE154" s="13">
        <f>BD154*VLOOKUP('Données projet'!$B$11,Paramètres!$A$1:$I$89,3,0)*VLOOKUP('Données projet'!$B$11,Paramètres!$A$1:$I$89,5,0)</f>
        <v>-4.2076635509147312E-13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250.68173853329841</v>
      </c>
      <c r="BJ154" s="59">
        <f t="shared" si="146"/>
        <v>113.25940301904359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141.41987801612137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141.41987801612137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-3.694822225952521E-13</v>
      </c>
      <c r="BZ154" s="13">
        <f>BY154*VLOOKUP('Données projet'!$B$12,Paramètres!$A$1:$I$89,3,0)*VLOOKUP('Données projet'!$B$12,Paramètres!$A$1:$I$89,5,0)</f>
        <v>-3.7465497371158569E-13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211.44496956344943</v>
      </c>
      <c r="CE154" s="59">
        <f t="shared" si="148"/>
        <v>98.543169293276662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125.9218091924369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125.9218091924369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6">
        <f t="shared" si="110"/>
        <v>553.34913552791727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3.2810021366458389E-14</v>
      </c>
      <c r="P155" s="13">
        <f t="shared" si="141"/>
        <v>5.6117125884464641E-13</v>
      </c>
      <c r="Q155" s="20">
        <f t="shared" si="162"/>
        <v>1.0345173963676741E-12</v>
      </c>
      <c r="R155" s="59">
        <f t="shared" si="109"/>
        <v>293.33333333333434</v>
      </c>
      <c r="S155" s="59">
        <f ca="1">AVERAGE(OFFSET($R$3,0,0,'Données projet'!$E$9+1,1))-AVERAGE(OFFSET($H$3,0,0,'Données projet'!$E$9+1,1))</f>
        <v>162.0530649500439</v>
      </c>
      <c r="T155" s="59">
        <f t="shared" si="142"/>
        <v>450.88267959505049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9.3183720667374708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1.5711227208645209E-18</v>
      </c>
      <c r="AC155" s="22">
        <f t="shared" si="163"/>
        <v>9.3183720667374708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-1.915395841933787E-13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328.34986205643321</v>
      </c>
      <c r="AO155" s="59">
        <f t="shared" si="144"/>
        <v>251.60894449147008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171.89244236997297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171.89244236997297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-3.694822225952521E-13</v>
      </c>
      <c r="BE155" s="13">
        <f>BD155*VLOOKUP('Données projet'!$B$11,Paramètres!$A$1:$I$89,3,0)*VLOOKUP('Données projet'!$B$11,Paramètres!$A$1:$I$89,5,0)</f>
        <v>-4.2076635509147312E-13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250.68173853329841</v>
      </c>
      <c r="BJ155" s="59">
        <f t="shared" si="146"/>
        <v>113.25940301904359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138.6467204658336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138.6467204658336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-3.694822225952521E-13</v>
      </c>
      <c r="BZ155" s="13">
        <f>BY155*VLOOKUP('Données projet'!$B$12,Paramètres!$A$1:$I$89,3,0)*VLOOKUP('Données projet'!$B$12,Paramètres!$A$1:$I$89,5,0)</f>
        <v>-3.7465497371158569E-13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211.44496956344943</v>
      </c>
      <c r="CE155" s="59">
        <f t="shared" si="148"/>
        <v>98.543169293276662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123.45255931889298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123.45255931889298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6">
        <f t="shared" si="110"/>
        <v>555.25392901054693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3.2810021366458389E-14</v>
      </c>
      <c r="P156" s="13">
        <f t="shared" si="141"/>
        <v>5.6117125884464641E-13</v>
      </c>
      <c r="Q156" s="20">
        <f t="shared" si="162"/>
        <v>1.0345173963676741E-12</v>
      </c>
      <c r="R156" s="59">
        <f t="shared" si="109"/>
        <v>293.33333333333434</v>
      </c>
      <c r="S156" s="59">
        <f ca="1">AVERAGE(OFFSET($R$3,0,0,'Données projet'!$E$9+1,1))-AVERAGE(OFFSET($H$3,0,0,'Données projet'!$E$9+1,1))</f>
        <v>162.0530649500439</v>
      </c>
      <c r="T156" s="59">
        <f t="shared" si="142"/>
        <v>450.88267959505049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9.1356444741544962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1.110951529999562E-18</v>
      </c>
      <c r="AC156" s="22">
        <f t="shared" si="163"/>
        <v>9.1356444741544962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-1.915395841933787E-13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328.34986205643321</v>
      </c>
      <c r="AO156" s="59">
        <f t="shared" si="144"/>
        <v>251.60894449147008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168.52173641913515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168.52173641913515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-3.694822225952521E-13</v>
      </c>
      <c r="BE156" s="13">
        <f>BD156*VLOOKUP('Données projet'!$B$11,Paramètres!$A$1:$I$89,3,0)*VLOOKUP('Données projet'!$B$11,Paramètres!$A$1:$I$89,5,0)</f>
        <v>-4.2076635509147312E-13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250.68173853329841</v>
      </c>
      <c r="BJ156" s="59">
        <f t="shared" si="146"/>
        <v>113.25940301904359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135.92794284364786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135.92794284364786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-3.694822225952521E-13</v>
      </c>
      <c r="BZ156" s="13">
        <f>BY156*VLOOKUP('Données projet'!$B$12,Paramètres!$A$1:$I$89,3,0)*VLOOKUP('Données projet'!$B$12,Paramètres!$A$1:$I$89,5,0)</f>
        <v>-3.7465497371158569E-13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211.44496956344943</v>
      </c>
      <c r="CE156" s="59">
        <f t="shared" si="148"/>
        <v>98.543169293276662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121.03172992927556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121.03172992927556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6">
        <f t="shared" si="110"/>
        <v>557.1584516762224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3.2810021366458389E-14</v>
      </c>
      <c r="P157" s="13">
        <f t="shared" si="141"/>
        <v>5.6117125884464641E-13</v>
      </c>
      <c r="Q157" s="20">
        <f t="shared" si="162"/>
        <v>1.0345173963676741E-12</v>
      </c>
      <c r="R157" s="59">
        <f t="shared" si="109"/>
        <v>293.33333333333434</v>
      </c>
      <c r="S157" s="59">
        <f ca="1">AVERAGE(OFFSET($R$3,0,0,'Données projet'!$E$9+1,1))-AVERAGE(OFFSET($H$3,0,0,'Données projet'!$E$9+1,1))</f>
        <v>162.0530649500439</v>
      </c>
      <c r="T157" s="59">
        <f t="shared" si="142"/>
        <v>450.88267959505049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8.9565000582092473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7.8556136043226047E-19</v>
      </c>
      <c r="AC157" s="22">
        <f t="shared" si="163"/>
        <v>8.9565000582092473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-1.915395841933787E-13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328.34986205643321</v>
      </c>
      <c r="AO157" s="59">
        <f t="shared" si="144"/>
        <v>251.60894449147008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165.21712795606564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165.21712795606564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-3.694822225952521E-13</v>
      </c>
      <c r="BE157" s="13">
        <f>BD157*VLOOKUP('Données projet'!$B$11,Paramètres!$A$1:$I$89,3,0)*VLOOKUP('Données projet'!$B$11,Paramètres!$A$1:$I$89,5,0)</f>
        <v>-4.2076635509147312E-13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250.68173853329841</v>
      </c>
      <c r="BJ157" s="59">
        <f t="shared" si="146"/>
        <v>113.25940301904359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133.26247879234259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133.26247879234259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-3.694822225952521E-13</v>
      </c>
      <c r="BZ157" s="13">
        <f>BY157*VLOOKUP('Données projet'!$B$12,Paramètres!$A$1:$I$89,3,0)*VLOOKUP('Données projet'!$B$12,Paramètres!$A$1:$I$89,5,0)</f>
        <v>-3.7465497371158569E-13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211.44496956344943</v>
      </c>
      <c r="CE157" s="59">
        <f t="shared" si="148"/>
        <v>98.543169293276662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118.6583715274284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118.6583715274284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6">
        <f t="shared" si="110"/>
        <v>559.06270548747648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3.2810021366458389E-14</v>
      </c>
      <c r="P158" s="13">
        <f t="shared" si="141"/>
        <v>5.6117125884464641E-13</v>
      </c>
      <c r="Q158" s="20">
        <f t="shared" si="162"/>
        <v>1.0345173963676741E-12</v>
      </c>
      <c r="R158" s="59">
        <f t="shared" si="109"/>
        <v>293.33333333333434</v>
      </c>
      <c r="S158" s="59">
        <f ca="1">AVERAGE(OFFSET($R$3,0,0,'Données projet'!$E$9+1,1))-AVERAGE(OFFSET($H$3,0,0,'Données projet'!$E$9+1,1))</f>
        <v>162.0530649500439</v>
      </c>
      <c r="T158" s="59">
        <f t="shared" si="142"/>
        <v>450.88267959505049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8.7808685549933809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5.5547576499978099E-19</v>
      </c>
      <c r="AC158" s="22">
        <f t="shared" si="163"/>
        <v>8.7808685549933809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-1.915395841933787E-13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328.34986205643321</v>
      </c>
      <c r="AO158" s="59">
        <f t="shared" si="144"/>
        <v>251.60894449147008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161.97732084934478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161.97732084934478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-3.694822225952521E-13</v>
      </c>
      <c r="BE158" s="13">
        <f>BD158*VLOOKUP('Données projet'!$B$11,Paramètres!$A$1:$I$89,3,0)*VLOOKUP('Données projet'!$B$11,Paramètres!$A$1:$I$89,5,0)</f>
        <v>-4.2076635509147312E-13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250.68173853329841</v>
      </c>
      <c r="BJ158" s="59">
        <f t="shared" si="146"/>
        <v>113.25940301904359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130.64928286531088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130.64928286531088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-3.694822225952521E-13</v>
      </c>
      <c r="BZ158" s="13">
        <f>BY158*VLOOKUP('Données projet'!$B$12,Paramètres!$A$1:$I$89,3,0)*VLOOKUP('Données projet'!$B$12,Paramètres!$A$1:$I$89,5,0)</f>
        <v>-3.7465497371158569E-13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211.44496956344943</v>
      </c>
      <c r="CE158" s="59">
        <f t="shared" si="148"/>
        <v>98.543169293276662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116.33155323623578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116.33155323623578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6">
        <f t="shared" si="110"/>
        <v>560.96669238005484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3.2810021366458389E-14</v>
      </c>
      <c r="P159" s="13">
        <f t="shared" si="141"/>
        <v>5.6117125884464641E-13</v>
      </c>
      <c r="Q159" s="20">
        <f t="shared" si="162"/>
        <v>1.0345173963676741E-12</v>
      </c>
      <c r="R159" s="59">
        <f t="shared" si="109"/>
        <v>293.33333333333434</v>
      </c>
      <c r="S159" s="59">
        <f ca="1">AVERAGE(OFFSET($R$3,0,0,'Données projet'!$E$9+1,1))-AVERAGE(OFFSET($H$3,0,0,'Données projet'!$E$9+1,1))</f>
        <v>162.0530649500439</v>
      </c>
      <c r="T159" s="59">
        <f t="shared" si="142"/>
        <v>450.88267959505049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8.6086810784309371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3.9278068021613024E-19</v>
      </c>
      <c r="AC159" s="22">
        <f t="shared" si="163"/>
        <v>8.6086810784309371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-1.915395841933787E-13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328.34986205643321</v>
      </c>
      <c r="AO159" s="59">
        <f t="shared" si="144"/>
        <v>251.60894449147008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158.80104438389952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158.80104438389952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-3.694822225952521E-13</v>
      </c>
      <c r="BE159" s="13">
        <f>BD159*VLOOKUP('Données projet'!$B$11,Paramètres!$A$1:$I$89,3,0)*VLOOKUP('Données projet'!$B$11,Paramètres!$A$1:$I$89,5,0)</f>
        <v>-4.2076635509147312E-13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250.68173853329841</v>
      </c>
      <c r="BJ159" s="59">
        <f t="shared" si="146"/>
        <v>113.25940301904359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128.08733011651611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128.08733011651611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-3.694822225952521E-13</v>
      </c>
      <c r="BZ159" s="13">
        <f>BY159*VLOOKUP('Données projet'!$B$12,Paramètres!$A$1:$I$89,3,0)*VLOOKUP('Données projet'!$B$12,Paramètres!$A$1:$I$89,5,0)</f>
        <v>-3.7465497371158569E-13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211.44496956344943</v>
      </c>
      <c r="CE159" s="59">
        <f t="shared" si="148"/>
        <v>98.543169293276662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114.05036243251442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114.05036243251442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6">
        <f t="shared" si="110"/>
        <v>562.8704142634507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3.2810021366458389E-14</v>
      </c>
      <c r="P160" s="13">
        <f t="shared" si="141"/>
        <v>5.6117125884464641E-13</v>
      </c>
      <c r="Q160" s="20">
        <f t="shared" si="162"/>
        <v>1.0345173963676741E-12</v>
      </c>
      <c r="R160" s="59">
        <f t="shared" si="109"/>
        <v>293.33333333333434</v>
      </c>
      <c r="S160" s="59">
        <f ca="1">AVERAGE(OFFSET($R$3,0,0,'Données projet'!$E$9+1,1))-AVERAGE(OFFSET($H$3,0,0,'Données projet'!$E$9+1,1))</f>
        <v>162.0530649500439</v>
      </c>
      <c r="T160" s="59">
        <f t="shared" si="142"/>
        <v>450.88267959505049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8.4398700932598931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2.777378824998905E-19</v>
      </c>
      <c r="AC160" s="22">
        <f t="shared" si="163"/>
        <v>8.4398700932598931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-1.915395841933787E-13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328.34986205643321</v>
      </c>
      <c r="AO160" s="59">
        <f t="shared" si="144"/>
        <v>251.60894449147008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155.68705276260428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155.68705276260428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-3.694822225952521E-13</v>
      </c>
      <c r="BE160" s="13">
        <f>BD160*VLOOKUP('Données projet'!$B$11,Paramètres!$A$1:$I$89,3,0)*VLOOKUP('Données projet'!$B$11,Paramètres!$A$1:$I$89,5,0)</f>
        <v>-4.2076635509147312E-13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250.68173853329841</v>
      </c>
      <c r="BJ160" s="59">
        <f t="shared" si="146"/>
        <v>113.25940301904359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125.57561569848835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125.57561569848835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-3.694822225952521E-13</v>
      </c>
      <c r="BZ160" s="13">
        <f>BY160*VLOOKUP('Données projet'!$B$12,Paramètres!$A$1:$I$89,3,0)*VLOOKUP('Données projet'!$B$12,Paramètres!$A$1:$I$89,5,0)</f>
        <v>-3.7465497371158569E-13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211.44496956344943</v>
      </c>
      <c r="CE160" s="59">
        <f t="shared" si="148"/>
        <v>98.543169293276662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111.81390438906503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111.81390438906503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6">
        <f t="shared" si="110"/>
        <v>564.77387302142597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3.2810021366458389E-14</v>
      </c>
      <c r="P161" s="13">
        <f t="shared" si="141"/>
        <v>5.6117125884464641E-13</v>
      </c>
      <c r="Q161" s="20">
        <f t="shared" si="162"/>
        <v>1.0345173963676741E-12</v>
      </c>
      <c r="R161" s="59">
        <f t="shared" si="109"/>
        <v>293.33333333333434</v>
      </c>
      <c r="S161" s="59">
        <f ca="1">AVERAGE(OFFSET($R$3,0,0,'Données projet'!$E$9+1,1))-AVERAGE(OFFSET($H$3,0,0,'Données projet'!$E$9+1,1))</f>
        <v>162.0530649500439</v>
      </c>
      <c r="T161" s="59">
        <f t="shared" si="142"/>
        <v>450.88267959505049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8.2743693885435192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1.9639034010806512E-19</v>
      </c>
      <c r="AC161" s="22">
        <f t="shared" si="163"/>
        <v>8.2743693885435192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-1.915395841933787E-13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328.34986205643321</v>
      </c>
      <c r="AO161" s="59">
        <f t="shared" si="144"/>
        <v>251.60894449147008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152.63412461765529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152.63412461765529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-3.694822225952521E-13</v>
      </c>
      <c r="BE161" s="13">
        <f>BD161*VLOOKUP('Données projet'!$B$11,Paramètres!$A$1:$I$89,3,0)*VLOOKUP('Données projet'!$B$11,Paramètres!$A$1:$I$89,5,0)</f>
        <v>-4.2076635509147312E-13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250.68173853329841</v>
      </c>
      <c r="BJ161" s="59">
        <f t="shared" si="146"/>
        <v>113.25940301904359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123.11315446820359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123.11315446820359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-3.694822225952521E-13</v>
      </c>
      <c r="BZ161" s="13">
        <f>BY161*VLOOKUP('Données projet'!$B$12,Paramètres!$A$1:$I$89,3,0)*VLOOKUP('Données projet'!$B$12,Paramètres!$A$1:$I$89,5,0)</f>
        <v>-3.7465497371158569E-13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211.44496956344943</v>
      </c>
      <c r="CE161" s="59">
        <f t="shared" si="148"/>
        <v>98.543169293276662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109.62130192374298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109.62130192374298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6">
        <f t="shared" si="110"/>
        <v>566.67707051251875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3.2810021366458389E-14</v>
      </c>
      <c r="P162" s="13">
        <f t="shared" si="141"/>
        <v>5.6117125884464641E-13</v>
      </c>
      <c r="Q162" s="20">
        <f t="shared" si="162"/>
        <v>1.0345173963676741E-12</v>
      </c>
      <c r="R162" s="59">
        <f t="shared" si="109"/>
        <v>293.33333333333434</v>
      </c>
      <c r="S162" s="59">
        <f ca="1">AVERAGE(OFFSET($R$3,0,0,'Données projet'!$E$9+1,1))-AVERAGE(OFFSET($H$3,0,0,'Données projet'!$E$9+1,1))</f>
        <v>162.0530649500439</v>
      </c>
      <c r="T162" s="59">
        <f t="shared" si="142"/>
        <v>450.88267959505049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8.1121140517011714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1.3886894124994525E-19</v>
      </c>
      <c r="AC162" s="22">
        <f t="shared" si="163"/>
        <v>8.1121140517011714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-1.915395841933787E-13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328.34986205643321</v>
      </c>
      <c r="AO162" s="59">
        <f t="shared" si="144"/>
        <v>251.60894449147008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149.64106253152647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149.64106253152647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-3.694822225952521E-13</v>
      </c>
      <c r="BE162" s="13">
        <f>BD162*VLOOKUP('Données projet'!$B$11,Paramètres!$A$1:$I$89,3,0)*VLOOKUP('Données projet'!$B$11,Paramètres!$A$1:$I$89,5,0)</f>
        <v>-4.2076635509147312E-13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250.68173853329841</v>
      </c>
      <c r="BJ162" s="59">
        <f t="shared" si="146"/>
        <v>113.25940301904359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120.69898060069166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120.69898060069166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-3.694822225952521E-13</v>
      </c>
      <c r="BZ162" s="13">
        <f>BY162*VLOOKUP('Données projet'!$B$12,Paramètres!$A$1:$I$89,3,0)*VLOOKUP('Données projet'!$B$12,Paramètres!$A$1:$I$89,5,0)</f>
        <v>-3.7465497371158569E-13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211.44496956344943</v>
      </c>
      <c r="CE162" s="59">
        <f t="shared" si="148"/>
        <v>98.543169293276662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107.47169505541044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107.47169505541044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6">
        <f t="shared" si="110"/>
        <v>568.58000857053662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3.2810021366458389E-14</v>
      </c>
      <c r="P163" s="13">
        <f t="shared" si="141"/>
        <v>5.6117125884464641E-13</v>
      </c>
      <c r="Q163" s="20">
        <f t="shared" si="162"/>
        <v>1.0345173963676741E-12</v>
      </c>
      <c r="R163" s="59">
        <f t="shared" si="109"/>
        <v>293.33333333333434</v>
      </c>
      <c r="S163" s="59">
        <f ca="1">AVERAGE(OFFSET($R$3,0,0,'Données projet'!$E$9+1,1))-AVERAGE(OFFSET($H$3,0,0,'Données projet'!$E$9+1,1))</f>
        <v>162.0530649500439</v>
      </c>
      <c r="T163" s="59">
        <f t="shared" si="142"/>
        <v>450.88267959505049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7.9530404430483186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9.8195170054032559E-20</v>
      </c>
      <c r="AC163" s="22">
        <f t="shared" si="163"/>
        <v>7.9530404430483186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-1.915395841933787E-13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328.34986205643321</v>
      </c>
      <c r="AO163" s="59">
        <f t="shared" si="144"/>
        <v>251.60894449147008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146.70669256731901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146.70669256731901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-3.694822225952521E-13</v>
      </c>
      <c r="BE163" s="13">
        <f>BD163*VLOOKUP('Données projet'!$B$11,Paramètres!$A$1:$I$89,3,0)*VLOOKUP('Données projet'!$B$11,Paramètres!$A$1:$I$89,5,0)</f>
        <v>-4.2076635509147312E-13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250.68173853329841</v>
      </c>
      <c r="BJ163" s="59">
        <f t="shared" si="146"/>
        <v>113.25940301904359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118.33214721022098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118.33214721022098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-3.694822225952521E-13</v>
      </c>
      <c r="BZ163" s="13">
        <f>BY163*VLOOKUP('Données projet'!$B$12,Paramètres!$A$1:$I$89,3,0)*VLOOKUP('Données projet'!$B$12,Paramètres!$A$1:$I$89,5,0)</f>
        <v>-3.7465497371158569E-13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211.44496956344943</v>
      </c>
      <c r="CE163" s="59">
        <f t="shared" si="148"/>
        <v>98.543169293276662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105.36424066663517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105.36424066663517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6">
        <f t="shared" si="110"/>
        <v>570.48268900503945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3.2810021366458389E-14</v>
      </c>
      <c r="P164" s="13">
        <f t="shared" si="141"/>
        <v>5.6117125884464641E-13</v>
      </c>
      <c r="Q164" s="20">
        <f t="shared" si="162"/>
        <v>1.0345173963676741E-12</v>
      </c>
      <c r="R164" s="59">
        <f t="shared" si="109"/>
        <v>293.33333333333434</v>
      </c>
      <c r="S164" s="59">
        <f ca="1">AVERAGE(OFFSET($R$3,0,0,'Données projet'!$E$9+1,1))-AVERAGE(OFFSET($H$3,0,0,'Données projet'!$E$9+1,1))</f>
        <v>162.0530649500439</v>
      </c>
      <c r="T164" s="59">
        <f t="shared" si="142"/>
        <v>450.88267959505049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7.7970861708358274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6.9434470624972624E-20</v>
      </c>
      <c r="AC164" s="22">
        <f t="shared" si="163"/>
        <v>7.7970861708358274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-1.915395841933787E-13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328.34986205643321</v>
      </c>
      <c r="AO164" s="59">
        <f t="shared" si="144"/>
        <v>251.60894449147008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143.82986380832071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143.82986380832071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-3.694822225952521E-13</v>
      </c>
      <c r="BE164" s="13">
        <f>BD164*VLOOKUP('Données projet'!$B$11,Paramètres!$A$1:$I$89,3,0)*VLOOKUP('Données projet'!$B$11,Paramètres!$A$1:$I$89,5,0)</f>
        <v>-4.2076635509147312E-13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250.68173853329841</v>
      </c>
      <c r="BJ164" s="59">
        <f t="shared" si="146"/>
        <v>113.25940301904359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116.01172597891161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116.01172597891161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-3.694822225952521E-13</v>
      </c>
      <c r="BZ164" s="13">
        <f>BY164*VLOOKUP('Données projet'!$B$12,Paramètres!$A$1:$I$89,3,0)*VLOOKUP('Données projet'!$B$12,Paramètres!$A$1:$I$89,5,0)</f>
        <v>-3.7465497371158569E-13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211.44496956344943</v>
      </c>
      <c r="CE164" s="59">
        <f t="shared" si="148"/>
        <v>98.543169293276662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103.29811217300353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103.29811217300353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6">
        <f t="shared" si="110"/>
        <v>572.38511360180746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3.2810021366458389E-14</v>
      </c>
      <c r="P165" s="13">
        <f t="shared" si="141"/>
        <v>5.6117125884464641E-13</v>
      </c>
      <c r="Q165" s="20">
        <f t="shared" si="162"/>
        <v>1.0345173963676741E-12</v>
      </c>
      <c r="R165" s="59">
        <f t="shared" si="109"/>
        <v>293.33333333333434</v>
      </c>
      <c r="S165" s="59">
        <f ca="1">AVERAGE(OFFSET($R$3,0,0,'Données projet'!$E$9+1,1))-AVERAGE(OFFSET($H$3,0,0,'Données projet'!$E$9+1,1))</f>
        <v>162.0530649500439</v>
      </c>
      <c r="T165" s="59">
        <f t="shared" si="142"/>
        <v>450.88267959505049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7.6441900667787097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4.909758502701628E-20</v>
      </c>
      <c r="AC165" s="22">
        <f t="shared" si="163"/>
        <v>7.6441900667787097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-1.915395841933787E-13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328.34986205643321</v>
      </c>
      <c r="AO165" s="59">
        <f t="shared" si="144"/>
        <v>251.60894449147008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141.00944790659409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141.00944790659409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-3.694822225952521E-13</v>
      </c>
      <c r="BE165" s="13">
        <f>BD165*VLOOKUP('Données projet'!$B$11,Paramètres!$A$1:$I$89,3,0)*VLOOKUP('Données projet'!$B$11,Paramètres!$A$1:$I$89,5,0)</f>
        <v>-4.2076635509147312E-13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250.68173853329841</v>
      </c>
      <c r="BJ165" s="59">
        <f t="shared" si="146"/>
        <v>113.25940301904359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113.73680679263101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113.73680679263101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-3.694822225952521E-13</v>
      </c>
      <c r="BZ165" s="13">
        <f>BY165*VLOOKUP('Données projet'!$B$12,Paramètres!$A$1:$I$89,3,0)*VLOOKUP('Données projet'!$B$12,Paramètres!$A$1:$I$89,5,0)</f>
        <v>-3.7465497371158569E-13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211.44496956344943</v>
      </c>
      <c r="CE165" s="59">
        <f t="shared" si="148"/>
        <v>98.543169293276662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101.27249919891807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101.27249919891807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6">
        <f t="shared" si="110"/>
        <v>574.28728412329951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3.2810021366458389E-14</v>
      </c>
      <c r="P166" s="13">
        <f t="shared" si="141"/>
        <v>5.6117125884464641E-13</v>
      </c>
      <c r="Q166" s="20">
        <f t="shared" si="162"/>
        <v>1.0345173963676741E-12</v>
      </c>
      <c r="R166" s="59">
        <f t="shared" si="109"/>
        <v>293.33333333333434</v>
      </c>
      <c r="S166" s="59">
        <f ca="1">AVERAGE(OFFSET($R$3,0,0,'Données projet'!$E$9+1,1))-AVERAGE(OFFSET($H$3,0,0,'Données projet'!$E$9+1,1))</f>
        <v>162.0530649500439</v>
      </c>
      <c r="T166" s="59">
        <f t="shared" si="142"/>
        <v>450.88267959505049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7.4942921620647365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3.4717235312486312E-20</v>
      </c>
      <c r="AC166" s="22">
        <f t="shared" si="163"/>
        <v>7.4942921620647365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-1.915395841933787E-13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328.34986205643321</v>
      </c>
      <c r="AO166" s="59">
        <f t="shared" si="144"/>
        <v>251.60894449147008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138.24433864041649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138.24433864041649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-3.694822225952521E-13</v>
      </c>
      <c r="BE166" s="13">
        <f>BD166*VLOOKUP('Données projet'!$B$11,Paramètres!$A$1:$I$89,3,0)*VLOOKUP('Données projet'!$B$11,Paramètres!$A$1:$I$89,5,0)</f>
        <v>-4.2076635509147312E-13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250.68173853329841</v>
      </c>
      <c r="BJ166" s="59">
        <f t="shared" si="146"/>
        <v>113.25940301904359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111.50649738402969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111.50649738402969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-3.694822225952521E-13</v>
      </c>
      <c r="BZ166" s="13">
        <f>BY166*VLOOKUP('Données projet'!$B$12,Paramètres!$A$1:$I$89,3,0)*VLOOKUP('Données projet'!$B$12,Paramètres!$A$1:$I$89,5,0)</f>
        <v>-3.7465497371158569E-13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211.44496956344943</v>
      </c>
      <c r="CE166" s="59">
        <f t="shared" si="148"/>
        <v>98.543169293276662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99.2866072597525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99.2866072597525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6">
        <f t="shared" si="110"/>
        <v>576.18920230909794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3.2810021366458389E-14</v>
      </c>
      <c r="P167" s="13">
        <f t="shared" si="141"/>
        <v>5.6117125884464641E-13</v>
      </c>
      <c r="Q167" s="20">
        <f t="shared" si="162"/>
        <v>1.0345173963676741E-12</v>
      </c>
      <c r="R167" s="59">
        <f t="shared" si="109"/>
        <v>293.33333333333434</v>
      </c>
      <c r="S167" s="59">
        <f ca="1">AVERAGE(OFFSET($R$3,0,0,'Données projet'!$E$9+1,1))-AVERAGE(OFFSET($H$3,0,0,'Données projet'!$E$9+1,1))</f>
        <v>162.0530649500439</v>
      </c>
      <c r="T167" s="59">
        <f t="shared" si="142"/>
        <v>450.88267959505049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7.3473336638335107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2.454879251350814E-20</v>
      </c>
      <c r="AC167" s="22">
        <f t="shared" si="163"/>
        <v>7.3473336638335107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-1.915395841933787E-13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328.34986205643321</v>
      </c>
      <c r="AO167" s="59">
        <f t="shared" si="144"/>
        <v>251.60894449147008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135.5334514803985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135.5334514803985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-3.694822225952521E-13</v>
      </c>
      <c r="BE167" s="13">
        <f>BD167*VLOOKUP('Données projet'!$B$11,Paramètres!$A$1:$I$89,3,0)*VLOOKUP('Données projet'!$B$11,Paramètres!$A$1:$I$89,5,0)</f>
        <v>-4.2076635509147312E-13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250.68173853329841</v>
      </c>
      <c r="BJ167" s="59">
        <f t="shared" si="146"/>
        <v>113.25940301904359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109.31992298257661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109.31992298257661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-3.694822225952521E-13</v>
      </c>
      <c r="BZ167" s="13">
        <f>BY167*VLOOKUP('Données projet'!$B$12,Paramètres!$A$1:$I$89,3,0)*VLOOKUP('Données projet'!$B$12,Paramètres!$A$1:$I$89,5,0)</f>
        <v>-3.7465497371158569E-13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211.44496956344943</v>
      </c>
      <c r="CE167" s="59">
        <f t="shared" si="148"/>
        <v>98.543169293276662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97.339657450239486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97.339657450239486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6">
        <f t="shared" si="110"/>
        <v>578.09086987634385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3.2810021366458389E-14</v>
      </c>
      <c r="P168" s="13">
        <f t="shared" si="141"/>
        <v>5.6117125884464641E-13</v>
      </c>
      <c r="Q168" s="20">
        <f t="shared" si="162"/>
        <v>1.0345173963676741E-12</v>
      </c>
      <c r="R168" s="59">
        <f t="shared" si="109"/>
        <v>293.33333333333434</v>
      </c>
      <c r="S168" s="59">
        <f ca="1">AVERAGE(OFFSET($R$3,0,0,'Données projet'!$E$9+1,1))-AVERAGE(OFFSET($H$3,0,0,'Données projet'!$E$9+1,1))</f>
        <v>162.0530649500439</v>
      </c>
      <c r="T168" s="59">
        <f t="shared" si="142"/>
        <v>450.88267959505049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7.2032569321167657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1.7358617656243156E-20</v>
      </c>
      <c r="AC168" s="22">
        <f t="shared" si="163"/>
        <v>7.2032569321167657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-1.915395841933787E-13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328.34986205643321</v>
      </c>
      <c r="AO168" s="59">
        <f t="shared" si="144"/>
        <v>251.60894449147008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132.87572316411058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132.87572316411058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-3.694822225952521E-13</v>
      </c>
      <c r="BE168" s="13">
        <f>BD168*VLOOKUP('Données projet'!$B$11,Paramètres!$A$1:$I$89,3,0)*VLOOKUP('Données projet'!$B$11,Paramètres!$A$1:$I$89,5,0)</f>
        <v>-4.2076635509147312E-13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250.68173853329841</v>
      </c>
      <c r="BJ168" s="59">
        <f t="shared" si="146"/>
        <v>113.25940301904359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107.17622597145734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107.17622597145734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-3.694822225952521E-13</v>
      </c>
      <c r="BZ168" s="13">
        <f>BY168*VLOOKUP('Données projet'!$B$12,Paramètres!$A$1:$I$89,3,0)*VLOOKUP('Données projet'!$B$12,Paramètres!$A$1:$I$89,5,0)</f>
        <v>-3.7465497371158569E-13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211.44496956344943</v>
      </c>
      <c r="CE168" s="59">
        <f t="shared" si="148"/>
        <v>98.543169293276662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95.430886138968901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95.430886138968901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6">
        <f t="shared" si="110"/>
        <v>579.99228852016029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3.2810021366458389E-14</v>
      </c>
      <c r="P169" s="13">
        <f t="shared" si="141"/>
        <v>5.6117125884464641E-13</v>
      </c>
      <c r="Q169" s="20">
        <f t="shared" si="162"/>
        <v>1.0345173963676741E-12</v>
      </c>
      <c r="R169" s="59">
        <f t="shared" si="109"/>
        <v>293.33333333333434</v>
      </c>
      <c r="S169" s="59">
        <f ca="1">AVERAGE(OFFSET($R$3,0,0,'Données projet'!$E$9+1,1))-AVERAGE(OFFSET($H$3,0,0,'Données projet'!$E$9+1,1))</f>
        <v>162.0530649500439</v>
      </c>
      <c r="T169" s="59">
        <f t="shared" si="142"/>
        <v>450.88267959505049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7.0620054572308568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1.227439625675407E-20</v>
      </c>
      <c r="AC169" s="22">
        <f t="shared" si="163"/>
        <v>7.0620054572308568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-1.915395841933787E-13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328.34986205643321</v>
      </c>
      <c r="AO169" s="59">
        <f t="shared" si="144"/>
        <v>251.60894449147008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130.27011127905087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130.27011127905087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-3.694822225952521E-13</v>
      </c>
      <c r="BE169" s="13">
        <f>BD169*VLOOKUP('Données projet'!$B$11,Paramètres!$A$1:$I$89,3,0)*VLOOKUP('Données projet'!$B$11,Paramètres!$A$1:$I$89,5,0)</f>
        <v>-4.2076635509147312E-13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250.68173853329841</v>
      </c>
      <c r="BJ169" s="59">
        <f t="shared" si="146"/>
        <v>113.25940301904359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105.07456555120005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105.07456555120005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-3.694822225952521E-13</v>
      </c>
      <c r="BZ169" s="13">
        <f>BY169*VLOOKUP('Données projet'!$B$12,Paramètres!$A$1:$I$89,3,0)*VLOOKUP('Données projet'!$B$12,Paramètres!$A$1:$I$89,5,0)</f>
        <v>-3.7465497371158569E-13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211.44496956344943</v>
      </c>
      <c r="CE169" s="59">
        <f t="shared" si="148"/>
        <v>98.543169293276662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93.559544668876796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93.559544668876796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6">
        <f t="shared" si="110"/>
        <v>581.89345991406594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3.2810021366458389E-14</v>
      </c>
      <c r="P170" s="13">
        <f t="shared" si="141"/>
        <v>5.6117125884464641E-13</v>
      </c>
      <c r="Q170" s="20">
        <f t="shared" si="162"/>
        <v>1.0345173963676741E-12</v>
      </c>
      <c r="R170" s="59">
        <f t="shared" si="109"/>
        <v>293.33333333333434</v>
      </c>
      <c r="S170" s="59">
        <f ca="1">AVERAGE(OFFSET($R$3,0,0,'Données projet'!$E$9+1,1))-AVERAGE(OFFSET($H$3,0,0,'Données projet'!$E$9+1,1))</f>
        <v>162.0530649500439</v>
      </c>
      <c r="T170" s="59">
        <f t="shared" si="142"/>
        <v>450.88267959505049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6.9235238376125681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8.679308828121578E-21</v>
      </c>
      <c r="AC170" s="22">
        <f t="shared" si="163"/>
        <v>6.9235238376125681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-1.915395841933787E-13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328.34986205643321</v>
      </c>
      <c r="AO170" s="59">
        <f t="shared" si="144"/>
        <v>251.60894449147008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127.71559385379084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127.71559385379084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-3.694822225952521E-13</v>
      </c>
      <c r="BE170" s="13">
        <f>BD170*VLOOKUP('Données projet'!$B$11,Paramètres!$A$1:$I$89,3,0)*VLOOKUP('Données projet'!$B$11,Paramètres!$A$1:$I$89,5,0)</f>
        <v>-4.2076635509147312E-13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250.68173853329841</v>
      </c>
      <c r="BJ170" s="59">
        <f t="shared" si="146"/>
        <v>113.25940301904359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103.01411740989772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103.01411740989772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-3.694822225952521E-13</v>
      </c>
      <c r="BZ170" s="13">
        <f>BY170*VLOOKUP('Données projet'!$B$12,Paramètres!$A$1:$I$89,3,0)*VLOOKUP('Données projet'!$B$12,Paramètres!$A$1:$I$89,5,0)</f>
        <v>-3.7465497371158569E-13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211.44496956344943</v>
      </c>
      <c r="CE170" s="59">
        <f t="shared" si="148"/>
        <v>98.543169293276662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91.724899063607609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91.724899063607609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6">
        <f t="shared" si="110"/>
        <v>583.79438571037758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3.2810021366458389E-14</v>
      </c>
      <c r="P171" s="13">
        <f t="shared" si="141"/>
        <v>5.6117125884464641E-13</v>
      </c>
      <c r="Q171" s="20">
        <f t="shared" si="162"/>
        <v>1.0345173963676741E-12</v>
      </c>
      <c r="R171" s="59">
        <f t="shared" si="109"/>
        <v>293.33333333333434</v>
      </c>
      <c r="S171" s="59">
        <f ca="1">AVERAGE(OFFSET($R$3,0,0,'Données projet'!$E$9+1,1))-AVERAGE(OFFSET($H$3,0,0,'Données projet'!$E$9+1,1))</f>
        <v>162.0530649500439</v>
      </c>
      <c r="T171" s="59">
        <f t="shared" si="142"/>
        <v>450.88267959505049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6.7877577580895467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6.137198128377035E-21</v>
      </c>
      <c r="AC171" s="22">
        <f t="shared" si="163"/>
        <v>6.7877577580895467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-1.915395841933787E-13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328.34986205643321</v>
      </c>
      <c r="AO171" s="59">
        <f t="shared" si="144"/>
        <v>251.60894449147008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125.21116895713838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125.21116895713838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-3.694822225952521E-13</v>
      </c>
      <c r="BE171" s="13">
        <f>BD171*VLOOKUP('Données projet'!$B$11,Paramètres!$A$1:$I$89,3,0)*VLOOKUP('Données projet'!$B$11,Paramètres!$A$1:$I$89,5,0)</f>
        <v>-4.2076635509147312E-13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250.68173853329841</v>
      </c>
      <c r="BJ171" s="59">
        <f t="shared" si="146"/>
        <v>113.25940301904359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100.99407339989706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100.99407339989706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-3.694822225952521E-13</v>
      </c>
      <c r="BZ171" s="13">
        <f>BY171*VLOOKUP('Données projet'!$B$12,Paramètres!$A$1:$I$89,3,0)*VLOOKUP('Données projet'!$B$12,Paramètres!$A$1:$I$89,5,0)</f>
        <v>-3.7465497371158569E-13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211.44496956344943</v>
      </c>
      <c r="CE171" s="59">
        <f t="shared" si="148"/>
        <v>98.543169293276662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89.926229739634422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89.926229739634422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6">
        <f t="shared" si="110"/>
        <v>585.69506754060376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3.2810021366458389E-14</v>
      </c>
      <c r="P172" s="13">
        <f t="shared" si="141"/>
        <v>5.6117125884464641E-13</v>
      </c>
      <c r="Q172" s="20">
        <f t="shared" si="162"/>
        <v>1.0345173963676741E-12</v>
      </c>
      <c r="R172" s="59">
        <f t="shared" si="109"/>
        <v>293.33333333333434</v>
      </c>
      <c r="S172" s="59">
        <f ca="1">AVERAGE(OFFSET($R$3,0,0,'Données projet'!$E$9+1,1))-AVERAGE(OFFSET($H$3,0,0,'Données projet'!$E$9+1,1))</f>
        <v>162.0530649500439</v>
      </c>
      <c r="T172" s="59">
        <f t="shared" si="142"/>
        <v>450.88267959505049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6.6546539685768398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4.339654414060789E-21</v>
      </c>
      <c r="AC172" s="22">
        <f t="shared" si="163"/>
        <v>6.6546539685768398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-1.915395841933787E-13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328.34986205643321</v>
      </c>
      <c r="AO172" s="59">
        <f t="shared" si="144"/>
        <v>251.60894449147008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122.75585430516092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122.75585430516092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-3.694822225952521E-13</v>
      </c>
      <c r="BE172" s="13">
        <f>BD172*VLOOKUP('Données projet'!$B$11,Paramètres!$A$1:$I$89,3,0)*VLOOKUP('Données projet'!$B$11,Paramètres!$A$1:$I$89,5,0)</f>
        <v>-4.2076635509147312E-13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250.68173853329841</v>
      </c>
      <c r="BJ172" s="59">
        <f t="shared" si="146"/>
        <v>113.25940301904359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99.013641220827324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99.013641220827324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-3.694822225952521E-13</v>
      </c>
      <c r="BZ172" s="13">
        <f>BY172*VLOOKUP('Données projet'!$B$12,Paramètres!$A$1:$I$89,3,0)*VLOOKUP('Données projet'!$B$12,Paramètres!$A$1:$I$89,5,0)</f>
        <v>-3.7465497371158569E-13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211.44496956344943</v>
      </c>
      <c r="CE172" s="59">
        <f t="shared" si="148"/>
        <v>98.543169293276662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88.162831224024387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88.162831224024387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6">
        <f t="shared" si="110"/>
        <v>587.5955070158285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3.2810021366458389E-14</v>
      </c>
      <c r="P173" s="13">
        <f t="shared" si="141"/>
        <v>5.6117125884464641E-13</v>
      </c>
      <c r="Q173" s="20">
        <f t="shared" si="162"/>
        <v>1.0345173963676741E-12</v>
      </c>
      <c r="R173" s="59">
        <f t="shared" si="109"/>
        <v>293.33333333333434</v>
      </c>
      <c r="S173" s="59">
        <f ca="1">AVERAGE(OFFSET($R$3,0,0,'Données projet'!$E$9+1,1))-AVERAGE(OFFSET($H$3,0,0,'Données projet'!$E$9+1,1))</f>
        <v>162.0530649500439</v>
      </c>
      <c r="T173" s="59">
        <f t="shared" si="142"/>
        <v>450.88267959505049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6.5241602631911819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3.0685990641885175E-21</v>
      </c>
      <c r="AC173" s="22">
        <f t="shared" si="163"/>
        <v>6.5241602631911819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-1.915395841933787E-13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328.34986205643321</v>
      </c>
      <c r="AO173" s="59">
        <f t="shared" si="144"/>
        <v>251.60894449147008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120.34868687591468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120.34868687591468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-3.694822225952521E-13</v>
      </c>
      <c r="BE173" s="13">
        <f>BD173*VLOOKUP('Données projet'!$B$11,Paramètres!$A$1:$I$89,3,0)*VLOOKUP('Données projet'!$B$11,Paramètres!$A$1:$I$89,5,0)</f>
        <v>-4.2076635509147312E-13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250.68173853329841</v>
      </c>
      <c r="BJ173" s="59">
        <f t="shared" si="146"/>
        <v>113.25940301904359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97.072044108844793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97.072044108844793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-3.694822225952521E-13</v>
      </c>
      <c r="BZ173" s="13">
        <f>BY173*VLOOKUP('Données projet'!$B$12,Paramètres!$A$1:$I$89,3,0)*VLOOKUP('Données projet'!$B$12,Paramètres!$A$1:$I$89,5,0)</f>
        <v>-3.7465497371158569E-13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211.44496956344943</v>
      </c>
      <c r="CE173" s="59">
        <f t="shared" si="148"/>
        <v>98.543169293276662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86.43401187773857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86.43401187773857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6">
        <f t="shared" si="110"/>
        <v>589.49570572708467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3.2810021366458389E-14</v>
      </c>
      <c r="P174" s="13">
        <f t="shared" si="141"/>
        <v>5.6117125884464641E-13</v>
      </c>
      <c r="Q174" s="20">
        <f t="shared" si="162"/>
        <v>1.0345173963676741E-12</v>
      </c>
      <c r="R174" s="59">
        <f t="shared" si="109"/>
        <v>293.33333333333434</v>
      </c>
      <c r="S174" s="59">
        <f ca="1">AVERAGE(OFFSET($R$3,0,0,'Données projet'!$E$9+1,1))-AVERAGE(OFFSET($H$3,0,0,'Données projet'!$E$9+1,1))</f>
        <v>162.0530649500439</v>
      </c>
      <c r="T174" s="59">
        <f t="shared" si="142"/>
        <v>450.88267959505049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6.3962254597748354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2.1698272070303945E-21</v>
      </c>
      <c r="AC174" s="22">
        <f t="shared" si="163"/>
        <v>6.3962254597748354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-1.915395841933787E-13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328.34986205643321</v>
      </c>
      <c r="AO174" s="59">
        <f t="shared" si="144"/>
        <v>251.60894449147008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117.9887225317288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117.9887225317288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-3.694822225952521E-13</v>
      </c>
      <c r="BE174" s="13">
        <f>BD174*VLOOKUP('Données projet'!$B$11,Paramètres!$A$1:$I$89,3,0)*VLOOKUP('Données projet'!$B$11,Paramètres!$A$1:$I$89,5,0)</f>
        <v>-4.2076635509147312E-13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250.68173853329841</v>
      </c>
      <c r="BJ174" s="59">
        <f t="shared" si="146"/>
        <v>113.25940301904359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95.168520531970941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95.168520531970941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-3.694822225952521E-13</v>
      </c>
      <c r="BZ174" s="13">
        <f>BY174*VLOOKUP('Données projet'!$B$12,Paramètres!$A$1:$I$89,3,0)*VLOOKUP('Données projet'!$B$12,Paramètres!$A$1:$I$89,5,0)</f>
        <v>-3.7465497371158569E-13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211.44496956344943</v>
      </c>
      <c r="CE174" s="59">
        <f t="shared" si="148"/>
        <v>98.543169293276662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84.739093624357736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84.739093624357736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6">
        <f t="shared" si="110"/>
        <v>591.39566524572035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3.2810021366458389E-14</v>
      </c>
      <c r="P175" s="13">
        <f t="shared" si="141"/>
        <v>5.6117125884464641E-13</v>
      </c>
      <c r="Q175" s="20">
        <f t="shared" si="162"/>
        <v>1.0345173963676741E-12</v>
      </c>
      <c r="R175" s="59">
        <f t="shared" si="109"/>
        <v>293.33333333333434</v>
      </c>
      <c r="S175" s="59">
        <f ca="1">AVERAGE(OFFSET($R$3,0,0,'Données projet'!$E$9+1,1))-AVERAGE(OFFSET($H$3,0,0,'Données projet'!$E$9+1,1))</f>
        <v>162.0530649500439</v>
      </c>
      <c r="T175" s="59">
        <f t="shared" si="142"/>
        <v>450.88267959505049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6.2707993798209589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1.5342995320942587E-21</v>
      </c>
      <c r="AC175" s="22">
        <f t="shared" si="163"/>
        <v>6.2707993798209589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-1.915395841933787E-13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328.34986205643321</v>
      </c>
      <c r="AO175" s="59">
        <f t="shared" si="144"/>
        <v>251.60894449147008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115.67503564889628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115.67503564889628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-3.694822225952521E-13</v>
      </c>
      <c r="BE175" s="13">
        <f>BD175*VLOOKUP('Données projet'!$B$11,Paramètres!$A$1:$I$89,3,0)*VLOOKUP('Données projet'!$B$11,Paramètres!$A$1:$I$89,5,0)</f>
        <v>-4.2076635509147312E-13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250.68173853329841</v>
      </c>
      <c r="BJ175" s="59">
        <f t="shared" si="146"/>
        <v>113.25940301904359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93.302323891404839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93.302323891404839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-3.694822225952521E-13</v>
      </c>
      <c r="BZ175" s="13">
        <f>BY175*VLOOKUP('Données projet'!$B$12,Paramètres!$A$1:$I$89,3,0)*VLOOKUP('Données projet'!$B$12,Paramètres!$A$1:$I$89,5,0)</f>
        <v>-3.7465497371158569E-13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211.44496956344943</v>
      </c>
      <c r="CE175" s="59">
        <f t="shared" si="148"/>
        <v>98.543169293276662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83.077411684127654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83.077411684127654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6">
        <f t="shared" si="110"/>
        <v>593.29538712375495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3.2810021366458389E-14</v>
      </c>
      <c r="P176" s="13">
        <f t="shared" si="141"/>
        <v>5.6117125884464641E-13</v>
      </c>
      <c r="Q176" s="20">
        <f t="shared" si="162"/>
        <v>1.0345173963676741E-12</v>
      </c>
      <c r="R176" s="59">
        <f t="shared" si="109"/>
        <v>293.33333333333434</v>
      </c>
      <c r="S176" s="59">
        <f ca="1">AVERAGE(OFFSET($R$3,0,0,'Données projet'!$E$9+1,1))-AVERAGE(OFFSET($H$3,0,0,'Données projet'!$E$9+1,1))</f>
        <v>162.0530649500439</v>
      </c>
      <c r="T176" s="59">
        <f t="shared" si="142"/>
        <v>450.88267959505049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6.1478328287926232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1.0849136035151972E-21</v>
      </c>
      <c r="AC176" s="22">
        <f t="shared" si="163"/>
        <v>6.1478328287926232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-1.915395841933787E-13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328.34986205643321</v>
      </c>
      <c r="AO176" s="59">
        <f t="shared" si="144"/>
        <v>251.60894449147008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113.40671875462647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113.40671875462647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-3.694822225952521E-13</v>
      </c>
      <c r="BE176" s="13">
        <f>BD176*VLOOKUP('Données projet'!$B$11,Paramètres!$A$1:$I$89,3,0)*VLOOKUP('Données projet'!$B$11,Paramètres!$A$1:$I$89,5,0)</f>
        <v>-4.2076635509147312E-13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250.68173853329841</v>
      </c>
      <c r="BJ176" s="59">
        <f t="shared" si="146"/>
        <v>113.25940301904359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91.472722228692689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91.472722228692689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-3.694822225952521E-13</v>
      </c>
      <c r="BZ176" s="13">
        <f>BY176*VLOOKUP('Données projet'!$B$12,Paramètres!$A$1:$I$89,3,0)*VLOOKUP('Données projet'!$B$12,Paramètres!$A$1:$I$89,5,0)</f>
        <v>-3.7465497371158569E-13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211.44496956344943</v>
      </c>
      <c r="CE176" s="59">
        <f t="shared" si="148"/>
        <v>98.543169293276662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81.448314313219569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81.448314313219569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6">
        <f t="shared" si="110"/>
        <v>595.19487289422705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3.2810021366458389E-14</v>
      </c>
      <c r="P177" s="13">
        <f t="shared" si="141"/>
        <v>5.6117125884464641E-13</v>
      </c>
      <c r="Q177" s="20">
        <f t="shared" si="162"/>
        <v>1.0345173963676741E-12</v>
      </c>
      <c r="R177" s="59">
        <f t="shared" si="109"/>
        <v>293.33333333333434</v>
      </c>
      <c r="S177" s="59">
        <f ca="1">AVERAGE(OFFSET($R$3,0,0,'Données projet'!$E$9+1,1))-AVERAGE(OFFSET($H$3,0,0,'Données projet'!$E$9+1,1))</f>
        <v>162.0530649500439</v>
      </c>
      <c r="T177" s="59">
        <f t="shared" si="142"/>
        <v>450.88267959505049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6.0272775768277622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7.6714976604712937E-22</v>
      </c>
      <c r="AC177" s="22">
        <f t="shared" si="163"/>
        <v>6.0272775768277622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-1.915395841933787E-13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328.34986205643321</v>
      </c>
      <c r="AO177" s="59">
        <f t="shared" si="144"/>
        <v>251.60894449147008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111.18288217111659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111.18288217111659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-3.694822225952521E-13</v>
      </c>
      <c r="BE177" s="13">
        <f>BD177*VLOOKUP('Données projet'!$B$11,Paramètres!$A$1:$I$89,3,0)*VLOOKUP('Données projet'!$B$11,Paramètres!$A$1:$I$89,5,0)</f>
        <v>-4.2076635509147312E-13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250.68173853329841</v>
      </c>
      <c r="BJ177" s="59">
        <f t="shared" si="146"/>
        <v>113.25940301904359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89.678997938639498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89.678997938639498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-3.694822225952521E-13</v>
      </c>
      <c r="BZ177" s="13">
        <f>BY177*VLOOKUP('Données projet'!$B$12,Paramètres!$A$1:$I$89,3,0)*VLOOKUP('Données projet'!$B$12,Paramètres!$A$1:$I$89,5,0)</f>
        <v>-3.7465497371158569E-13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211.44496956344943</v>
      </c>
      <c r="CE177" s="59">
        <f t="shared" si="148"/>
        <v>98.543169293276662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79.851162548103716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79.851162548103716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6">
        <f t="shared" si="110"/>
        <v>597.09412407153457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3.2810021366458389E-14</v>
      </c>
      <c r="P178" s="13">
        <f t="shared" si="141"/>
        <v>5.6117125884464641E-13</v>
      </c>
      <c r="Q178" s="20">
        <f t="shared" si="162"/>
        <v>1.0345173963676741E-12</v>
      </c>
      <c r="R178" s="59">
        <f t="shared" si="109"/>
        <v>293.33333333333434</v>
      </c>
      <c r="S178" s="59">
        <f ca="1">AVERAGE(OFFSET($R$3,0,0,'Données projet'!$E$9+1,1))-AVERAGE(OFFSET($H$3,0,0,'Données projet'!$E$9+1,1))</f>
        <v>162.0530649500439</v>
      </c>
      <c r="T178" s="59">
        <f t="shared" si="142"/>
        <v>450.88267959505049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5.9090863398224895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5.4245680175759862E-22</v>
      </c>
      <c r="AC178" s="22">
        <f t="shared" si="163"/>
        <v>5.9090863398224895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-1.915395841933787E-13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328.34986205643321</v>
      </c>
      <c r="AO178" s="59">
        <f t="shared" si="144"/>
        <v>251.60894449147008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109.00265366660295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109.00265366660295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-3.694822225952521E-13</v>
      </c>
      <c r="BE178" s="13">
        <f>BD178*VLOOKUP('Données projet'!$B$11,Paramètres!$A$1:$I$89,3,0)*VLOOKUP('Données projet'!$B$11,Paramètres!$A$1:$I$89,5,0)</f>
        <v>-4.2076635509147312E-13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250.68173853329841</v>
      </c>
      <c r="BJ178" s="59">
        <f t="shared" si="146"/>
        <v>113.25940301904359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87.920447487850467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87.920447487850467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-3.694822225952521E-13</v>
      </c>
      <c r="BZ178" s="13">
        <f>BY178*VLOOKUP('Données projet'!$B$12,Paramètres!$A$1:$I$89,3,0)*VLOOKUP('Données projet'!$B$12,Paramètres!$A$1:$I$89,5,0)</f>
        <v>-3.7465497371158569E-13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211.44496956344943</v>
      </c>
      <c r="CE178" s="59">
        <f t="shared" si="148"/>
        <v>98.543169293276662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78.285329954935392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78.285329954935392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6">
        <f t="shared" si="110"/>
        <v>598.99314215176662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3.2810021366458389E-14</v>
      </c>
      <c r="P179" s="13">
        <f t="shared" si="141"/>
        <v>5.6117125884464641E-13</v>
      </c>
      <c r="Q179" s="20">
        <f t="shared" si="162"/>
        <v>1.0345173963676741E-12</v>
      </c>
      <c r="R179" s="59">
        <f t="shared" si="109"/>
        <v>293.33333333333434</v>
      </c>
      <c r="S179" s="59">
        <f ca="1">AVERAGE(OFFSET($R$3,0,0,'Données projet'!$E$9+1,1))-AVERAGE(OFFSET($H$3,0,0,'Données projet'!$E$9+1,1))</f>
        <v>162.0530649500439</v>
      </c>
      <c r="T179" s="59">
        <f t="shared" si="142"/>
        <v>450.88267959505049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5.7932127608853543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3.8357488302356468E-22</v>
      </c>
      <c r="AC179" s="22">
        <f t="shared" si="163"/>
        <v>5.7932127608853543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-1.915395841933787E-13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328.34986205643321</v>
      </c>
      <c r="AO179" s="59">
        <f t="shared" si="144"/>
        <v>251.60894449147008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106.86517811325476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106.86517811325476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-3.694822225952521E-13</v>
      </c>
      <c r="BE179" s="13">
        <f>BD179*VLOOKUP('Données projet'!$B$11,Paramètres!$A$1:$I$89,3,0)*VLOOKUP('Données projet'!$B$11,Paramètres!$A$1:$I$89,5,0)</f>
        <v>-4.2076635509147312E-13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250.68173853329841</v>
      </c>
      <c r="BJ179" s="59">
        <f t="shared" si="146"/>
        <v>113.25940301904359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86.196381138791537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86.196381138791537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-3.694822225952521E-13</v>
      </c>
      <c r="BZ179" s="13">
        <f>BY179*VLOOKUP('Données projet'!$B$12,Paramètres!$A$1:$I$89,3,0)*VLOOKUP('Données projet'!$B$12,Paramètres!$A$1:$I$89,5,0)</f>
        <v>-3.7465497371158569E-13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211.44496956344943</v>
      </c>
      <c r="CE179" s="59">
        <f t="shared" si="148"/>
        <v>98.543169293276662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76.750202383855523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76.750202383855523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6">
        <f t="shared" si="110"/>
        <v>600.89192861302752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3.2810021366458389E-14</v>
      </c>
      <c r="P180" s="13">
        <f t="shared" si="141"/>
        <v>5.6117125884464641E-13</v>
      </c>
      <c r="Q180" s="20">
        <f t="shared" si="162"/>
        <v>1.0345173963676741E-12</v>
      </c>
      <c r="R180" s="59">
        <f t="shared" si="109"/>
        <v>293.33333333333434</v>
      </c>
      <c r="S180" s="59">
        <f ca="1">AVERAGE(OFFSET($R$3,0,0,'Données projet'!$E$9+1,1))-AVERAGE(OFFSET($H$3,0,0,'Données projet'!$E$9+1,1))</f>
        <v>162.0530649500439</v>
      </c>
      <c r="T180" s="59">
        <f t="shared" si="142"/>
        <v>450.88267959505049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5.6796113921552713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2.7122840087879931E-22</v>
      </c>
      <c r="AC180" s="22">
        <f t="shared" si="163"/>
        <v>5.6796113921552713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-1.915395841933787E-13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328.34986205643321</v>
      </c>
      <c r="AO180" s="59">
        <f t="shared" si="144"/>
        <v>251.60894449147008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104.76961715177636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104.76961715177636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-3.694822225952521E-13</v>
      </c>
      <c r="BE180" s="13">
        <f>BD180*VLOOKUP('Données projet'!$B$11,Paramètres!$A$1:$I$89,3,0)*VLOOKUP('Données projet'!$B$11,Paramètres!$A$1:$I$89,5,0)</f>
        <v>-4.2076635509147312E-13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250.68173853329841</v>
      </c>
      <c r="BJ180" s="59">
        <f t="shared" si="146"/>
        <v>113.25940301904359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84.506122679261026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84.506122679261026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-3.694822225952521E-13</v>
      </c>
      <c r="BZ180" s="13">
        <f>BY180*VLOOKUP('Données projet'!$B$12,Paramètres!$A$1:$I$89,3,0)*VLOOKUP('Données projet'!$B$12,Paramètres!$A$1:$I$89,5,0)</f>
        <v>-3.7465497371158569E-13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211.44496956344943</v>
      </c>
      <c r="CE180" s="59">
        <f t="shared" si="148"/>
        <v>98.543169293276662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75.245177728109169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75.245177728109169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6">
        <f t="shared" si="110"/>
        <v>602.79048491575327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3.2810021366458389E-14</v>
      </c>
      <c r="P181" s="13">
        <f t="shared" si="141"/>
        <v>5.6117125884464641E-13</v>
      </c>
      <c r="Q181" s="20">
        <f t="shared" si="162"/>
        <v>1.0345173963676741E-12</v>
      </c>
      <c r="R181" s="59">
        <f t="shared" si="109"/>
        <v>293.33333333333434</v>
      </c>
      <c r="S181" s="59">
        <f ca="1">AVERAGE(OFFSET($R$3,0,0,'Données projet'!$E$9+1,1))-AVERAGE(OFFSET($H$3,0,0,'Données projet'!$E$9+1,1))</f>
        <v>162.0530649500439</v>
      </c>
      <c r="T181" s="59">
        <f t="shared" si="142"/>
        <v>450.88267959505049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5.5682376769759925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1.9178744151178234E-22</v>
      </c>
      <c r="AC181" s="22">
        <f t="shared" si="163"/>
        <v>5.5682376769759925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-1.915395841933787E-13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328.34986205643321</v>
      </c>
      <c r="AO181" s="59">
        <f t="shared" si="144"/>
        <v>251.60894449147008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102.71514886258657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102.71514886258657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-3.694822225952521E-13</v>
      </c>
      <c r="BE181" s="13">
        <f>BD181*VLOOKUP('Données projet'!$B$11,Paramètres!$A$1:$I$89,3,0)*VLOOKUP('Données projet'!$B$11,Paramètres!$A$1:$I$89,5,0)</f>
        <v>-4.2076635509147312E-13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250.68173853329841</v>
      </c>
      <c r="BJ181" s="59">
        <f t="shared" si="146"/>
        <v>113.25940301904359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82.849009157166037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82.849009157166037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-3.694822225952521E-13</v>
      </c>
      <c r="BZ181" s="13">
        <f>BY181*VLOOKUP('Données projet'!$B$12,Paramètres!$A$1:$I$89,3,0)*VLOOKUP('Données projet'!$B$12,Paramètres!$A$1:$I$89,5,0)</f>
        <v>-3.7465497371158569E-13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211.44496956344943</v>
      </c>
      <c r="CE181" s="59">
        <f t="shared" si="148"/>
        <v>98.543169293276662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73.76966568788761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73.76966568788761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6">
        <f t="shared" si="110"/>
        <v>604.6888125030207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3.2810021366458389E-14</v>
      </c>
      <c r="P182" s="13">
        <f t="shared" si="141"/>
        <v>5.6117125884464641E-13</v>
      </c>
      <c r="Q182" s="20">
        <f t="shared" si="162"/>
        <v>1.0345173963676741E-12</v>
      </c>
      <c r="R182" s="59">
        <f t="shared" si="109"/>
        <v>293.33333333333434</v>
      </c>
      <c r="S182" s="59">
        <f ca="1">AVERAGE(OFFSET($R$3,0,0,'Données projet'!$E$9+1,1))-AVERAGE(OFFSET($H$3,0,0,'Données projet'!$E$9+1,1))</f>
        <v>162.0530649500439</v>
      </c>
      <c r="T182" s="59">
        <f t="shared" si="142"/>
        <v>450.88267959505049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5.4590479324201207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1.3561420043939966E-22</v>
      </c>
      <c r="AC182" s="22">
        <f t="shared" si="163"/>
        <v>5.4590479324201207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-1.915395841933787E-13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328.34986205643321</v>
      </c>
      <c r="AO182" s="59">
        <f t="shared" si="144"/>
        <v>251.60894449147008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100.70096744344588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100.70096744344588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-3.694822225952521E-13</v>
      </c>
      <c r="BE182" s="13">
        <f>BD182*VLOOKUP('Données projet'!$B$11,Paramètres!$A$1:$I$89,3,0)*VLOOKUP('Données projet'!$B$11,Paramètres!$A$1:$I$89,5,0)</f>
        <v>-4.2076635509147312E-13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250.68173853329841</v>
      </c>
      <c r="BJ182" s="59">
        <f t="shared" si="146"/>
        <v>113.25940301904359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81.224390620499889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81.224390620499889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-3.694822225952521E-13</v>
      </c>
      <c r="BZ182" s="13">
        <f>BY182*VLOOKUP('Données projet'!$B$12,Paramètres!$A$1:$I$89,3,0)*VLOOKUP('Données projet'!$B$12,Paramètres!$A$1:$I$89,5,0)</f>
        <v>-3.7465497371158569E-13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211.44496956344943</v>
      </c>
      <c r="CE182" s="59">
        <f t="shared" si="148"/>
        <v>98.543169293276662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72.323087538801317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72.323087538801317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6">
        <f t="shared" si="110"/>
        <v>606.58691280085009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3.2810021366458389E-14</v>
      </c>
      <c r="P183" s="13">
        <f t="shared" si="141"/>
        <v>5.6117125884464641E-13</v>
      </c>
      <c r="Q183" s="20">
        <f t="shared" si="162"/>
        <v>1.0345173963676741E-12</v>
      </c>
      <c r="R183" s="59">
        <f t="shared" si="109"/>
        <v>293.33333333333434</v>
      </c>
      <c r="S183" s="59">
        <f ca="1">AVERAGE(OFFSET($R$3,0,0,'Données projet'!$E$9+1,1))-AVERAGE(OFFSET($H$3,0,0,'Données projet'!$E$9+1,1))</f>
        <v>162.0530649500439</v>
      </c>
      <c r="T183" s="59">
        <f t="shared" si="142"/>
        <v>450.88267959505049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5.3519993321558212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9.5893720755891171E-23</v>
      </c>
      <c r="AC183" s="22">
        <f t="shared" si="163"/>
        <v>5.3519993321558212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-1.915395841933787E-13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328.34986205643321</v>
      </c>
      <c r="AO183" s="59">
        <f t="shared" si="144"/>
        <v>251.60894449147008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98.72628289340517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98.72628289340517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-3.694822225952521E-13</v>
      </c>
      <c r="BE183" s="13">
        <f>BD183*VLOOKUP('Données projet'!$B$11,Paramètres!$A$1:$I$89,3,0)*VLOOKUP('Données projet'!$B$11,Paramètres!$A$1:$I$89,5,0)</f>
        <v>-4.2076635509147312E-13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250.68173853329841</v>
      </c>
      <c r="BJ183" s="59">
        <f t="shared" si="146"/>
        <v>113.25940301904359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79.631629862418293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79.631629862418293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-3.694822225952521E-13</v>
      </c>
      <c r="BZ183" s="13">
        <f>BY183*VLOOKUP('Données projet'!$B$12,Paramètres!$A$1:$I$89,3,0)*VLOOKUP('Données projet'!$B$12,Paramètres!$A$1:$I$89,5,0)</f>
        <v>-3.7465497371158569E-13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211.44496956344943</v>
      </c>
      <c r="CE183" s="59">
        <f t="shared" si="148"/>
        <v>98.543169293276662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70.904875904893046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70.904875904893046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6">
        <f t="shared" si="110"/>
        <v>608.48478721849972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3.2810021366458389E-14</v>
      </c>
      <c r="P184" s="13">
        <f t="shared" si="141"/>
        <v>5.6117125884464641E-13</v>
      </c>
      <c r="Q184" s="20">
        <f t="shared" si="162"/>
        <v>1.0345173963676741E-12</v>
      </c>
      <c r="R184" s="59">
        <f t="shared" si="109"/>
        <v>293.33333333333434</v>
      </c>
      <c r="S184" s="59">
        <f ca="1">AVERAGE(OFFSET($R$3,0,0,'Données projet'!$E$9+1,1))-AVERAGE(OFFSET($H$3,0,0,'Données projet'!$E$9+1,1))</f>
        <v>162.0530649500439</v>
      </c>
      <c r="T184" s="59">
        <f t="shared" si="142"/>
        <v>450.88267959505049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5.2470498896495057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6.7807100219699828E-23</v>
      </c>
      <c r="AC184" s="22">
        <f t="shared" si="163"/>
        <v>5.2470498896495057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-1.915395841933787E-13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328.34986205643321</v>
      </c>
      <c r="AO184" s="59">
        <f t="shared" si="144"/>
        <v>251.60894449147008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96.790320702952116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96.790320702952116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-3.694822225952521E-13</v>
      </c>
      <c r="BE184" s="13">
        <f>BD184*VLOOKUP('Données projet'!$B$11,Paramètres!$A$1:$I$89,3,0)*VLOOKUP('Données projet'!$B$11,Paramètres!$A$1:$I$89,5,0)</f>
        <v>-4.2076635509147312E-13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250.68173853329841</v>
      </c>
      <c r="BJ184" s="59">
        <f t="shared" si="146"/>
        <v>113.25940301904359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78.070102171314545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78.070102171314545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-3.694822225952521E-13</v>
      </c>
      <c r="BZ184" s="13">
        <f>BY184*VLOOKUP('Données projet'!$B$12,Paramètres!$A$1:$I$89,3,0)*VLOOKUP('Données projet'!$B$12,Paramètres!$A$1:$I$89,5,0)</f>
        <v>-3.7465497371158569E-13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211.44496956344943</v>
      </c>
      <c r="CE184" s="59">
        <f t="shared" si="148"/>
        <v>98.543169293276662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69.514474536102043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69.514474536102043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6">
        <f t="shared" si="110"/>
        <v>610.38243714875489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3.2810021366458389E-14</v>
      </c>
      <c r="P185" s="13">
        <f t="shared" si="141"/>
        <v>5.6117125884464641E-13</v>
      </c>
      <c r="Q185" s="20">
        <f t="shared" si="162"/>
        <v>1.0345173963676741E-12</v>
      </c>
      <c r="R185" s="59">
        <f t="shared" si="109"/>
        <v>293.33333333333434</v>
      </c>
      <c r="S185" s="59">
        <f ca="1">AVERAGE(OFFSET($R$3,0,0,'Données projet'!$E$9+1,1))-AVERAGE(OFFSET($H$3,0,0,'Données projet'!$E$9+1,1))</f>
        <v>162.0530649500439</v>
      </c>
      <c r="T185" s="59">
        <f t="shared" si="142"/>
        <v>450.88267959505049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5.1441584416978996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4.7946860377945586E-23</v>
      </c>
      <c r="AC185" s="22">
        <f t="shared" si="163"/>
        <v>5.1441584416978996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-1.915395841933787E-13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328.34986205643321</v>
      </c>
      <c r="AO185" s="59">
        <f t="shared" si="144"/>
        <v>251.60894449147008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94.892321550233504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94.892321550233504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-3.694822225952521E-13</v>
      </c>
      <c r="BE185" s="13">
        <f>BD185*VLOOKUP('Données projet'!$B$11,Paramètres!$A$1:$I$89,3,0)*VLOOKUP('Données projet'!$B$11,Paramètres!$A$1:$I$89,5,0)</f>
        <v>-4.2076635509147312E-13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250.68173853329841</v>
      </c>
      <c r="BJ185" s="59">
        <f t="shared" si="146"/>
        <v>113.25940301904359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76.539195085795498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76.539195085795498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-3.694822225952521E-13</v>
      </c>
      <c r="BZ185" s="13">
        <f>BY185*VLOOKUP('Données projet'!$B$12,Paramètres!$A$1:$I$89,3,0)*VLOOKUP('Données projet'!$B$12,Paramètres!$A$1:$I$89,5,0)</f>
        <v>-3.7465497371158569E-13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211.44496956344943</v>
      </c>
      <c r="CE185" s="59">
        <f t="shared" si="148"/>
        <v>98.543169293276662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68.151338090091926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68.151338090091926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6">
        <f t="shared" si="110"/>
        <v>612.27986396820972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3.2810021366458389E-14</v>
      </c>
      <c r="P186" s="13">
        <f t="shared" si="141"/>
        <v>5.6117125884464641E-13</v>
      </c>
      <c r="Q186" s="20">
        <f t="shared" si="162"/>
        <v>1.0345173963676741E-12</v>
      </c>
      <c r="R186" s="59">
        <f t="shared" si="109"/>
        <v>293.33333333333434</v>
      </c>
      <c r="S186" s="59">
        <f ca="1">AVERAGE(OFFSET($R$3,0,0,'Données projet'!$E$9+1,1))-AVERAGE(OFFSET($H$3,0,0,'Données projet'!$E$9+1,1))</f>
        <v>162.0530649500439</v>
      </c>
      <c r="T186" s="59">
        <f t="shared" si="142"/>
        <v>450.88267959505049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5.0432846322830382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3.3903550109849914E-23</v>
      </c>
      <c r="AC186" s="22">
        <f t="shared" si="163"/>
        <v>5.0432846322830382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-1.915395841933787E-13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328.34986205643321</v>
      </c>
      <c r="AO186" s="59">
        <f t="shared" si="144"/>
        <v>251.60894449147008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93.031541003234537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93.031541003234537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-3.694822225952521E-13</v>
      </c>
      <c r="BE186" s="13">
        <f>BD186*VLOOKUP('Données projet'!$B$11,Paramètres!$A$1:$I$89,3,0)*VLOOKUP('Données projet'!$B$11,Paramètres!$A$1:$I$89,5,0)</f>
        <v>-4.2076635509147312E-13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250.68173853329841</v>
      </c>
      <c r="BJ186" s="59">
        <f t="shared" si="146"/>
        <v>113.25940301904359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75.038308154462356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75.038308154462356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-3.694822225952521E-13</v>
      </c>
      <c r="BZ186" s="13">
        <f>BY186*VLOOKUP('Données projet'!$B$12,Paramètres!$A$1:$I$89,3,0)*VLOOKUP('Données projet'!$B$12,Paramètres!$A$1:$I$89,5,0)</f>
        <v>-3.7465497371158569E-13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211.44496956344943</v>
      </c>
      <c r="CE186" s="59">
        <f t="shared" si="148"/>
        <v>98.543169293276662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66.814931918356933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66.814931918356933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6">
        <f t="shared" si="110"/>
        <v>614.17706903754288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3.2810021366458389E-14</v>
      </c>
      <c r="P187" s="13">
        <f t="shared" si="141"/>
        <v>5.6117125884464641E-13</v>
      </c>
      <c r="Q187" s="20">
        <f t="shared" si="162"/>
        <v>1.0345173963676741E-12</v>
      </c>
      <c r="R187" s="59">
        <f t="shared" si="109"/>
        <v>293.33333333333434</v>
      </c>
      <c r="S187" s="59">
        <f ca="1">AVERAGE(OFFSET($R$3,0,0,'Données projet'!$E$9+1,1))-AVERAGE(OFFSET($H$3,0,0,'Données projet'!$E$9+1,1))</f>
        <v>162.0530649500439</v>
      </c>
      <c r="T187" s="59">
        <f t="shared" si="142"/>
        <v>450.88267959505049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4.9443888967438543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2.3973430188972793E-23</v>
      </c>
      <c r="AC187" s="22">
        <f t="shared" si="163"/>
        <v>4.9443888967438543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-1.915395841933787E-13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328.34986205643321</v>
      </c>
      <c r="AO187" s="59">
        <f t="shared" si="144"/>
        <v>251.60894449147008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91.207249227798144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91.207249227798144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-3.694822225952521E-13</v>
      </c>
      <c r="BE187" s="13">
        <f>BD187*VLOOKUP('Données projet'!$B$11,Paramètres!$A$1:$I$89,3,0)*VLOOKUP('Données projet'!$B$11,Paramètres!$A$1:$I$89,5,0)</f>
        <v>-4.2076635509147312E-13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250.68173853329841</v>
      </c>
      <c r="BJ187" s="59">
        <f t="shared" si="146"/>
        <v>113.25940301904359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73.566852700402023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73.566852700402023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-3.694822225952521E-13</v>
      </c>
      <c r="BZ187" s="13">
        <f>BY187*VLOOKUP('Données projet'!$B$12,Paramètres!$A$1:$I$89,3,0)*VLOOKUP('Données projet'!$B$12,Paramètres!$A$1:$I$89,5,0)</f>
        <v>-3.7465497371158569E-13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211.44496956344943</v>
      </c>
      <c r="CE187" s="59">
        <f t="shared" si="148"/>
        <v>98.543169293276662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65.504731856522397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65.504731856522397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6">
        <f t="shared" si="110"/>
        <v>616.07405370178697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3.2810021366458389E-14</v>
      </c>
      <c r="P188" s="13">
        <f t="shared" si="141"/>
        <v>5.6117125884464641E-13</v>
      </c>
      <c r="Q188" s="20">
        <f t="shared" si="162"/>
        <v>1.0345173963676741E-12</v>
      </c>
      <c r="R188" s="59">
        <f t="shared" si="109"/>
        <v>293.33333333333434</v>
      </c>
      <c r="S188" s="59">
        <f ca="1">AVERAGE(OFFSET($R$3,0,0,'Données projet'!$E$9+1,1))-AVERAGE(OFFSET($H$3,0,0,'Données projet'!$E$9+1,1))</f>
        <v>162.0530649500439</v>
      </c>
      <c r="T188" s="59">
        <f t="shared" si="142"/>
        <v>450.88267959505049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4.8474324462581508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1.6951775054924957E-23</v>
      </c>
      <c r="AC188" s="22">
        <f t="shared" si="163"/>
        <v>4.8474324462581508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-1.915395841933787E-13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328.34986205643321</v>
      </c>
      <c r="AO188" s="59">
        <f t="shared" si="144"/>
        <v>251.60894449147008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89.418730701369952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89.418730701369952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-3.694822225952521E-13</v>
      </c>
      <c r="BE188" s="13">
        <f>BD188*VLOOKUP('Données projet'!$B$11,Paramètres!$A$1:$I$89,3,0)*VLOOKUP('Données projet'!$B$11,Paramètres!$A$1:$I$89,5,0)</f>
        <v>-4.2076635509147312E-13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250.68173853329841</v>
      </c>
      <c r="BJ188" s="59">
        <f t="shared" si="146"/>
        <v>113.25940301904359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72.124251590296609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72.124251590296609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-3.694822225952521E-13</v>
      </c>
      <c r="BZ188" s="13">
        <f>BY188*VLOOKUP('Données projet'!$B$12,Paramètres!$A$1:$I$89,3,0)*VLOOKUP('Données projet'!$B$12,Paramètres!$A$1:$I$89,5,0)</f>
        <v>-3.7465497371158569E-13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211.44496956344943</v>
      </c>
      <c r="CE188" s="59">
        <f t="shared" si="148"/>
        <v>98.543169293276662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64.220224018757307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64.220224018757307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6">
        <f t="shared" si="110"/>
        <v>617.97081929059186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3.2810021366458389E-14</v>
      </c>
      <c r="P189" s="13">
        <f t="shared" si="141"/>
        <v>5.6117125884464641E-13</v>
      </c>
      <c r="Q189" s="20">
        <f t="shared" si="162"/>
        <v>1.0345173963676741E-12</v>
      </c>
      <c r="R189" s="59">
        <f t="shared" si="109"/>
        <v>293.33333333333434</v>
      </c>
      <c r="S189" s="59">
        <f ca="1">AVERAGE(OFFSET($R$3,0,0,'Données projet'!$E$9+1,1))-AVERAGE(OFFSET($H$3,0,0,'Données projet'!$E$9+1,1))</f>
        <v>162.0530649500439</v>
      </c>
      <c r="T189" s="59">
        <f t="shared" si="142"/>
        <v>450.88267959505049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4.752377252628877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1.1986715094486396E-23</v>
      </c>
      <c r="AC189" s="22">
        <f t="shared" si="163"/>
        <v>4.752377252628877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-1.915395841933787E-13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328.34986205643321</v>
      </c>
      <c r="AO189" s="59">
        <f t="shared" si="144"/>
        <v>251.60894449147008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87.665283932356431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87.665283932356431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-3.694822225952521E-13</v>
      </c>
      <c r="BE189" s="13">
        <f>BD189*VLOOKUP('Données projet'!$B$11,Paramètres!$A$1:$I$89,3,0)*VLOOKUP('Données projet'!$B$11,Paramètres!$A$1:$I$89,5,0)</f>
        <v>-4.2076635509147312E-13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250.68173853329841</v>
      </c>
      <c r="BJ189" s="59">
        <f t="shared" si="146"/>
        <v>113.25940301904359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70.709939008060573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70.709939008060573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-3.694822225952521E-13</v>
      </c>
      <c r="BZ189" s="13">
        <f>BY189*VLOOKUP('Données projet'!$B$12,Paramètres!$A$1:$I$89,3,0)*VLOOKUP('Données projet'!$B$12,Paramètres!$A$1:$I$89,5,0)</f>
        <v>-3.7465497371158569E-13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211.44496956344943</v>
      </c>
      <c r="CE189" s="59">
        <f t="shared" si="148"/>
        <v>98.543169293276662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62.960904596218363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62.960904596218363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6">
        <f t="shared" si="110"/>
        <v>619.86736711848266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3.2810021366458389E-14</v>
      </c>
      <c r="P190" s="13">
        <f t="shared" si="141"/>
        <v>5.6117125884464641E-13</v>
      </c>
      <c r="Q190" s="20">
        <f t="shared" si="162"/>
        <v>1.0345173963676741E-12</v>
      </c>
      <c r="R190" s="59">
        <f t="shared" si="109"/>
        <v>293.33333333333434</v>
      </c>
      <c r="S190" s="59">
        <f ca="1">AVERAGE(OFFSET($R$3,0,0,'Données projet'!$E$9+1,1))-AVERAGE(OFFSET($H$3,0,0,'Données projet'!$E$9+1,1))</f>
        <v>162.0530649500439</v>
      </c>
      <c r="T190" s="59">
        <f t="shared" si="142"/>
        <v>450.88267959505049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4.6591860333687292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8.4758875274624785E-24</v>
      </c>
      <c r="AC190" s="22">
        <f t="shared" si="163"/>
        <v>4.6591860333687292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-1.915395841933787E-13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328.34986205643321</v>
      </c>
      <c r="AO190" s="59">
        <f t="shared" si="144"/>
        <v>251.60894449147008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85.946221184986342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85.946221184986342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-3.694822225952521E-13</v>
      </c>
      <c r="BE190" s="13">
        <f>BD190*VLOOKUP('Données projet'!$B$11,Paramètres!$A$1:$I$89,3,0)*VLOOKUP('Données projet'!$B$11,Paramètres!$A$1:$I$89,5,0)</f>
        <v>-4.2076635509147312E-13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250.68173853329841</v>
      </c>
      <c r="BJ190" s="59">
        <f t="shared" si="146"/>
        <v>113.25940301904359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69.323360232916684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69.323360232916684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-3.694822225952521E-13</v>
      </c>
      <c r="BZ190" s="13">
        <f>BY190*VLOOKUP('Données projet'!$B$12,Paramètres!$A$1:$I$89,3,0)*VLOOKUP('Données projet'!$B$12,Paramètres!$A$1:$I$89,5,0)</f>
        <v>-3.7465497371158569E-13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211.44496956344943</v>
      </c>
      <c r="CE190" s="59">
        <f t="shared" si="148"/>
        <v>98.543169293276662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61.726279659446405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61.726279659446405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6">
        <f t="shared" si="110"/>
        <v>621.7636984851116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3.2810021366458389E-14</v>
      </c>
      <c r="P191" s="13">
        <f t="shared" si="141"/>
        <v>5.6117125884464641E-13</v>
      </c>
      <c r="Q191" s="20">
        <f t="shared" si="162"/>
        <v>1.0345173963676741E-12</v>
      </c>
      <c r="R191" s="59">
        <f t="shared" si="109"/>
        <v>293.33333333333434</v>
      </c>
      <c r="S191" s="59">
        <f ca="1">AVERAGE(OFFSET($R$3,0,0,'Données projet'!$E$9+1,1))-AVERAGE(OFFSET($H$3,0,0,'Données projet'!$E$9+1,1))</f>
        <v>162.0530649500439</v>
      </c>
      <c r="T191" s="59">
        <f t="shared" si="142"/>
        <v>450.88267959505049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4.5678222370772419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5.9933575472431982E-24</v>
      </c>
      <c r="AC191" s="22">
        <f t="shared" si="163"/>
        <v>4.5678222370772419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-1.915395841933787E-13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328.34986205643321</v>
      </c>
      <c r="AO191" s="59">
        <f t="shared" si="144"/>
        <v>251.60894449147008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84.260868209567434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84.260868209567434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-3.694822225952521E-13</v>
      </c>
      <c r="BE191" s="13">
        <f>BD191*VLOOKUP('Données projet'!$B$11,Paramètres!$A$1:$I$89,3,0)*VLOOKUP('Données projet'!$B$11,Paramètres!$A$1:$I$89,5,0)</f>
        <v>-4.2076635509147312E-13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250.68173853329841</v>
      </c>
      <c r="BJ191" s="59">
        <f t="shared" si="146"/>
        <v>113.25940301904359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67.963971421823828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67.963971421823828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-3.694822225952521E-13</v>
      </c>
      <c r="BZ191" s="13">
        <f>BY191*VLOOKUP('Données projet'!$B$12,Paramètres!$A$1:$I$89,3,0)*VLOOKUP('Données projet'!$B$12,Paramètres!$A$1:$I$89,5,0)</f>
        <v>-3.7465497371158569E-13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211.44496956344943</v>
      </c>
      <c r="CE191" s="59">
        <f t="shared" si="148"/>
        <v>98.543169293276662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60.515864964637693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60.515864964637693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6">
        <f t="shared" si="110"/>
        <v>623.65981467550444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3.2810021366458389E-14</v>
      </c>
      <c r="P192" s="13">
        <f t="shared" si="141"/>
        <v>5.6117125884464641E-13</v>
      </c>
      <c r="Q192" s="20">
        <f t="shared" si="162"/>
        <v>1.0345173963676741E-12</v>
      </c>
      <c r="R192" s="59">
        <f t="shared" si="109"/>
        <v>293.33333333333434</v>
      </c>
      <c r="S192" s="59">
        <f ca="1">AVERAGE(OFFSET($R$3,0,0,'Données projet'!$E$9+1,1))-AVERAGE(OFFSET($H$3,0,0,'Données projet'!$E$9+1,1))</f>
        <v>162.0530649500439</v>
      </c>
      <c r="T192" s="59">
        <f t="shared" si="142"/>
        <v>450.88267959505049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4.4782500291046174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4.2379437637312393E-24</v>
      </c>
      <c r="AC192" s="22">
        <f t="shared" si="163"/>
        <v>4.4782500291046174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-1.915395841933787E-13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328.34986205643321</v>
      </c>
      <c r="AO192" s="59">
        <f t="shared" si="144"/>
        <v>251.60894449147008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82.608563978032677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82.608563978032677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-3.694822225952521E-13</v>
      </c>
      <c r="BE192" s="13">
        <f>BD192*VLOOKUP('Données projet'!$B$11,Paramètres!$A$1:$I$89,3,0)*VLOOKUP('Données projet'!$B$11,Paramètres!$A$1:$I$89,5,0)</f>
        <v>-4.2076635509147312E-13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250.68173853329841</v>
      </c>
      <c r="BJ192" s="59">
        <f t="shared" si="146"/>
        <v>113.25940301904359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66.631239396171196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66.631239396171196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-3.694822225952521E-13</v>
      </c>
      <c r="BZ192" s="13">
        <f>BY192*VLOOKUP('Données projet'!$B$12,Paramètres!$A$1:$I$89,3,0)*VLOOKUP('Données projet'!$B$12,Paramètres!$A$1:$I$89,5,0)</f>
        <v>-3.7465497371158569E-13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211.44496956344943</v>
      </c>
      <c r="CE192" s="59">
        <f t="shared" si="148"/>
        <v>98.543169293276662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59.329185763714115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59.329185763714115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6">
        <f t="shared" si="110"/>
        <v>625.55571696030165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3.2810021366458389E-14</v>
      </c>
      <c r="P193" s="13">
        <f t="shared" si="141"/>
        <v>5.6117125884464641E-13</v>
      </c>
      <c r="Q193" s="20">
        <f t="shared" si="162"/>
        <v>1.0345173963676741E-12</v>
      </c>
      <c r="R193" s="59">
        <f t="shared" si="109"/>
        <v>293.33333333333434</v>
      </c>
      <c r="S193" s="59">
        <f ca="1">AVERAGE(OFFSET($R$3,0,0,'Données projet'!$E$9+1,1))-AVERAGE(OFFSET($H$3,0,0,'Données projet'!$E$9+1,1))</f>
        <v>162.0530649500439</v>
      </c>
      <c r="T193" s="59">
        <f t="shared" si="142"/>
        <v>450.88267959505049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4.3904342774966842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2.9966787736215991E-24</v>
      </c>
      <c r="AC193" s="22">
        <f t="shared" si="163"/>
        <v>4.3904342774966842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-1.915395841933787E-13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328.34986205643321</v>
      </c>
      <c r="AO193" s="59">
        <f t="shared" si="144"/>
        <v>251.60894449147008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80.988660424672261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80.988660424672261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-3.694822225952521E-13</v>
      </c>
      <c r="BE193" s="13">
        <f>BD193*VLOOKUP('Données projet'!$B$11,Paramètres!$A$1:$I$89,3,0)*VLOOKUP('Données projet'!$B$11,Paramètres!$A$1:$I$89,5,0)</f>
        <v>-4.2076635509147312E-13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250.68173853329841</v>
      </c>
      <c r="BJ193" s="59">
        <f t="shared" si="146"/>
        <v>113.25940301904359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65.324641432655341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65.324641432655341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-3.694822225952521E-13</v>
      </c>
      <c r="BZ193" s="13">
        <f>BY193*VLOOKUP('Données projet'!$B$12,Paramètres!$A$1:$I$89,3,0)*VLOOKUP('Données projet'!$B$12,Paramètres!$A$1:$I$89,5,0)</f>
        <v>-3.7465497371158569E-13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211.44496956344943</v>
      </c>
      <c r="CE193" s="59">
        <f t="shared" si="148"/>
        <v>98.543169293276662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58.165776618117803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58.165776618117803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6">
        <f t="shared" si="110"/>
        <v>627.45140659599406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3.2810021366458389E-14</v>
      </c>
      <c r="P194" s="13">
        <f t="shared" si="141"/>
        <v>5.6117125884464641E-13</v>
      </c>
      <c r="Q194" s="20">
        <f t="shared" si="162"/>
        <v>1.0345173963676741E-12</v>
      </c>
      <c r="R194" s="59">
        <f t="shared" si="109"/>
        <v>293.33333333333434</v>
      </c>
      <c r="S194" s="59">
        <f ca="1">AVERAGE(OFFSET($R$3,0,0,'Données projet'!$E$9+1,1))-AVERAGE(OFFSET($H$3,0,0,'Données projet'!$E$9+1,1))</f>
        <v>162.0530649500439</v>
      </c>
      <c r="T194" s="59">
        <f t="shared" si="142"/>
        <v>450.88267959505049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4.3043405392154632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2.1189718818656196E-24</v>
      </c>
      <c r="AC194" s="22">
        <f t="shared" si="163"/>
        <v>4.3043405392154632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-1.915395841933787E-13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328.34986205643321</v>
      </c>
      <c r="AO194" s="59">
        <f t="shared" si="144"/>
        <v>251.60894449147008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79.400522191949634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79.400522191949634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-3.694822225952521E-13</v>
      </c>
      <c r="BE194" s="13">
        <f>BD194*VLOOKUP('Données projet'!$B$11,Paramètres!$A$1:$I$89,3,0)*VLOOKUP('Données projet'!$B$11,Paramètres!$A$1:$I$89,5,0)</f>
        <v>-4.2076635509147312E-13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250.68173853329841</v>
      </c>
      <c r="BJ194" s="59">
        <f t="shared" si="146"/>
        <v>113.25940301904359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64.043665058257972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64.043665058257972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-3.694822225952521E-13</v>
      </c>
      <c r="BZ194" s="13">
        <f>BY194*VLOOKUP('Données projet'!$B$12,Paramètres!$A$1:$I$89,3,0)*VLOOKUP('Données projet'!$B$12,Paramètres!$A$1:$I$89,5,0)</f>
        <v>-3.7465497371158569E-13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211.44496956344943</v>
      </c>
      <c r="CE194" s="59">
        <f t="shared" si="148"/>
        <v>98.543169293276662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57.025181216257124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57.025181216257124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6">
        <f t="shared" si="110"/>
        <v>629.34688482515401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3.2810021366458389E-14</v>
      </c>
      <c r="P195" s="13">
        <f t="shared" si="141"/>
        <v>5.6117125884464641E-13</v>
      </c>
      <c r="Q195" s="20">
        <f t="shared" si="162"/>
        <v>1.0345173963676741E-12</v>
      </c>
      <c r="R195" s="59">
        <f t="shared" ref="R195:R203" si="191">Q195+(I195+J195)*44/12</f>
        <v>293.33333333333434</v>
      </c>
      <c r="S195" s="59">
        <f ca="1">AVERAGE(OFFSET($R$3,0,0,'Données projet'!$E$9+1,1))-AVERAGE(OFFSET($H$3,0,0,'Données projet'!$E$9+1,1))</f>
        <v>162.0530649500439</v>
      </c>
      <c r="T195" s="59">
        <f t="shared" si="142"/>
        <v>450.88267959505049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4.2199350466299412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1.4983393868107995E-24</v>
      </c>
      <c r="AC195" s="22">
        <f t="shared" si="163"/>
        <v>4.2199350466299412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-1.915395841933787E-13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328.34986205643321</v>
      </c>
      <c r="AO195" s="59">
        <f t="shared" si="144"/>
        <v>251.60894449147008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77.843526381302013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77.843526381302013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-3.694822225952521E-13</v>
      </c>
      <c r="BE195" s="13">
        <f>BD195*VLOOKUP('Données projet'!$B$11,Paramètres!$A$1:$I$89,3,0)*VLOOKUP('Données projet'!$B$11,Paramètres!$A$1:$I$89,5,0)</f>
        <v>-4.2076635509147312E-13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250.68173853329841</v>
      </c>
      <c r="BJ195" s="59">
        <f t="shared" si="146"/>
        <v>113.25940301904359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62.787807849244089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62.787807849244089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-3.694822225952521E-13</v>
      </c>
      <c r="BZ195" s="13">
        <f>BY195*VLOOKUP('Données projet'!$B$12,Paramètres!$A$1:$I$89,3,0)*VLOOKUP('Données projet'!$B$12,Paramètres!$A$1:$I$89,5,0)</f>
        <v>-3.7465497371158569E-13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211.44496956344943</v>
      </c>
      <c r="CE195" s="59">
        <f t="shared" si="148"/>
        <v>98.543169293276662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55.906952194532437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55.906952194532437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6">
        <f t="shared" ref="H196:H203" si="192">(B196+E196+F196)*44/12+(C196+D196)*0.475*44/12</f>
        <v>631.24215287666095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3.2810021366458389E-14</v>
      </c>
      <c r="P196" s="13">
        <f t="shared" si="141"/>
        <v>5.6117125884464641E-13</v>
      </c>
      <c r="Q196" s="20">
        <f t="shared" si="162"/>
        <v>1.0345173963676741E-12</v>
      </c>
      <c r="R196" s="59">
        <f t="shared" si="191"/>
        <v>293.33333333333434</v>
      </c>
      <c r="S196" s="59">
        <f ca="1">AVERAGE(OFFSET($R$3,0,0,'Données projet'!$E$9+1,1))-AVERAGE(OFFSET($H$3,0,0,'Données projet'!$E$9+1,1))</f>
        <v>162.0530649500439</v>
      </c>
      <c r="T196" s="59">
        <f t="shared" si="142"/>
        <v>450.88267959505049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4.1371846942717543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1.0594859409328098E-24</v>
      </c>
      <c r="AC196" s="22">
        <f t="shared" si="163"/>
        <v>4.1371846942717543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-1.915395841933787E-13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328.34986205643321</v>
      </c>
      <c r="AO196" s="59">
        <f t="shared" si="144"/>
        <v>251.60894449147008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76.317062308827531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76.317062308827531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-3.694822225952521E-13</v>
      </c>
      <c r="BE196" s="13">
        <f>BD196*VLOOKUP('Données projet'!$B$11,Paramètres!$A$1:$I$89,3,0)*VLOOKUP('Données projet'!$B$11,Paramètres!$A$1:$I$89,5,0)</f>
        <v>-4.2076635509147312E-13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250.68173853329841</v>
      </c>
      <c r="BJ196" s="59">
        <f t="shared" si="146"/>
        <v>113.25940301904359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61.556577234101709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61.556577234101709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-3.694822225952521E-13</v>
      </c>
      <c r="BZ196" s="13">
        <f>BY196*VLOOKUP('Données projet'!$B$12,Paramètres!$A$1:$I$89,3,0)*VLOOKUP('Données projet'!$B$12,Paramètres!$A$1:$I$89,5,0)</f>
        <v>-3.7465497371158569E-13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211.44496956344943</v>
      </c>
      <c r="CE196" s="59">
        <f t="shared" si="148"/>
        <v>98.543169293276662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54.81065096187141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54.81065096187141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6">
        <f t="shared" si="192"/>
        <v>633.13721196592269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3.2810021366458389E-14</v>
      </c>
      <c r="P197" s="13">
        <f t="shared" ref="P197:P203" si="203">EXP(-1.0587+0.8836*LN(O197)+0.284)</f>
        <v>5.6117125884464641E-13</v>
      </c>
      <c r="Q197" s="20">
        <f t="shared" si="162"/>
        <v>1.0345173963676741E-12</v>
      </c>
      <c r="R197" s="59">
        <f t="shared" si="191"/>
        <v>293.33333333333434</v>
      </c>
      <c r="S197" s="59">
        <f ca="1">AVERAGE(OFFSET($R$3,0,0,'Données projet'!$E$9+1,1))-AVERAGE(OFFSET($H$3,0,0,'Données projet'!$E$9+1,1))</f>
        <v>162.0530649500439</v>
      </c>
      <c r="T197" s="59">
        <f t="shared" ref="T197:T203" si="204">$T$3</f>
        <v>450.88267959505049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4.0560570258505804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7.4916969340539977E-25</v>
      </c>
      <c r="AC197" s="22">
        <f t="shared" si="163"/>
        <v>4.0560570258505804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-1.915395841933787E-13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328.34986205643321</v>
      </c>
      <c r="AO197" s="59">
        <f t="shared" ref="AO197:AO203" si="205">$AO$3</f>
        <v>251.60894449147008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74.820531265763123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74.820531265763123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-3.694822225952521E-13</v>
      </c>
      <c r="BE197" s="13">
        <f>BD197*VLOOKUP('Données projet'!$B$11,Paramètres!$A$1:$I$89,3,0)*VLOOKUP('Données projet'!$B$11,Paramètres!$A$1:$I$89,5,0)</f>
        <v>-4.2076635509147312E-13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250.68173853329841</v>
      </c>
      <c r="BJ197" s="59">
        <f t="shared" ref="BJ197:BJ203" si="206">$BJ$3</f>
        <v>113.25940301904359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60.349490300345749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60.349490300345749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-3.694822225952521E-13</v>
      </c>
      <c r="BZ197" s="13">
        <f>BY197*VLOOKUP('Données projet'!$B$12,Paramètres!$A$1:$I$89,3,0)*VLOOKUP('Données projet'!$B$12,Paramètres!$A$1:$I$89,5,0)</f>
        <v>-3.7465497371158569E-13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211.44496956344943</v>
      </c>
      <c r="CE197" s="59">
        <f t="shared" ref="CE197:CE203" si="207">$CE$3</f>
        <v>98.543169293276662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53.73584752770514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53.73584752770514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6">
        <f t="shared" si="192"/>
        <v>635.0320632950918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3.2810021366458389E-14</v>
      </c>
      <c r="P198" s="13">
        <f t="shared" si="203"/>
        <v>5.6117125884464641E-13</v>
      </c>
      <c r="Q198" s="20">
        <f t="shared" si="162"/>
        <v>1.0345173963676741E-12</v>
      </c>
      <c r="R198" s="59">
        <f t="shared" si="191"/>
        <v>293.33333333333434</v>
      </c>
      <c r="S198" s="59">
        <f ca="1">AVERAGE(OFFSET($R$3,0,0,'Données projet'!$E$9+1,1))-AVERAGE(OFFSET($H$3,0,0,'Données projet'!$E$9+1,1))</f>
        <v>162.0530649500439</v>
      </c>
      <c r="T198" s="59">
        <f t="shared" si="204"/>
        <v>450.88267959505049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3.976520221524154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5.2974297046640491E-25</v>
      </c>
      <c r="AC198" s="22">
        <f t="shared" si="163"/>
        <v>3.976520221524154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-1.915395841933787E-13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328.34986205643321</v>
      </c>
      <c r="AO198" s="59">
        <f t="shared" si="205"/>
        <v>251.60894449147008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73.353346283659391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73.353346283659391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-3.694822225952521E-13</v>
      </c>
      <c r="BE198" s="13">
        <f>BD198*VLOOKUP('Données projet'!$B$11,Paramètres!$A$1:$I$89,3,0)*VLOOKUP('Données projet'!$B$11,Paramètres!$A$1:$I$89,5,0)</f>
        <v>-4.2076635509147312E-13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250.68173853329841</v>
      </c>
      <c r="BJ198" s="59">
        <f t="shared" si="206"/>
        <v>113.25940301904359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59.166073605110412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59.166073605110412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-3.694822225952521E-13</v>
      </c>
      <c r="BZ198" s="13">
        <f>BY198*VLOOKUP('Données projet'!$B$12,Paramètres!$A$1:$I$89,3,0)*VLOOKUP('Données projet'!$B$12,Paramètres!$A$1:$I$89,5,0)</f>
        <v>-3.7465497371158569E-13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211.44496956344943</v>
      </c>
      <c r="CE198" s="59">
        <f t="shared" si="207"/>
        <v>98.543169293276662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52.682120333317506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52.682120333317506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6">
        <f t="shared" si="192"/>
        <v>636.92670805327657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3.2810021366458389E-14</v>
      </c>
      <c r="P199" s="13">
        <f t="shared" si="203"/>
        <v>5.6117125884464641E-13</v>
      </c>
      <c r="Q199" s="20">
        <f t="shared" si="162"/>
        <v>1.0345173963676741E-12</v>
      </c>
      <c r="R199" s="59">
        <f t="shared" si="191"/>
        <v>293.33333333333434</v>
      </c>
      <c r="S199" s="59">
        <f ca="1">AVERAGE(OFFSET($R$3,0,0,'Données projet'!$E$9+1,1))-AVERAGE(OFFSET($H$3,0,0,'Données projet'!$E$9+1,1))</f>
        <v>162.0530649500439</v>
      </c>
      <c r="T199" s="59">
        <f t="shared" si="204"/>
        <v>450.88267959505049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3.8985430854179084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3.7458484670269989E-25</v>
      </c>
      <c r="AC199" s="22">
        <f t="shared" si="163"/>
        <v>3.8985430854179084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-1.915395841933787E-13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328.34986205643321</v>
      </c>
      <c r="AO199" s="59">
        <f t="shared" si="205"/>
        <v>251.60894449147008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71.914931904160241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71.914931904160241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-3.694822225952521E-13</v>
      </c>
      <c r="BE199" s="13">
        <f>BD199*VLOOKUP('Données projet'!$B$11,Paramètres!$A$1:$I$89,3,0)*VLOOKUP('Données projet'!$B$11,Paramètres!$A$1:$I$89,5,0)</f>
        <v>-4.2076635509147312E-13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250.68173853329841</v>
      </c>
      <c r="BJ199" s="59">
        <f t="shared" si="206"/>
        <v>113.25940301904359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58.005862989455728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58.005862989455728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-3.694822225952521E-13</v>
      </c>
      <c r="BZ199" s="13">
        <f>BY199*VLOOKUP('Données projet'!$B$12,Paramètres!$A$1:$I$89,3,0)*VLOOKUP('Données projet'!$B$12,Paramètres!$A$1:$I$89,5,0)</f>
        <v>-3.7465497371158569E-13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211.44496956344943</v>
      </c>
      <c r="CE199" s="59">
        <f t="shared" si="207"/>
        <v>98.543169293276662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51.649056086501687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51.649056086501687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6">
        <f t="shared" si="192"/>
        <v>638.82114741674945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3.2810021366458389E-14</v>
      </c>
      <c r="P200" s="13">
        <f t="shared" si="203"/>
        <v>5.6117125884464641E-13</v>
      </c>
      <c r="Q200" s="20">
        <f t="shared" si="162"/>
        <v>1.0345173963676741E-12</v>
      </c>
      <c r="R200" s="59">
        <f t="shared" si="191"/>
        <v>293.33333333333434</v>
      </c>
      <c r="S200" s="59">
        <f ca="1">AVERAGE(OFFSET($R$3,0,0,'Données projet'!$E$9+1,1))-AVERAGE(OFFSET($H$3,0,0,'Données projet'!$E$9+1,1))</f>
        <v>162.0530649500439</v>
      </c>
      <c r="T200" s="59">
        <f t="shared" si="204"/>
        <v>450.88267959505049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3.8220950333893495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2.6487148523320245E-25</v>
      </c>
      <c r="AC200" s="22">
        <f t="shared" si="163"/>
        <v>3.8220950333893495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-1.915395841933787E-13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328.34986205643321</v>
      </c>
      <c r="AO200" s="59">
        <f t="shared" si="205"/>
        <v>251.60894449147008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70.504723953296931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70.504723953296931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-3.694822225952521E-13</v>
      </c>
      <c r="BE200" s="13">
        <f>BD200*VLOOKUP('Données projet'!$B$11,Paramètres!$A$1:$I$89,3,0)*VLOOKUP('Données projet'!$B$11,Paramètres!$A$1:$I$89,5,0)</f>
        <v>-4.2076635509147312E-13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250.68173853329841</v>
      </c>
      <c r="BJ200" s="59">
        <f t="shared" si="206"/>
        <v>113.25940301904359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56.868403396315429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56.868403396315429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-3.694822225952521E-13</v>
      </c>
      <c r="BZ200" s="13">
        <f>BY200*VLOOKUP('Données projet'!$B$12,Paramètres!$A$1:$I$89,3,0)*VLOOKUP('Données projet'!$B$12,Paramètres!$A$1:$I$89,5,0)</f>
        <v>-3.7465497371158569E-13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211.44496956344943</v>
      </c>
      <c r="CE200" s="59">
        <f t="shared" si="207"/>
        <v>98.543169293276662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50.636249599458957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50.636249599458957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6">
        <f t="shared" si="192"/>
        <v>640.71538254914947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3.2810021366458389E-14</v>
      </c>
      <c r="P201" s="13">
        <f t="shared" si="203"/>
        <v>5.6117125884464641E-13</v>
      </c>
      <c r="Q201" s="20">
        <f t="shared" si="162"/>
        <v>1.0345173963676741E-12</v>
      </c>
      <c r="R201" s="59">
        <f t="shared" si="191"/>
        <v>293.33333333333434</v>
      </c>
      <c r="S201" s="59">
        <f ca="1">AVERAGE(OFFSET($R$3,0,0,'Données projet'!$E$9+1,1))-AVERAGE(OFFSET($H$3,0,0,'Données projet'!$E$9+1,1))</f>
        <v>162.0530649500439</v>
      </c>
      <c r="T201" s="59">
        <f t="shared" si="204"/>
        <v>450.88267959505049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3.7471460810323634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1.8729242335134994E-25</v>
      </c>
      <c r="AC201" s="22">
        <f t="shared" si="163"/>
        <v>3.7471460810323634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-1.915395841933787E-13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328.34986205643321</v>
      </c>
      <c r="AO201" s="59">
        <f t="shared" si="205"/>
        <v>251.60894449147008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69.12216932020813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69.12216932020813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-3.694822225952521E-13</v>
      </c>
      <c r="BE201" s="13">
        <f>BD201*VLOOKUP('Données projet'!$B$11,Paramètres!$A$1:$I$89,3,0)*VLOOKUP('Données projet'!$B$11,Paramètres!$A$1:$I$89,5,0)</f>
        <v>-4.2076635509147312E-13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250.68173853329841</v>
      </c>
      <c r="BJ201" s="59">
        <f t="shared" si="206"/>
        <v>113.25940301904359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55.753248692014765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55.753248692014765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-3.694822225952521E-13</v>
      </c>
      <c r="BZ201" s="13">
        <f>BY201*VLOOKUP('Données projet'!$B$12,Paramètres!$A$1:$I$89,3,0)*VLOOKUP('Données projet'!$B$12,Paramètres!$A$1:$I$89,5,0)</f>
        <v>-3.7465497371158569E-13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211.44496956344943</v>
      </c>
      <c r="CE201" s="59">
        <f t="shared" si="207"/>
        <v>98.543169293276662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49.643303629876172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49.643303629876172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6">
        <f t="shared" si="192"/>
        <v>642.60941460168146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3.2810021366458389E-14</v>
      </c>
      <c r="P202" s="13">
        <f t="shared" si="203"/>
        <v>5.6117125884464641E-13</v>
      </c>
      <c r="Q202" s="20">
        <f t="shared" si="162"/>
        <v>1.0345173963676741E-12</v>
      </c>
      <c r="R202" s="59">
        <f t="shared" si="191"/>
        <v>293.33333333333434</v>
      </c>
      <c r="S202" s="59">
        <f ca="1">AVERAGE(OFFSET($R$3,0,0,'Données projet'!$E$9+1,1))-AVERAGE(OFFSET($H$3,0,0,'Données projet'!$E$9+1,1))</f>
        <v>162.0530649500439</v>
      </c>
      <c r="T202" s="59">
        <f t="shared" si="204"/>
        <v>450.88267959505049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3.6736668319167505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1.3243574261660123E-25</v>
      </c>
      <c r="AC202" s="22">
        <f t="shared" si="163"/>
        <v>3.6736668319167505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-1.915395841933787E-13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328.34986205643321</v>
      </c>
      <c r="AO202" s="59">
        <f t="shared" si="205"/>
        <v>251.60894449147008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67.766725740199149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67.766725740199149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-3.694822225952521E-13</v>
      </c>
      <c r="BE202" s="13">
        <f>BD202*VLOOKUP('Données projet'!$B$11,Paramètres!$A$1:$I$89,3,0)*VLOOKUP('Données projet'!$B$11,Paramètres!$A$1:$I$89,5,0)</f>
        <v>-4.2076635509147312E-13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250.68173853329841</v>
      </c>
      <c r="BJ202" s="59">
        <f t="shared" si="206"/>
        <v>113.25940301904359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54.659961491288229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54.659961491288229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-3.694822225952521E-13</v>
      </c>
      <c r="BZ202" s="13">
        <f>BY202*VLOOKUP('Données projet'!$B$12,Paramètres!$A$1:$I$89,3,0)*VLOOKUP('Données projet'!$B$12,Paramètres!$A$1:$I$89,5,0)</f>
        <v>-3.7465497371158569E-13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211.44496956344943</v>
      </c>
      <c r="CE202" s="59">
        <f t="shared" si="207"/>
        <v>98.543169293276662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48.669828725119672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48.669828725119672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6">
        <f t="shared" si="192"/>
        <v>644.5032447133101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3.2810021366458389E-14</v>
      </c>
      <c r="P203" s="13">
        <f t="shared" si="203"/>
        <v>5.6117125884464641E-13</v>
      </c>
      <c r="Q203" s="20">
        <f t="shared" si="162"/>
        <v>1.0345173963676741E-12</v>
      </c>
      <c r="R203" s="59">
        <f t="shared" si="191"/>
        <v>293.33333333333434</v>
      </c>
      <c r="S203" s="59">
        <f ca="1">AVERAGE(OFFSET($R$3,0,0,'Données projet'!$E$9+1,1))-AVERAGE(OFFSET($H$3,0,0,'Données projet'!$E$9+1,1))</f>
        <v>162.0530649500439</v>
      </c>
      <c r="T203" s="59">
        <f t="shared" si="204"/>
        <v>450.88267959505049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3.6016284660583784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9.3646211675674972E-26</v>
      </c>
      <c r="AC203" s="22">
        <f t="shared" si="163"/>
        <v>3.6016284660583784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-1.915395841933787E-13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328.34986205643321</v>
      </c>
      <c r="AO203" s="59">
        <f t="shared" si="205"/>
        <v>251.60894449147008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66.437861582055191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66.437861582055191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-3.694822225952521E-13</v>
      </c>
      <c r="BE203" s="13">
        <f>BD203*VLOOKUP('Données projet'!$B$11,Paramètres!$A$1:$I$89,3,0)*VLOOKUP('Données projet'!$B$11,Paramètres!$A$1:$I$89,5,0)</f>
        <v>-4.2076635509147312E-13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250.68173853329841</v>
      </c>
      <c r="BJ203" s="59">
        <f t="shared" si="206"/>
        <v>113.25940301904359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53.588112985728593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53.588112985728593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-3.694822225952521E-13</v>
      </c>
      <c r="BZ203" s="13">
        <f>BY203*VLOOKUP('Données projet'!$B$12,Paramètres!$A$1:$I$89,3,0)*VLOOKUP('Données projet'!$B$12,Paramètres!$A$1:$I$89,5,0)</f>
        <v>-3.7465497371158569E-13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211.44496956344943</v>
      </c>
      <c r="CE203" s="59">
        <f t="shared" si="207"/>
        <v>98.543169293276662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47.71544306948438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47.71544306948438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1.6651064148037464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1.2392705892426346</v>
      </c>
      <c r="BA205" s="81">
        <f>EXP(LN('Données projet'!B88)/'Données projet'!A88)</f>
        <v>1.1422113165588705</v>
      </c>
      <c r="BV205" s="81">
        <f>EXP(LN('Données projet'!B114)/'Données projet'!A114)</f>
        <v>1.1422113165588705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79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0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79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81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81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0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79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0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P78" sqref="P7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0" t="s">
        <v>271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Peuplier non cultivé</v>
      </c>
      <c r="B6" s="144">
        <f>'Données projet'!D9</f>
        <v>2.1059999999999999</v>
      </c>
      <c r="C6" s="145">
        <f ca="1">IF(OR('Données projet'!B9="",'Données projet'!C9="",'Données projet'!C9=0%),0,Calculateur!S3)</f>
        <v>162.0530649500439</v>
      </c>
      <c r="D6" s="145">
        <f>IF(OR('Données projet'!B9="",'Données projet'!C9="",'Données projet'!C9=0%),0,Calculateur!T3)</f>
        <v>450.88267959505049</v>
      </c>
      <c r="E6" s="145">
        <f ca="1">MIN(C6,D6)</f>
        <v>162.0530649500439</v>
      </c>
      <c r="F6" s="145">
        <f ca="1">E6*B6</f>
        <v>341.28375478479245</v>
      </c>
      <c r="G6" s="145">
        <f ca="1">F6*(100%-'Données projet'!$C$24)*(100%-'Données projet'!$C$25)*(100%-'Données projet'!$C$26)*(100%-'Données projet'!$C$27)</f>
        <v>245.72430344505059</v>
      </c>
      <c r="H6" s="146">
        <f>IF(OR('Données projet'!B9="",'Données projet'!C9="",'Données projet'!C9=0%),0,AVERAGE(Calculateur!$AC$3:$AC$33)*B6)</f>
        <v>48.893750990693128</v>
      </c>
      <c r="I6" s="147">
        <f>H6*(100%-'Données projet'!$C$24)*(100%-'Données projet'!$C$25)*(100%-'Données projet'!$C$26)*(100%-'Données projet'!$C$27)</f>
        <v>35.203500713299057</v>
      </c>
      <c r="J6" s="148">
        <f>IF(OR('Données projet'!B9="",'Données projet'!C9="",'Données projet'!C9=0%),0,SUM(Calculateur!$V$3:$V$33)*VLOOKUP('Données projet'!$B$9,Paramètres!$A$1:$I$89,9,0)*B6)</f>
        <v>816.26243399999998</v>
      </c>
      <c r="K6" s="149">
        <f>J6*(100%-'Données projet'!$C$24)*(100%-'Données projet'!$C$25)*(100%-'Données projet'!$C$26)*(100%-'Données projet'!$C$27)</f>
        <v>587.70895248000011</v>
      </c>
      <c r="L6" s="150">
        <f ca="1">G6+I6+K6</f>
        <v>868.63675663834977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pédonculé</v>
      </c>
      <c r="B7" s="152">
        <f>'Données projet'!D10</f>
        <v>1.599</v>
      </c>
      <c r="C7" s="145">
        <f ca="1">IF(OR('Données projet'!B10="",'Données projet'!C10="",'Données projet'!C10=0%),0,Calculateur!AN3)</f>
        <v>328.34986205643321</v>
      </c>
      <c r="D7" s="145">
        <f>IF(OR('Données projet'!B10="",'Données projet'!C10="",'Données projet'!C10=0%),0,Calculateur!AO3)</f>
        <v>251.60894449147008</v>
      </c>
      <c r="E7" s="145">
        <f t="shared" ref="E7:E15" ca="1" si="0">MIN(C7,D7)</f>
        <v>251.60894449147008</v>
      </c>
      <c r="F7" s="145">
        <f t="shared" ref="F7:F15" ca="1" si="1">E7*B7</f>
        <v>402.32270224186067</v>
      </c>
      <c r="G7" s="145">
        <f ca="1">F7*(100%-'Données projet'!$C$24)*(100%-'Données projet'!$C$25)*(100%-'Données projet'!$C$26)*(100%-'Données projet'!$C$27)</f>
        <v>289.67234561413972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24.784500000000001</v>
      </c>
      <c r="K7" s="149">
        <f>J7*(100%-'Données projet'!$C$24)*(100%-'Données projet'!$C$25)*(100%-'Données projet'!$C$26)*(100%-'Données projet'!$C$27)</f>
        <v>17.844840000000005</v>
      </c>
      <c r="L7" s="150">
        <f t="shared" ref="L7:L15" ca="1" si="2">G7+I7+K7</f>
        <v>307.51718561413975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vert</v>
      </c>
      <c r="B8" s="152">
        <f>'Données projet'!D11</f>
        <v>7.8E-2</v>
      </c>
      <c r="C8" s="145">
        <f ca="1">IF(OR('Données projet'!B11="",'Données projet'!C11="",'Données projet'!C11=0%),0,Calculateur!BI3)</f>
        <v>250.68173853329841</v>
      </c>
      <c r="D8" s="145">
        <f>IF(OR('Données projet'!B11="",'Données projet'!C11="",'Données projet'!C11=0%),0,Calculateur!BJ3)</f>
        <v>113.25940301904359</v>
      </c>
      <c r="E8" s="145">
        <f t="shared" ca="1" si="0"/>
        <v>113.25940301904359</v>
      </c>
      <c r="F8" s="145">
        <f t="shared" ca="1" si="1"/>
        <v>8.8342334354854</v>
      </c>
      <c r="G8" s="145">
        <f ca="1">F8*(100%-'Données projet'!$C$24)*(100%-'Données projet'!$C$25)*(100%-'Données projet'!$C$26)*(100%-'Données projet'!$C$27)</f>
        <v>6.3606480735494886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6.3606480735494886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pubescent</v>
      </c>
      <c r="B9" s="152">
        <f>'Données projet'!D12</f>
        <v>9.7500000000000003E-2</v>
      </c>
      <c r="C9" s="145">
        <f ca="1">IF(OR('Données projet'!B12="",'Données projet'!C12="",'Données projet'!C12=0%),0,Calculateur!CD3)</f>
        <v>211.44496956344943</v>
      </c>
      <c r="D9" s="145">
        <f>IF(OR('Données projet'!B12="",'Données projet'!C12="",'Données projet'!C12=0%),0,Calculateur!CE3)</f>
        <v>98.543169293276662</v>
      </c>
      <c r="E9" s="145">
        <f t="shared" ca="1" si="0"/>
        <v>98.543169293276662</v>
      </c>
      <c r="F9" s="145">
        <f t="shared" ca="1" si="1"/>
        <v>9.6079590060944753</v>
      </c>
      <c r="G9" s="145">
        <f ca="1">F9*(100%-'Données projet'!$C$24)*(100%-'Données projet'!$C$25)*(100%-'Données projet'!$C$26)*(100%-'Données projet'!$C$27)</f>
        <v>6.9177304843880227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6.9177304843880227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762.04864946823295</v>
      </c>
      <c r="G16" s="164">
        <f t="shared" ca="1" si="3"/>
        <v>548.67502761712774</v>
      </c>
      <c r="H16" s="165">
        <f t="shared" si="3"/>
        <v>48.893750990693128</v>
      </c>
      <c r="I16" s="165">
        <f t="shared" si="3"/>
        <v>35.203500713299057</v>
      </c>
      <c r="J16" s="166">
        <f t="shared" si="3"/>
        <v>841.04693399999996</v>
      </c>
      <c r="K16" s="166">
        <f t="shared" si="3"/>
        <v>605.55379248000008</v>
      </c>
      <c r="L16" s="167">
        <f t="shared" ca="1" si="3"/>
        <v>1189.4323208104272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82" t="s">
        <v>246</v>
      </c>
      <c r="G17" s="283"/>
      <c r="H17" s="283"/>
      <c r="I17" s="283"/>
      <c r="J17" s="283"/>
      <c r="K17" s="283"/>
      <c r="L17" s="28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69"/>
      <c r="G18" s="269"/>
      <c r="H18" s="269"/>
      <c r="I18" s="269"/>
      <c r="J18" s="269"/>
      <c r="K18" s="269"/>
      <c r="L18" s="26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Peuplier non cultivé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vert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0" t="s">
        <v>272</v>
      </c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6" t="s">
        <v>315</v>
      </c>
      <c r="I4" s="256"/>
      <c r="K4" s="298" t="s">
        <v>253</v>
      </c>
      <c r="L4" s="299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0" t="s">
        <v>310</v>
      </c>
      <c r="S7" s="291"/>
      <c r="T7" s="291"/>
      <c r="U7" s="291"/>
      <c r="V7" s="29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Peuplier non cultivé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2.1059999999999999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pédonculé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1.599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vert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7.8E-2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pubescent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9.7500000000000003E-2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Peuplier non cultivé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1" t="s">
        <v>318</v>
      </c>
      <c r="H15" s="188"/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1"/>
      <c r="H16" s="188"/>
      <c r="I16" s="189"/>
      <c r="J16" s="200"/>
      <c r="K16" s="206"/>
      <c r="L16" s="298" t="s">
        <v>254</v>
      </c>
      <c r="M16" s="299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01"/>
      <c r="J17" s="200"/>
      <c r="K17" s="206"/>
      <c r="L17" s="258" t="s">
        <v>289</v>
      </c>
      <c r="M17" s="26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01"/>
      <c r="J18" s="200"/>
      <c r="K18" s="206"/>
      <c r="L18" s="258" t="s">
        <v>255</v>
      </c>
      <c r="M18" s="26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01"/>
      <c r="H19" s="210" t="s">
        <v>178</v>
      </c>
      <c r="I19" s="210" t="s">
        <v>287</v>
      </c>
      <c r="J19" s="91"/>
      <c r="K19" s="171"/>
      <c r="L19" s="298" t="s">
        <v>288</v>
      </c>
      <c r="M19" s="299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01"/>
      <c r="H20" s="188"/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/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/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5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/>
      <c r="I23" s="189"/>
      <c r="K23" s="206"/>
      <c r="L23" s="300" t="s">
        <v>260</v>
      </c>
      <c r="M23" s="300"/>
      <c r="N23" s="300"/>
      <c r="O23" s="23"/>
      <c r="P23" s="23"/>
      <c r="Q23" s="232"/>
      <c r="R23" s="23"/>
      <c r="S23" s="36" t="s">
        <v>264</v>
      </c>
      <c r="T23" s="29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5"/>
      <c r="V23" s="29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10</v>
      </c>
      <c r="B24" s="179">
        <f>'Données projet'!D37</f>
        <v>0</v>
      </c>
      <c r="C24" s="191"/>
      <c r="D24" s="180">
        <f t="shared" ref="D24:D42" si="2">B24*C24</f>
        <v>0</v>
      </c>
      <c r="E24" s="191"/>
      <c r="F24" s="231"/>
      <c r="H24" s="188"/>
      <c r="I24" s="189"/>
      <c r="K24" s="206"/>
      <c r="O24" s="23"/>
      <c r="P24" s="23"/>
      <c r="Q24" s="232"/>
      <c r="R24" s="23"/>
      <c r="S24" s="36" t="s">
        <v>261</v>
      </c>
      <c r="T24" s="29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6"/>
      <c r="V24" s="29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15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/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297">
        <f ca="1">T23-T24</f>
        <v>0</v>
      </c>
      <c r="U25" s="297"/>
      <c r="V25" s="29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20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84" t="s">
        <v>258</v>
      </c>
      <c r="M26" s="285"/>
      <c r="N26" s="285"/>
      <c r="O26" s="285"/>
      <c r="P26" s="286"/>
      <c r="Q26" s="232"/>
      <c r="R26" s="23"/>
      <c r="S26" s="184" t="s">
        <v>265</v>
      </c>
      <c r="T26" s="294" t="str">
        <f ca="1">IF(T25&lt;0,"Votre projet est additionnel","Votre projet n'est pas additionnel")</f>
        <v>Votre projet n'est pas additionnel</v>
      </c>
      <c r="U26" s="294"/>
      <c r="V26" s="29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25</v>
      </c>
      <c r="B27" s="179">
        <f>'Données projet'!D40</f>
        <v>376.3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87"/>
      <c r="M27" s="288"/>
      <c r="N27" s="288"/>
      <c r="O27" s="288"/>
      <c r="P27" s="289"/>
      <c r="Q27" s="232"/>
      <c r="R27" s="23"/>
      <c r="S27" s="293" t="s">
        <v>267</v>
      </c>
      <c r="T27" s="293"/>
      <c r="U27" s="293"/>
      <c r="V27" s="29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0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0</v>
      </c>
      <c r="B29" s="179">
        <f>'Données projet'!D42</f>
        <v>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0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pédonculé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6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30</v>
      </c>
      <c r="B55" s="179">
        <f>'Données projet'!D63</f>
        <v>56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40</v>
      </c>
      <c r="B56" s="179">
        <f>'Données projet'!D64</f>
        <v>56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50</v>
      </c>
      <c r="B57" s="179">
        <f>'Données projet'!D65</f>
        <v>56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60</v>
      </c>
      <c r="B58" s="179">
        <f>'Données projet'!D66</f>
        <v>56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70</v>
      </c>
      <c r="B59" s="179">
        <f>'Données projet'!D67</f>
        <v>56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str">
        <f>IF(O58+1&lt;=MIN('Données projet'!$E$9:$E$18),O58+1,"STOP")</f>
        <v>STOP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80</v>
      </c>
      <c r="B60" s="179">
        <f>'Données projet'!D68</f>
        <v>56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90</v>
      </c>
      <c r="B61" s="179">
        <f>'Données projet'!D69</f>
        <v>56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100</v>
      </c>
      <c r="B62" s="179">
        <f>'Données projet'!D70</f>
        <v>55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110</v>
      </c>
      <c r="B63" s="179">
        <f>'Données projet'!D71</f>
        <v>51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120</v>
      </c>
      <c r="B64" s="179">
        <f>'Données projet'!D72</f>
        <v>47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130</v>
      </c>
      <c r="B65" s="179">
        <f>'Données projet'!D73</f>
        <v>44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140</v>
      </c>
      <c r="B66" s="179">
        <f>'Données projet'!D74</f>
        <v>41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150</v>
      </c>
      <c r="B67" s="179">
        <f>'Données projet'!D75</f>
        <v>333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vert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40</v>
      </c>
      <c r="B86" s="179">
        <f>'Données projet'!D89</f>
        <v>27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50</v>
      </c>
      <c r="B87" s="179">
        <f>'Données projet'!D90</f>
        <v>28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60</v>
      </c>
      <c r="B88" s="179">
        <f>'Données projet'!D91</f>
        <v>28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70</v>
      </c>
      <c r="B89" s="179">
        <f>'Données projet'!D92</f>
        <v>28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80</v>
      </c>
      <c r="B90" s="179">
        <f>'Données projet'!D93</f>
        <v>28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90</v>
      </c>
      <c r="B91" s="179">
        <f>'Données projet'!D94</f>
        <v>28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100</v>
      </c>
      <c r="B92" s="179">
        <f>'Données projet'!D95</f>
        <v>28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110</v>
      </c>
      <c r="B93" s="179">
        <f>'Données projet'!D96</f>
        <v>27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120</v>
      </c>
      <c r="B94" s="179">
        <f>'Données projet'!D97</f>
        <v>25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130</v>
      </c>
      <c r="B95" s="179">
        <f>'Données projet'!D98</f>
        <v>21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140</v>
      </c>
      <c r="B96" s="179">
        <f>'Données projet'!D99</f>
        <v>17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150</v>
      </c>
      <c r="B97" s="179">
        <f>'Données projet'!D100</f>
        <v>223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pubescent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40</v>
      </c>
      <c r="B117" s="179">
        <f>'Données projet'!D115</f>
        <v>27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50</v>
      </c>
      <c r="B118" s="179">
        <f>'Données projet'!D116</f>
        <v>28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60</v>
      </c>
      <c r="B119" s="179">
        <f>'Données projet'!D117</f>
        <v>28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70</v>
      </c>
      <c r="B120" s="179">
        <f>'Données projet'!D118</f>
        <v>28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80</v>
      </c>
      <c r="B121" s="179">
        <f>'Données projet'!D119</f>
        <v>28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90</v>
      </c>
      <c r="B122" s="179">
        <f>'Données projet'!D120</f>
        <v>28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100</v>
      </c>
      <c r="B123" s="179">
        <f>'Données projet'!D121</f>
        <v>28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110</v>
      </c>
      <c r="B124" s="179">
        <f>'Données projet'!D122</f>
        <v>27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120</v>
      </c>
      <c r="B125" s="179">
        <f>'Données projet'!D123</f>
        <v>25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130</v>
      </c>
      <c r="B126" s="179">
        <f>'Données projet'!D124</f>
        <v>21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140</v>
      </c>
      <c r="B127" s="179">
        <f>'Données projet'!D125</f>
        <v>17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150</v>
      </c>
      <c r="B128" s="179">
        <f>'Données projet'!D126</f>
        <v>223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2024-07-02T08:18:32Z</cp:lastPrinted>
  <dcterms:created xsi:type="dcterms:W3CDTF">2021-02-01T08:22:39Z</dcterms:created>
  <dcterms:modified xsi:type="dcterms:W3CDTF">2024-07-04T06:42:56Z</dcterms:modified>
</cp:coreProperties>
</file>