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eosylvafrance.sharepoint.com/sites/Partage/Documents partages/DOSSIER STAGIAIRE/Dossier Augustin/SUD OUEST (CI)/2LARB-123/"/>
    </mc:Choice>
  </mc:AlternateContent>
  <xr:revisionPtr revIDLastSave="26" documentId="8_{86F27995-77EF-403E-BAF6-3BAD71FA748B}" xr6:coauthVersionLast="47" xr6:coauthVersionMax="47" xr10:uidLastSave="{26A7DE65-F01F-40AF-8CAC-664E42C079D8}"/>
  <bookViews>
    <workbookView xWindow="-108" yWindow="-108" windowWidth="23256" windowHeight="1245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6" l="1"/>
  <c r="E19" i="6"/>
  <c r="E17" i="6"/>
  <c r="I22" i="6"/>
  <c r="I21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HH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EB113" i="2"/>
  <c r="HG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B130" i="2"/>
  <c r="HH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G144" i="2" l="1"/>
  <c r="EA144" i="2"/>
  <c r="FR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HH145" i="2"/>
  <c r="EX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H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W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G162" i="2" l="1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DG168" i="2"/>
  <c r="EV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W175" i="2" l="1"/>
  <c r="FS175" i="2"/>
  <c r="EA175" i="2"/>
  <c r="HI175" i="2"/>
  <c r="EB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EW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I185" i="2" l="1"/>
  <c r="EW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FS186" i="2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HH192" i="2"/>
  <c r="EB192" i="2"/>
  <c r="EW192" i="2"/>
  <c r="HG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X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W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FS199" i="2" l="1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HG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22" i="2" a="1"/>
  <c r="FY22" i="2" s="1"/>
  <c r="FY35" i="2" a="1"/>
  <c r="FY35" i="2" s="1"/>
  <c r="FY18" i="2" a="1"/>
  <c r="FY18" i="2" s="1"/>
  <c r="FY69" i="2" a="1"/>
  <c r="FY69" i="2" s="1"/>
  <c r="FY191" i="2" a="1"/>
  <c r="FY191" i="2" s="1"/>
  <c r="FY186" i="2" a="1"/>
  <c r="FY186" i="2" s="1"/>
  <c r="FY92" i="2" a="1"/>
  <c r="FY92" i="2" s="1"/>
  <c r="FY78" i="2" a="1"/>
  <c r="FY78" i="2" s="1"/>
  <c r="FY55" i="2" a="1"/>
  <c r="FY55" i="2" s="1"/>
  <c r="FY190" i="2" a="1"/>
  <c r="FY190" i="2" s="1"/>
  <c r="FY24" i="2" a="1"/>
  <c r="FY24" i="2" s="1"/>
  <c r="FY104" i="2" a="1"/>
  <c r="FY10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62" i="2" a="1"/>
  <c r="AH62" i="2" s="1"/>
  <c r="CS38" i="2" a="1"/>
  <c r="CS38" i="2" s="1"/>
  <c r="FY182" i="2" a="1"/>
  <c r="FY182" i="2" s="1"/>
  <c r="FY30" i="2" a="1"/>
  <c r="FY30" i="2" s="1"/>
  <c r="FY121" i="2" a="1"/>
  <c r="FY121" i="2" s="1"/>
  <c r="FD48" i="2" a="1"/>
  <c r="FD48" i="2" s="1"/>
  <c r="FD43" i="2" a="1"/>
  <c r="FD43" i="2" s="1"/>
  <c r="FD159" i="2" a="1"/>
  <c r="FD159" i="2" s="1"/>
  <c r="FD194" i="2" a="1"/>
  <c r="FD194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56" i="2" a="1"/>
  <c r="CS56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BX107" i="2" a="1"/>
  <c r="BX107" i="2" s="1"/>
  <c r="DN187" i="2" a="1"/>
  <c r="DN187" i="2" s="1"/>
  <c r="HJ202" i="2"/>
  <c r="EY202" i="2"/>
  <c r="AX200" i="2"/>
  <c r="FD19" i="2" l="1" a="1"/>
  <c r="FD19" i="2" s="1"/>
  <c r="FD107" i="2" a="1"/>
  <c r="FD107" i="2" s="1"/>
  <c r="FD64" i="2" a="1"/>
  <c r="FD64" i="2" s="1"/>
  <c r="FD44" i="2" a="1"/>
  <c r="FD44" i="2" s="1"/>
  <c r="FY167" i="2" a="1"/>
  <c r="FY167" i="2" s="1"/>
  <c r="FY42" i="2" a="1"/>
  <c r="FY42" i="2" s="1"/>
  <c r="FY115" i="2" a="1"/>
  <c r="FY115" i="2" s="1"/>
  <c r="CS105" i="2" a="1"/>
  <c r="CS105" i="2" s="1"/>
  <c r="AH199" i="2" a="1"/>
  <c r="AH199" i="2" s="1"/>
  <c r="CS77" i="2" a="1"/>
  <c r="CS77" i="2" s="1"/>
  <c r="CS137" i="2" a="1"/>
  <c r="CS137" i="2" s="1"/>
  <c r="CS129" i="2" a="1"/>
  <c r="CS129" i="2" s="1"/>
  <c r="FD144" i="2" a="1"/>
  <c r="FD144" i="2" s="1"/>
  <c r="FY34" i="2" a="1"/>
  <c r="FY34" i="2" s="1"/>
  <c r="FY124" i="2" a="1"/>
  <c r="FY124" i="2" s="1"/>
  <c r="FY72" i="2" a="1"/>
  <c r="FY72" i="2" s="1"/>
  <c r="FY126" i="2" a="1"/>
  <c r="FY126" i="2" s="1"/>
  <c r="FY174" i="2" a="1"/>
  <c r="FY174" i="2" s="1"/>
  <c r="FY111" i="2" a="1"/>
  <c r="FY111" i="2" s="1"/>
  <c r="FY173" i="2" a="1"/>
  <c r="FY173" i="2" s="1"/>
  <c r="FY110" i="2" a="1"/>
  <c r="FY110" i="2" s="1"/>
  <c r="FY66" i="2" a="1"/>
  <c r="FY66" i="2" s="1"/>
  <c r="FY133" i="2" a="1"/>
  <c r="FY133" i="2" s="1"/>
  <c r="FY165" i="2" a="1"/>
  <c r="FY165" i="2" s="1"/>
  <c r="FY90" i="2" a="1"/>
  <c r="FY90" i="2" s="1"/>
  <c r="FY109" i="2" a="1"/>
  <c r="FY109" i="2" s="1"/>
  <c r="HG203" i="2"/>
  <c r="FD82" i="2" a="1"/>
  <c r="FD82" i="2" s="1"/>
  <c r="CS134" i="2" a="1"/>
  <c r="CS134" i="2" s="1"/>
  <c r="CS185" i="2" a="1"/>
  <c r="CS185" i="2" s="1"/>
  <c r="FD160" i="2" a="1"/>
  <c r="FD160" i="2" s="1"/>
  <c r="FD167" i="2" a="1"/>
  <c r="FD167" i="2" s="1"/>
  <c r="FD189" i="2" a="1"/>
  <c r="FD189" i="2" s="1"/>
  <c r="FD188" i="2" a="1"/>
  <c r="FD188" i="2" s="1"/>
  <c r="FY142" i="2" a="1"/>
  <c r="FY142" i="2" s="1"/>
  <c r="FY196" i="2" a="1"/>
  <c r="FY196" i="2" s="1"/>
  <c r="FY86" i="2" a="1"/>
  <c r="FY86" i="2" s="1"/>
  <c r="CS161" i="2" a="1"/>
  <c r="CS161" i="2" s="1"/>
  <c r="AH166" i="2" a="1"/>
  <c r="AH166" i="2" s="1"/>
  <c r="CS52" i="2" a="1"/>
  <c r="CS52" i="2" s="1"/>
  <c r="FD21" i="2" a="1"/>
  <c r="FD21" i="2" s="1"/>
  <c r="FY164" i="2" a="1"/>
  <c r="FY164" i="2" s="1"/>
  <c r="FY169" i="2" a="1"/>
  <c r="FY169" i="2" s="1"/>
  <c r="AH92" i="2" a="1"/>
  <c r="AH92" i="2" s="1"/>
  <c r="FY188" i="2" a="1"/>
  <c r="FY188" i="2" s="1"/>
  <c r="FY99" i="2" a="1"/>
  <c r="FY99" i="2" s="1"/>
  <c r="FY73" i="2" a="1"/>
  <c r="FY73" i="2" s="1"/>
  <c r="FY159" i="2" a="1"/>
  <c r="FY159" i="2" s="1"/>
  <c r="FY153" i="2" a="1"/>
  <c r="FY153" i="2" s="1"/>
  <c r="FY120" i="2" a="1"/>
  <c r="FY120" i="2" s="1"/>
  <c r="FY140" i="2" a="1"/>
  <c r="FY140" i="2" s="1"/>
  <c r="FY146" i="2" a="1"/>
  <c r="FY146" i="2" s="1"/>
  <c r="FY57" i="2" a="1"/>
  <c r="FY57" i="2" s="1"/>
  <c r="FY79" i="2" a="1"/>
  <c r="FY79" i="2" s="1"/>
  <c r="CS114" i="2" a="1"/>
  <c r="CS114" i="2" s="1"/>
  <c r="CS120" i="2" a="1"/>
  <c r="CS120" i="2" s="1"/>
  <c r="FD187" i="2" a="1"/>
  <c r="FD187" i="2" s="1"/>
  <c r="FD137" i="2" a="1"/>
  <c r="FD137" i="2" s="1"/>
  <c r="FD131" i="2" a="1"/>
  <c r="FD131" i="2" s="1"/>
  <c r="FD14" i="2" a="1"/>
  <c r="FD14" i="2" s="1"/>
  <c r="FD60" i="2" a="1"/>
  <c r="FD60" i="2" s="1"/>
  <c r="FY80" i="2" a="1"/>
  <c r="FY80" i="2" s="1"/>
  <c r="FY82" i="2" a="1"/>
  <c r="FY82" i="2" s="1"/>
  <c r="FY58" i="2" a="1"/>
  <c r="FY58" i="2" s="1"/>
  <c r="AH163" i="2" a="1"/>
  <c r="AH163" i="2" s="1"/>
  <c r="AH19" i="2" a="1"/>
  <c r="AH19" i="2" s="1"/>
  <c r="FY172" i="2" a="1"/>
  <c r="FY172" i="2" s="1"/>
  <c r="FY149" i="2" a="1"/>
  <c r="FY149" i="2" s="1"/>
  <c r="FY62" i="2" a="1"/>
  <c r="FY62" i="2" s="1"/>
  <c r="FY178" i="2" a="1"/>
  <c r="FY178" i="2" s="1"/>
  <c r="FY28" i="2" a="1"/>
  <c r="FY28" i="2" s="1"/>
  <c r="FY116" i="2" a="1"/>
  <c r="FY116" i="2" s="1"/>
  <c r="FY152" i="2" a="1"/>
  <c r="FY152" i="2" s="1"/>
  <c r="FY143" i="2" a="1"/>
  <c r="FY143" i="2" s="1"/>
  <c r="FY102" i="2" a="1"/>
  <c r="FY102" i="2" s="1"/>
  <c r="FY71" i="2" a="1"/>
  <c r="FY71" i="2" s="1"/>
  <c r="FY29" i="2" a="1"/>
  <c r="FY29" i="2" s="1"/>
  <c r="FY32" i="2" a="1"/>
  <c r="FY32" i="2" s="1"/>
  <c r="FY54" i="2" a="1"/>
  <c r="FY54" i="2" s="1"/>
  <c r="FY47" i="2" a="1"/>
  <c r="FY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<sst xmlns="http://schemas.openxmlformats.org/spreadsheetml/2006/main" count="1173" uniqueCount="327">
  <si>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</si>
  <si>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</si>
  <si>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</si>
  <si>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</si>
  <si>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</si>
  <si>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</si>
  <si>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</si>
  <si>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</si>
  <si>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</si>
  <si>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</si>
  <si>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</si>
  <si>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</si>
  <si>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</si>
  <si>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</si>
  <si>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</si>
  <si>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</si>
  <si>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</si>
  <si>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</si>
  <si>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</si>
  <si>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</si>
  <si>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</si>
  <si>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</si>
  <si>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</si>
  <si>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</si>
  <si>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</si>
  <si>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</si>
  <si>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</si>
  <si>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</si>
  <si>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</si>
  <si>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</si>
  <si>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</si>
  <si>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</si>
  <si>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</si>
  <si>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</si>
  <si>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</si>
  <si>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</si>
  <si>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</si>
  <si>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</si>
  <si>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</si>
  <si>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</si>
  <si>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</si>
  <si>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</si>
  <si>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</si>
  <si>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</si>
  <si>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</si>
  <si>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</si>
  <si>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</si>
  <si>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</si>
  <si>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</si>
  <si>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</si>
  <si>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</si>
  <si>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</si>
  <si>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</si>
  <si>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</si>
  <si>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</si>
  <si>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</si>
  <si>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</si>
  <si>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</si>
  <si>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</si>
  <si>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</si>
  <si>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</si>
  <si>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</si>
  <si>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</si>
  <si>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</si>
  <si>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</si>
  <si>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</si>
  <si>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</si>
  <si>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</si>
  <si>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</si>
  <si>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</si>
  <si>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</si>
  <si>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</si>
  <si>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</si>
  <si>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</si>
  <si>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</si>
  <si>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</si>
  <si>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</si>
  <si>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</si>
  <si>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</si>
  <si>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</si>
  <si>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</si>
  <si>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</si>
  <si>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</si>
  <si>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</si>
  <si>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</si>
  <si>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</si>
  <si>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</si>
  <si>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</si>
  <si>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</si>
  <si>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</si>
  <si>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</si>
  <si>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</si>
  <si>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</si>
  <si>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</si>
  <si>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</si>
  <si>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</si>
  <si>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</si>
  <si>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</si>
  <si>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</si>
  <si>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</si>
  <si>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</si>
  <si>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</si>
  <si>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</si>
  <si>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</si>
  <si>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</si>
  <si>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</si>
  <si>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</si>
  <si>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</si>
  <si>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</si>
  <si>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</si>
  <si>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</si>
  <si>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</si>
  <si>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</si>
  <si>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</si>
  <si>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</si>
  <si>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</si>
  <si>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</si>
  <si>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</si>
  <si>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</si>
  <si>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</si>
  <si>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</si>
  <si>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</si>
  <si>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</si>
  <si>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</si>
  <si>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</si>
  <si>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</si>
  <si>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</si>
  <si>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</si>
  <si>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</si>
  <si>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</si>
  <si>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</si>
  <si>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</si>
  <si>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</si>
  <si>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</si>
  <si>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</si>
  <si>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</si>
  <si>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</si>
  <si>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</si>
  <si>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</si>
  <si>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</si>
  <si>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</si>
  <si>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</si>
  <si>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</si>
  <si>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</si>
  <si>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</si>
  <si>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</si>
  <si>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</si>
  <si>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</si>
  <si>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</si>
  <si>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</si>
  <si>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</si>
  <si>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</si>
  <si>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</si>
  <si>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</si>
  <si>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</si>
  <si>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</si>
  <si>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</si>
  <si>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</si>
  <si>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</si>
  <si>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</si>
  <si>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</si>
  <si>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</si>
  <si>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</si>
  <si>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</si>
  <si>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</si>
  <si>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</si>
  <si>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</si>
  <si>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</si>
  <si>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</si>
  <si>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</si>
  <si>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</si>
  <si>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</si>
  <si>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</si>
  <si>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</si>
  <si>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</si>
  <si>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</si>
  <si>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</si>
  <si>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</si>
  <si>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</si>
  <si>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</si>
  <si>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</si>
  <si>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</si>
  <si>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</si>
  <si>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</si>
  <si>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</si>
  <si>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</si>
  <si>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</si>
  <si>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</si>
  <si>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</si>
  <si>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</si>
  <si>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</si>
  <si>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</si>
  <si>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</si>
  <si>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</si>
  <si>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</si>
  <si>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</si>
  <si>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</si>
  <si>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</si>
  <si>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</si>
  <si>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</si>
  <si>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</si>
  <si>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</si>
  <si>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</si>
  <si>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</si>
  <si>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</si>
  <si>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</si>
  <si>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</si>
  <si>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</si>
  <si>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</si>
  <si>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</si>
  <si>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</si>
  <si>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</si>
  <si>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</si>
  <si>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</si>
  <si>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</si>
  <si>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</si>
  <si>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</si>
  <si>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</si>
  <si>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</si>
  <si>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</si>
  <si>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</si>
  <si>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</si>
  <si>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</si>
  <si>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</si>
  <si>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</si>
  <si>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</si>
  <si>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</si>
  <si>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</si>
  <si>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</si>
  <si>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</si>
  <si>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</si>
  <si>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</si>
  <si>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</si>
  <si>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</si>
  <si>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</si>
  <si>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</si>
  <si>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</si>
  <si>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</si>
  <si>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</si>
  <si>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</si>
  <si>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</si>
  <si>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</si>
  <si>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</si>
  <si>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</si>
  <si>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</si>
  <si>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</si>
  <si>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</si>
  <si>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</si>
  <si>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</si>
  <si>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</si>
  <si>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</si>
  <si>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</si>
  <si>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</si>
  <si>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</si>
  <si>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</si>
  <si>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</si>
  <si>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</si>
  <si>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</si>
  <si>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</si>
  <si>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</si>
  <si>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</si>
  <si>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</si>
  <si>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</si>
  <si>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</si>
  <si>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</si>
  <si>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</si>
  <si>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</si>
  <si>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</si>
  <si>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</si>
  <si>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</si>
  <si>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</si>
  <si>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</si>
  <si>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</si>
  <si>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</si>
  <si>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</si>
  <si>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</si>
  <si>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</si>
  <si>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</si>
  <si>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</si>
  <si>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</si>
  <si>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</si>
  <si>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</si>
  <si>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</si>
  <si>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</si>
  <si>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</si>
  <si>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</si>
  <si>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</si>
  <si>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</si>
  <si>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</si>
  <si>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</si>
  <si>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</si>
  <si>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</si>
  <si>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</si>
  <si>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</si>
  <si>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</si>
  <si>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</si>
  <si>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</si>
  <si>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</si>
  <si>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</si>
  <si>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</si>
  <si>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</si>
  <si>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</si>
  <si>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</si>
  <si>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</si>
  <si>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</si>
  <si>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</si>
  <si>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</si>
  <si>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</si>
  <si>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</si>
  <si>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</si>
  <si>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</si>
  <si>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</si>
  <si>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</si>
  <si>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</si>
  <si>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</si>
  <si>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</si>
  <si>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</si>
  <si>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</si>
  <si>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</si>
  <si>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</si>
  <si>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</si>
  <si>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</si>
  <si>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</si>
  <si>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</si>
  <si>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NOM DU PROJET NEOSYLVA</t>
  </si>
  <si>
    <t>Ajout coût rédaction DGD en année 2</t>
  </si>
  <si>
    <t xml:space="preserve">Ajout coût maitrise d'œuvre + étude de cas en année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</si>
</sst>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1.5402544434585883</c:v>
                </c:pt>
                <c:pt idx="2">
                  <c:v>2.045780035636779</c:v>
                </c:pt>
                <c:pt idx="3">
                  <c:v>2.717922289174671</c:v>
                </c:pt>
                <c:pt idx="4">
                  <c:v>3.6118140013264668</c:v>
                </c:pt>
                <c:pt idx="5">
                  <c:v>4.8008986035752175</c:v>
                </c:pt>
                <c:pt idx="6">
                  <c:v>6.3830322798094565</c:v>
                </c:pt>
                <c:pt idx="7">
                  <c:v>8.4886260514539114</c:v>
                </c:pt>
                <c:pt idx="8">
                  <c:v>11.291511763194011</c:v>
                </c:pt>
                <c:pt idx="9">
                  <c:v>15.023445803273242</c:v>
                </c:pt>
                <c:pt idx="10">
                  <c:v>19.99347175518178</c:v>
                </c:pt>
                <c:pt idx="11">
                  <c:v>26.613774158639355</c:v>
                </c:pt>
                <c:pt idx="12">
                  <c:v>35.434205161367345</c:v>
                </c:pt>
                <c:pt idx="13">
                  <c:v>47.188400920588187</c:v>
                </c:pt>
                <c:pt idx="14">
                  <c:v>62.855387879153078</c:v>
                </c:pt>
                <c:pt idx="15">
                  <c:v>83.741894453467935</c:v>
                </c:pt>
                <c:pt idx="16">
                  <c:v>111.59234363672935</c:v>
                </c:pt>
                <c:pt idx="17">
                  <c:v>148.73585705438913</c:v>
                </c:pt>
                <c:pt idx="18">
                  <c:v>198.2827526638622</c:v>
                </c:pt>
                <c:pt idx="19">
                  <c:v>152.3864623038144</c:v>
                </c:pt>
                <c:pt idx="20">
                  <c:v>178.23495739466622</c:v>
                </c:pt>
                <c:pt idx="21">
                  <c:v>203.99545422081783</c:v>
                </c:pt>
                <c:pt idx="22">
                  <c:v>229.68063675506048</c:v>
                </c:pt>
                <c:pt idx="23">
                  <c:v>255.30011308757412</c:v>
                </c:pt>
                <c:pt idx="24">
                  <c:v>280.86140248997191</c:v>
                </c:pt>
                <c:pt idx="25">
                  <c:v>259.43544652877773</c:v>
                </c:pt>
                <c:pt idx="26">
                  <c:v>286.76641000957017</c:v>
                </c:pt>
                <c:pt idx="27">
                  <c:v>314.03909760954588</c:v>
                </c:pt>
                <c:pt idx="28">
                  <c:v>341.25927813642528</c:v>
                </c:pt>
                <c:pt idx="29">
                  <c:v>368.43172495291293</c:v>
                </c:pt>
                <c:pt idx="30">
                  <c:v>395.5604500494847</c:v>
                </c:pt>
                <c:pt idx="31">
                  <c:v>346.24890026667828</c:v>
                </c:pt>
                <c:pt idx="32">
                  <c:v>373.24974422733004</c:v>
                </c:pt>
                <c:pt idx="33">
                  <c:v>400.20802972261481</c:v>
                </c:pt>
                <c:pt idx="34">
                  <c:v>427.12702359531545</c:v>
                </c:pt>
                <c:pt idx="35">
                  <c:v>454.00954759463934</c:v>
                </c:pt>
                <c:pt idx="36">
                  <c:v>480.85806231909402</c:v>
                </c:pt>
                <c:pt idx="37">
                  <c:v>426.61349667894268</c:v>
                </c:pt>
                <c:pt idx="38">
                  <c:v>452.9556801030223</c:v>
                </c:pt>
                <c:pt idx="39">
                  <c:v>479.26512417586628</c:v>
                </c:pt>
                <c:pt idx="40">
                  <c:v>505.54387680430187</c:v>
                </c:pt>
                <c:pt idx="41">
                  <c:v>531.79375583365902</c:v>
                </c:pt>
                <c:pt idx="42">
                  <c:v>558.01638520079189</c:v>
                </c:pt>
                <c:pt idx="43">
                  <c:v>497.99699632678494</c:v>
                </c:pt>
                <c:pt idx="44">
                  <c:v>523.32749575764262</c:v>
                </c:pt>
                <c:pt idx="45">
                  <c:v>548.63216886276189</c:v>
                </c:pt>
                <c:pt idx="46">
                  <c:v>573.91237297748114</c:v>
                </c:pt>
                <c:pt idx="47">
                  <c:v>599.16933624116075</c:v>
                </c:pt>
                <c:pt idx="48">
                  <c:v>624.40417493070879</c:v>
                </c:pt>
                <c:pt idx="49">
                  <c:v>553.80659006304643</c:v>
                </c:pt>
                <c:pt idx="50">
                  <c:v>577.77991843712778</c:v>
                </c:pt>
                <c:pt idx="51">
                  <c:v>601.73250042950247</c:v>
                </c:pt>
                <c:pt idx="52">
                  <c:v>625.66527709965862</c:v>
                </c:pt>
                <c:pt idx="53">
                  <c:v>649.57911172546289</c:v>
                </c:pt>
                <c:pt idx="54">
                  <c:v>673.47479891593559</c:v>
                </c:pt>
                <c:pt idx="55">
                  <c:v>2.8030510891776262E-12</c:v>
                </c:pt>
                <c:pt idx="56">
                  <c:v>2.8030510891776262E-12</c:v>
                </c:pt>
                <c:pt idx="57">
                  <c:v>2.8030510891776262E-12</c:v>
                </c:pt>
                <c:pt idx="58">
                  <c:v>2.8030510891776262E-12</c:v>
                </c:pt>
                <c:pt idx="59">
                  <c:v>2.8030510891776262E-12</c:v>
                </c:pt>
                <c:pt idx="60">
                  <c:v>2.8030510891776262E-12</c:v>
                </c:pt>
                <c:pt idx="61">
                  <c:v>2.8030510891776262E-12</c:v>
                </c:pt>
                <c:pt idx="62">
                  <c:v>2.8030510891776262E-12</c:v>
                </c:pt>
                <c:pt idx="63">
                  <c:v>2.8030510891776262E-12</c:v>
                </c:pt>
                <c:pt idx="64">
                  <c:v>2.8030510891776262E-12</c:v>
                </c:pt>
                <c:pt idx="65">
                  <c:v>2.8030510891776262E-12</c:v>
                </c:pt>
                <c:pt idx="66">
                  <c:v>2.8030510891776262E-12</c:v>
                </c:pt>
                <c:pt idx="67">
                  <c:v>2.8030510891776262E-12</c:v>
                </c:pt>
                <c:pt idx="68">
                  <c:v>2.8030510891776262E-12</c:v>
                </c:pt>
                <c:pt idx="69">
                  <c:v>2.8030510891776262E-12</c:v>
                </c:pt>
                <c:pt idx="70">
                  <c:v>2.8030510891776262E-12</c:v>
                </c:pt>
                <c:pt idx="71">
                  <c:v>2.8030510891776262E-12</c:v>
                </c:pt>
                <c:pt idx="72">
                  <c:v>2.8030510891776262E-12</c:v>
                </c:pt>
                <c:pt idx="73">
                  <c:v>2.8030510891776262E-12</c:v>
                </c:pt>
                <c:pt idx="74">
                  <c:v>2.8030510891776262E-12</c:v>
                </c:pt>
                <c:pt idx="75">
                  <c:v>2.8030510891776262E-12</c:v>
                </c:pt>
                <c:pt idx="76">
                  <c:v>2.8030510891776262E-12</c:v>
                </c:pt>
                <c:pt idx="77">
                  <c:v>2.8030510891776262E-12</c:v>
                </c:pt>
                <c:pt idx="78">
                  <c:v>2.8030510891776262E-12</c:v>
                </c:pt>
                <c:pt idx="79">
                  <c:v>2.8030510891776262E-12</c:v>
                </c:pt>
                <c:pt idx="80">
                  <c:v>2.8030510891776262E-12</c:v>
                </c:pt>
                <c:pt idx="81">
                  <c:v>2.8030510891776262E-12</c:v>
                </c:pt>
                <c:pt idx="82">
                  <c:v>2.8030510891776262E-12</c:v>
                </c:pt>
                <c:pt idx="83">
                  <c:v>2.8030510891776262E-12</c:v>
                </c:pt>
                <c:pt idx="84">
                  <c:v>2.8030510891776262E-12</c:v>
                </c:pt>
                <c:pt idx="85">
                  <c:v>2.8030510891776262E-12</c:v>
                </c:pt>
                <c:pt idx="86">
                  <c:v>2.8030510891776262E-12</c:v>
                </c:pt>
                <c:pt idx="87">
                  <c:v>2.8030510891776262E-12</c:v>
                </c:pt>
                <c:pt idx="88">
                  <c:v>2.8030510891776262E-12</c:v>
                </c:pt>
                <c:pt idx="89">
                  <c:v>2.8030510891776262E-12</c:v>
                </c:pt>
                <c:pt idx="90">
                  <c:v>2.8030510891776262E-12</c:v>
                </c:pt>
                <c:pt idx="91">
                  <c:v>2.8030510891776262E-12</c:v>
                </c:pt>
                <c:pt idx="92">
                  <c:v>2.8030510891776262E-12</c:v>
                </c:pt>
                <c:pt idx="93">
                  <c:v>2.8030510891776262E-12</c:v>
                </c:pt>
                <c:pt idx="94">
                  <c:v>2.8030510891776262E-12</c:v>
                </c:pt>
                <c:pt idx="95">
                  <c:v>2.8030510891776262E-12</c:v>
                </c:pt>
                <c:pt idx="96">
                  <c:v>2.8030510891776262E-12</c:v>
                </c:pt>
                <c:pt idx="97">
                  <c:v>2.8030510891776262E-12</c:v>
                </c:pt>
                <c:pt idx="98">
                  <c:v>2.8030510891776262E-12</c:v>
                </c:pt>
                <c:pt idx="99">
                  <c:v>2.8030510891776262E-12</c:v>
                </c:pt>
                <c:pt idx="100">
                  <c:v>2.8030510891776262E-12</c:v>
                </c:pt>
                <c:pt idx="101">
                  <c:v>2.8030510891776262E-12</c:v>
                </c:pt>
                <c:pt idx="102">
                  <c:v>2.8030510891776262E-12</c:v>
                </c:pt>
                <c:pt idx="103">
                  <c:v>2.8030510891776262E-12</c:v>
                </c:pt>
                <c:pt idx="104">
                  <c:v>2.8030510891776262E-12</c:v>
                </c:pt>
                <c:pt idx="105">
                  <c:v>2.8030510891776262E-12</c:v>
                </c:pt>
                <c:pt idx="106">
                  <c:v>2.8030510891776262E-12</c:v>
                </c:pt>
                <c:pt idx="107">
                  <c:v>2.8030510891776262E-12</c:v>
                </c:pt>
                <c:pt idx="108">
                  <c:v>2.8030510891776262E-12</c:v>
                </c:pt>
                <c:pt idx="109">
                  <c:v>2.8030510891776262E-12</c:v>
                </c:pt>
                <c:pt idx="110">
                  <c:v>2.8030510891776262E-12</c:v>
                </c:pt>
                <c:pt idx="111">
                  <c:v>2.8030510891776262E-12</c:v>
                </c:pt>
                <c:pt idx="112">
                  <c:v>2.8030510891776262E-12</c:v>
                </c:pt>
                <c:pt idx="113">
                  <c:v>2.8030510891776262E-12</c:v>
                </c:pt>
                <c:pt idx="114">
                  <c:v>2.8030510891776262E-12</c:v>
                </c:pt>
                <c:pt idx="115">
                  <c:v>2.8030510891776262E-12</c:v>
                </c:pt>
                <c:pt idx="116">
                  <c:v>2.8030510891776262E-12</c:v>
                </c:pt>
                <c:pt idx="117">
                  <c:v>2.8030510891776262E-12</c:v>
                </c:pt>
                <c:pt idx="118">
                  <c:v>2.8030510891776262E-12</c:v>
                </c:pt>
                <c:pt idx="119">
                  <c:v>2.8030510891776262E-12</c:v>
                </c:pt>
                <c:pt idx="120">
                  <c:v>2.8030510891776262E-12</c:v>
                </c:pt>
                <c:pt idx="121">
                  <c:v>2.8030510891776262E-12</c:v>
                </c:pt>
                <c:pt idx="122">
                  <c:v>2.8030510891776262E-12</c:v>
                </c:pt>
                <c:pt idx="123">
                  <c:v>2.8030510891776262E-12</c:v>
                </c:pt>
                <c:pt idx="124">
                  <c:v>2.8030510891776262E-12</c:v>
                </c:pt>
                <c:pt idx="125">
                  <c:v>2.8030510891776262E-12</c:v>
                </c:pt>
                <c:pt idx="126">
                  <c:v>2.8030510891776262E-12</c:v>
                </c:pt>
                <c:pt idx="127">
                  <c:v>2.8030510891776262E-12</c:v>
                </c:pt>
                <c:pt idx="128">
                  <c:v>2.8030510891776262E-12</c:v>
                </c:pt>
                <c:pt idx="129">
                  <c:v>2.8030510891776262E-12</c:v>
                </c:pt>
                <c:pt idx="130">
                  <c:v>2.8030510891776262E-12</c:v>
                </c:pt>
                <c:pt idx="131">
                  <c:v>2.8030510891776262E-12</c:v>
                </c:pt>
                <c:pt idx="132">
                  <c:v>2.8030510891776262E-12</c:v>
                </c:pt>
                <c:pt idx="133">
                  <c:v>2.8030510891776262E-12</c:v>
                </c:pt>
                <c:pt idx="134">
                  <c:v>2.8030510891776262E-12</c:v>
                </c:pt>
                <c:pt idx="135">
                  <c:v>2.8030510891776262E-12</c:v>
                </c:pt>
                <c:pt idx="136">
                  <c:v>2.8030510891776262E-12</c:v>
                </c:pt>
                <c:pt idx="137">
                  <c:v>2.8030510891776262E-12</c:v>
                </c:pt>
                <c:pt idx="138">
                  <c:v>2.8030510891776262E-12</c:v>
                </c:pt>
                <c:pt idx="139">
                  <c:v>2.8030510891776262E-12</c:v>
                </c:pt>
                <c:pt idx="140">
                  <c:v>2.8030510891776262E-12</c:v>
                </c:pt>
                <c:pt idx="141">
                  <c:v>2.8030510891776262E-12</c:v>
                </c:pt>
                <c:pt idx="142">
                  <c:v>2.8030510891776262E-12</c:v>
                </c:pt>
                <c:pt idx="143">
                  <c:v>2.8030510891776262E-12</c:v>
                </c:pt>
                <c:pt idx="144">
                  <c:v>2.8030510891776262E-12</c:v>
                </c:pt>
                <c:pt idx="145">
                  <c:v>2.8030510891776262E-12</c:v>
                </c:pt>
                <c:pt idx="146">
                  <c:v>2.8030510891776262E-12</c:v>
                </c:pt>
                <c:pt idx="147">
                  <c:v>2.8030510891776262E-12</c:v>
                </c:pt>
                <c:pt idx="148">
                  <c:v>2.8030510891776262E-12</c:v>
                </c:pt>
                <c:pt idx="149">
                  <c:v>2.8030510891776262E-12</c:v>
                </c:pt>
                <c:pt idx="150">
                  <c:v>2.8030510891776262E-12</c:v>
                </c:pt>
                <c:pt idx="151">
                  <c:v>2.8030510891776262E-12</c:v>
                </c:pt>
                <c:pt idx="152">
                  <c:v>2.8030510891776262E-12</c:v>
                </c:pt>
                <c:pt idx="153">
                  <c:v>2.8030510891776262E-12</c:v>
                </c:pt>
                <c:pt idx="154">
                  <c:v>2.8030510891776262E-12</c:v>
                </c:pt>
                <c:pt idx="155">
                  <c:v>2.8030510891776262E-12</c:v>
                </c:pt>
                <c:pt idx="156">
                  <c:v>2.8030510891776262E-12</c:v>
                </c:pt>
                <c:pt idx="157">
                  <c:v>2.8030510891776262E-12</c:v>
                </c:pt>
                <c:pt idx="158">
                  <c:v>2.8030510891776262E-12</c:v>
                </c:pt>
                <c:pt idx="159">
                  <c:v>2.8030510891776262E-12</c:v>
                </c:pt>
                <c:pt idx="160">
                  <c:v>2.8030510891776262E-12</c:v>
                </c:pt>
                <c:pt idx="161">
                  <c:v>2.8030510891776262E-12</c:v>
                </c:pt>
                <c:pt idx="162">
                  <c:v>2.8030510891776262E-12</c:v>
                </c:pt>
                <c:pt idx="163">
                  <c:v>2.8030510891776262E-12</c:v>
                </c:pt>
                <c:pt idx="164">
                  <c:v>2.8030510891776262E-12</c:v>
                </c:pt>
                <c:pt idx="165">
                  <c:v>2.8030510891776262E-12</c:v>
                </c:pt>
                <c:pt idx="166">
                  <c:v>2.8030510891776262E-12</c:v>
                </c:pt>
                <c:pt idx="167">
                  <c:v>2.8030510891776262E-12</c:v>
                </c:pt>
                <c:pt idx="168">
                  <c:v>2.8030510891776262E-12</c:v>
                </c:pt>
                <c:pt idx="169">
                  <c:v>2.8030510891776262E-12</c:v>
                </c:pt>
                <c:pt idx="170">
                  <c:v>2.8030510891776262E-12</c:v>
                </c:pt>
                <c:pt idx="171">
                  <c:v>2.8030510891776262E-12</c:v>
                </c:pt>
                <c:pt idx="172">
                  <c:v>2.8030510891776262E-12</c:v>
                </c:pt>
                <c:pt idx="173">
                  <c:v>2.8030510891776262E-12</c:v>
                </c:pt>
                <c:pt idx="174">
                  <c:v>2.8030510891776262E-12</c:v>
                </c:pt>
                <c:pt idx="175">
                  <c:v>2.8030510891776262E-12</c:v>
                </c:pt>
                <c:pt idx="176">
                  <c:v>2.8030510891776262E-12</c:v>
                </c:pt>
                <c:pt idx="177">
                  <c:v>2.8030510891776262E-12</c:v>
                </c:pt>
                <c:pt idx="178">
                  <c:v>2.8030510891776262E-12</c:v>
                </c:pt>
                <c:pt idx="179">
                  <c:v>2.8030510891776262E-12</c:v>
                </c:pt>
                <c:pt idx="180">
                  <c:v>2.8030510891776262E-12</c:v>
                </c:pt>
                <c:pt idx="181">
                  <c:v>2.8030510891776262E-12</c:v>
                </c:pt>
                <c:pt idx="182">
                  <c:v>2.8030510891776262E-12</c:v>
                </c:pt>
                <c:pt idx="183">
                  <c:v>2.8030510891776262E-12</c:v>
                </c:pt>
                <c:pt idx="184">
                  <c:v>2.8030510891776262E-12</c:v>
                </c:pt>
                <c:pt idx="185">
                  <c:v>2.8030510891776262E-12</c:v>
                </c:pt>
                <c:pt idx="186">
                  <c:v>2.8030510891776262E-12</c:v>
                </c:pt>
                <c:pt idx="187">
                  <c:v>2.8030510891776262E-12</c:v>
                </c:pt>
                <c:pt idx="188">
                  <c:v>2.8030510891776262E-12</c:v>
                </c:pt>
                <c:pt idx="189">
                  <c:v>2.8030510891776262E-12</c:v>
                </c:pt>
                <c:pt idx="190">
                  <c:v>2.8030510891776262E-12</c:v>
                </c:pt>
                <c:pt idx="191">
                  <c:v>2.8030510891776262E-12</c:v>
                </c:pt>
                <c:pt idx="192">
                  <c:v>2.8030510891776262E-12</c:v>
                </c:pt>
                <c:pt idx="193">
                  <c:v>2.8030510891776262E-12</c:v>
                </c:pt>
                <c:pt idx="194">
                  <c:v>2.8030510891776262E-12</c:v>
                </c:pt>
                <c:pt idx="195">
                  <c:v>2.8030510891776262E-12</c:v>
                </c:pt>
                <c:pt idx="196">
                  <c:v>2.8030510891776262E-12</c:v>
                </c:pt>
                <c:pt idx="197">
                  <c:v>2.8030510891776262E-12</c:v>
                </c:pt>
                <c:pt idx="198">
                  <c:v>2.8030510891776262E-12</c:v>
                </c:pt>
                <c:pt idx="199">
                  <c:v>2.8030510891776262E-12</c:v>
                </c:pt>
                <c:pt idx="200">
                  <c:v>2.8030510891776262E-12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0" zoomScale="80" zoomScaleNormal="80" workbookViewId="0">
      <selection activeCell="C53" sqref="C53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" zoomScale="80" zoomScaleNormal="80" workbookViewId="0">
      <selection activeCell="C5" sqref="C5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3.44</v>
      </c>
      <c r="D5" s="269" t="s">
        <v>229</v>
      </c>
      <c r="E5" s="270"/>
      <c r="F5" s="90"/>
      <c r="G5" s="218"/>
      <c r="H5" s="218"/>
      <c r="I5" s="218" t="s">
        <v>324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156</v>
      </c>
      <c r="C9" s="32">
        <v>1</v>
      </c>
      <c r="D9" s="33">
        <f t="shared" ref="D9:D18" si="0">C9*$C$5</f>
        <v>3.44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3.44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Séquoia toujours vert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18</v>
      </c>
      <c r="B36" s="60">
        <v>202.31</v>
      </c>
      <c r="C36" s="60">
        <v>1</v>
      </c>
      <c r="D36" s="60">
        <v>74.819999999999993</v>
      </c>
      <c r="E36" s="51">
        <v>0</v>
      </c>
      <c r="F36" s="51">
        <v>1</v>
      </c>
      <c r="G36" s="51">
        <v>0</v>
      </c>
      <c r="H36" s="51">
        <v>0</v>
      </c>
      <c r="I36" s="49">
        <f>IFERROR(B36/A36,"")</f>
        <v>11.239444444444445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24</v>
      </c>
      <c r="B37" s="60">
        <v>289.08999999999997</v>
      </c>
      <c r="C37" s="60">
        <v>2</v>
      </c>
      <c r="D37" s="60">
        <v>51.39</v>
      </c>
      <c r="E37" s="51">
        <v>0</v>
      </c>
      <c r="F37" s="51">
        <v>1</v>
      </c>
      <c r="G37" s="51">
        <v>0</v>
      </c>
      <c r="H37" s="51">
        <v>0</v>
      </c>
      <c r="I37" s="53">
        <f t="shared" ref="I37:I55" si="1">IF(A37&lt;&gt;0,(B37-(B36-D36))/(A37-A36),"")</f>
        <v>26.933333333333326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30</v>
      </c>
      <c r="B38" s="60">
        <v>410.56</v>
      </c>
      <c r="C38" s="60">
        <v>3</v>
      </c>
      <c r="D38" s="60">
        <v>80.97</v>
      </c>
      <c r="E38" s="51">
        <v>0</v>
      </c>
      <c r="F38" s="51">
        <v>1</v>
      </c>
      <c r="G38" s="51">
        <v>0</v>
      </c>
      <c r="H38" s="51">
        <v>0</v>
      </c>
      <c r="I38" s="53">
        <f t="shared" si="1"/>
        <v>28.810000000000002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36</v>
      </c>
      <c r="B39" s="60">
        <v>501.41</v>
      </c>
      <c r="C39" s="60">
        <v>4</v>
      </c>
      <c r="D39" s="60">
        <v>85.88</v>
      </c>
      <c r="E39" s="51">
        <v>0</v>
      </c>
      <c r="F39" s="51">
        <v>1</v>
      </c>
      <c r="G39" s="51">
        <v>0</v>
      </c>
      <c r="H39" s="51">
        <v>0</v>
      </c>
      <c r="I39" s="49">
        <f t="shared" si="1"/>
        <v>28.636666666666667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42</v>
      </c>
      <c r="B40" s="60">
        <v>583.89</v>
      </c>
      <c r="C40" s="60">
        <v>5</v>
      </c>
      <c r="D40" s="60">
        <v>91.25</v>
      </c>
      <c r="E40" s="51">
        <v>0.5</v>
      </c>
      <c r="F40" s="51">
        <v>0.5</v>
      </c>
      <c r="G40" s="51">
        <v>0</v>
      </c>
      <c r="H40" s="51">
        <v>0</v>
      </c>
      <c r="I40" s="49">
        <f t="shared" si="1"/>
        <v>28.059999999999992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48</v>
      </c>
      <c r="B41" s="60">
        <v>655.04999999999995</v>
      </c>
      <c r="C41" s="60">
        <v>6</v>
      </c>
      <c r="D41" s="60">
        <v>101.34</v>
      </c>
      <c r="E41" s="51">
        <v>0.5</v>
      </c>
      <c r="F41" s="51">
        <v>0.5</v>
      </c>
      <c r="G41" s="51">
        <v>0</v>
      </c>
      <c r="H41" s="51">
        <v>0</v>
      </c>
      <c r="I41" s="53">
        <f t="shared" si="1"/>
        <v>27.068333333333328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54</v>
      </c>
      <c r="B42" s="60">
        <v>707.75</v>
      </c>
      <c r="C42" s="60">
        <v>7</v>
      </c>
      <c r="D42" s="60">
        <v>707.75</v>
      </c>
      <c r="E42" s="51">
        <v>0.7</v>
      </c>
      <c r="F42" s="51">
        <v>0.3</v>
      </c>
      <c r="G42" s="51">
        <v>0</v>
      </c>
      <c r="H42" s="51">
        <v>0</v>
      </c>
      <c r="I42" s="53">
        <f t="shared" si="1"/>
        <v>25.673333333333346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8" sqref="B1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Séquoia toujours vert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/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327.09084560210488</v>
      </c>
      <c r="T3" s="59">
        <f>IF('Données projet'!E9&gt;30,$R$33-$H$33,LOOKUP('Données projet'!$E$9,$A$3:$A$203,R3:R203)-LOOKUP('Données projet'!$E$9,$A$3:$A$203,$H$3:$H$203))</f>
        <v>432.22711671615133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11.239444444444445</v>
      </c>
      <c r="N4" s="13">
        <f>IF('Données projet'!$A$36&gt;35,N3+M4-V3,IF(A4&lt;'Données projet'!$A$36,$K$205^A4,IF(A4='Données projet'!$A$36,'Données projet'!$B$36,N3+M4-V3)))</f>
        <v>1.3431115227802051</v>
      </c>
      <c r="O4" s="13">
        <f>N4*VLOOKUP('Données projet'!$B$9,Paramètres!$A$1:$I$89,3,0)*VLOOKUP('Données projet'!$B$9,Paramètres!$A$1:$I$89,5,0)</f>
        <v>0.59365529306885068</v>
      </c>
      <c r="P4" s="13">
        <f>EXP(-1.0587+0.8836*LN(O4)+0.284)</f>
        <v>0.29070132518488428</v>
      </c>
      <c r="Q4" s="20">
        <f t="shared" ref="Q4:Q34" si="2">(O4+P4)*0.475*44/12</f>
        <v>1.5402544434585883</v>
      </c>
      <c r="R4" s="59">
        <f t="shared" si="0"/>
        <v>259.42914333234745</v>
      </c>
      <c r="S4" s="59">
        <f ca="1">AVERAGE(OFFSET($R$3,0,0,'Données projet'!$E$9+1,1))-AVERAGE(OFFSET($H$3,0,0,'Données projet'!$E$9+1,1))</f>
        <v>327.09084560210488</v>
      </c>
      <c r="T4" s="59">
        <f>$T$3</f>
        <v>432.22711671615133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11.239444444444445</v>
      </c>
      <c r="N5" s="13">
        <f>IF('Données projet'!$A$36&gt;35,N4+M5-V4,IF(A5&lt;'Données projet'!$A$36,$K$205^A5,IF(A5='Données projet'!$A$36,'Données projet'!$B$36,N4+M5-V4)))</f>
        <v>1.8039485626249614</v>
      </c>
      <c r="O5" s="13">
        <f>N5*VLOOKUP('Données projet'!$B$9,Paramètres!$A$1:$I$89,3,0)*VLOOKUP('Données projet'!$B$9,Paramètres!$A$1:$I$89,5,0)</f>
        <v>0.79734526468023303</v>
      </c>
      <c r="P5" s="13">
        <f t="shared" ref="P5:P68" si="33">EXP(-1.0587+0.8836*LN(O5)+0.284)</f>
        <v>0.37726528209686516</v>
      </c>
      <c r="Q5" s="20">
        <f t="shared" si="2"/>
        <v>2.045780035636779</v>
      </c>
      <c r="R5" s="59">
        <f t="shared" si="0"/>
        <v>261.15689114674791</v>
      </c>
      <c r="S5" s="59">
        <f ca="1">AVERAGE(OFFSET($R$3,0,0,'Données projet'!$E$9+1,1))-AVERAGE(OFFSET($H$3,0,0,'Données projet'!$E$9+1,1))</f>
        <v>327.09084560210488</v>
      </c>
      <c r="T5" s="59">
        <f t="shared" ref="T5:T68" si="34">$T$3</f>
        <v>432.22711671615133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11.239444444444445</v>
      </c>
      <c r="N6" s="13">
        <f>IF('Données projet'!$A$36&gt;35,N5+M6-V5,IF(A6&lt;'Données projet'!$A$36,$K$205^A6,IF(A6='Données projet'!$A$36,'Données projet'!$B$36,N5+M6-V5)))</f>
        <v>2.4229041009643741</v>
      </c>
      <c r="O6" s="13">
        <f>N6*VLOOKUP('Données projet'!$B$9,Paramètres!$A$1:$I$89,3,0)*VLOOKUP('Données projet'!$B$9,Paramètres!$A$1:$I$89,5,0)</f>
        <v>1.0709236126262536</v>
      </c>
      <c r="P6" s="13">
        <f t="shared" si="33"/>
        <v>0.48960593139748082</v>
      </c>
      <c r="Q6" s="20">
        <f t="shared" si="2"/>
        <v>2.717922289174671</v>
      </c>
      <c r="R6" s="59">
        <f t="shared" si="0"/>
        <v>263.05125562250799</v>
      </c>
      <c r="S6" s="59">
        <f ca="1">AVERAGE(OFFSET($R$3,0,0,'Données projet'!$E$9+1,1))-AVERAGE(OFFSET($H$3,0,0,'Données projet'!$E$9+1,1))</f>
        <v>327.09084560210488</v>
      </c>
      <c r="T6" s="59">
        <f t="shared" si="34"/>
        <v>432.22711671615133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11.239444444444445</v>
      </c>
      <c r="N7" s="13">
        <f>IF('Données projet'!$A$36&gt;35,N6+M7-V6,IF(A7&lt;'Données projet'!$A$36,$K$205^A7,IF(A7='Données projet'!$A$36,'Données projet'!$B$36,N6+M7-V6)))</f>
        <v>3.2542304165966645</v>
      </c>
      <c r="O7" s="13">
        <f>N7*VLOOKUP('Données projet'!$B$9,Paramètres!$A$1:$I$89,3,0)*VLOOKUP('Données projet'!$B$9,Paramètres!$A$1:$I$89,5,0)</f>
        <v>1.438369844135726</v>
      </c>
      <c r="P7" s="13">
        <f t="shared" si="33"/>
        <v>0.63539896045363298</v>
      </c>
      <c r="Q7" s="20">
        <f t="shared" si="2"/>
        <v>3.6118140013264668</v>
      </c>
      <c r="R7" s="59">
        <f t="shared" si="0"/>
        <v>265.16736955688202</v>
      </c>
      <c r="S7" s="59">
        <f ca="1">AVERAGE(OFFSET($R$3,0,0,'Données projet'!$E$9+1,1))-AVERAGE(OFFSET($H$3,0,0,'Données projet'!$E$9+1,1))</f>
        <v>327.09084560210488</v>
      </c>
      <c r="T7" s="59">
        <f t="shared" si="34"/>
        <v>432.22711671615133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11.239444444444445</v>
      </c>
      <c r="N8" s="13">
        <f>IF('Données projet'!$A$36&gt;35,N7+M8-V7,IF(A8&lt;'Données projet'!$A$36,$K$205^A8,IF(A8='Données projet'!$A$36,'Données projet'!$B$36,N7+M8-V7)))</f>
        <v>4.3707943703128072</v>
      </c>
      <c r="O8" s="13">
        <f>N8*VLOOKUP('Données projet'!$B$9,Paramètres!$A$1:$I$89,3,0)*VLOOKUP('Données projet'!$B$9,Paramètres!$A$1:$I$89,5,0)</f>
        <v>1.9318911116782609</v>
      </c>
      <c r="P8" s="13">
        <f t="shared" si="33"/>
        <v>0.82460569420224694</v>
      </c>
      <c r="Q8" s="20">
        <f t="shared" si="2"/>
        <v>4.8008986035752175</v>
      </c>
      <c r="R8" s="59">
        <f t="shared" si="0"/>
        <v>267.57867638135298</v>
      </c>
      <c r="S8" s="59">
        <f ca="1">AVERAGE(OFFSET($R$3,0,0,'Données projet'!$E$9+1,1))-AVERAGE(OFFSET($H$3,0,0,'Données projet'!$E$9+1,1))</f>
        <v>327.09084560210488</v>
      </c>
      <c r="T8" s="59">
        <f t="shared" si="34"/>
        <v>432.22711671615133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11.239444444444445</v>
      </c>
      <c r="N9" s="13">
        <f>IF('Données projet'!$A$36&gt;35,N8+M9-V8,IF(A9&lt;'Données projet'!$A$36,$K$205^A9,IF(A9='Données projet'!$A$36,'Données projet'!$B$36,N8+M9-V8)))</f>
        <v>5.8704642824699818</v>
      </c>
      <c r="O9" s="13">
        <f>N9*VLOOKUP('Données projet'!$B$9,Paramètres!$A$1:$I$89,3,0)*VLOOKUP('Données projet'!$B$9,Paramètres!$A$1:$I$89,5,0)</f>
        <v>2.5947452128517323</v>
      </c>
      <c r="P9" s="13">
        <f t="shared" si="33"/>
        <v>1.0701537037852764</v>
      </c>
      <c r="Q9" s="20">
        <f t="shared" si="2"/>
        <v>6.3830322798094565</v>
      </c>
      <c r="R9" s="59">
        <f t="shared" si="0"/>
        <v>270.38303227980947</v>
      </c>
      <c r="S9" s="59">
        <f ca="1">AVERAGE(OFFSET($R$3,0,0,'Données projet'!$E$9+1,1))-AVERAGE(OFFSET($H$3,0,0,'Données projet'!$E$9+1,1))</f>
        <v>327.09084560210488</v>
      </c>
      <c r="T9" s="59">
        <f t="shared" si="34"/>
        <v>432.22711671615133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11.239444444444445</v>
      </c>
      <c r="N10" s="13">
        <f>IF('Données projet'!$A$36&gt;35,N9+M10-V9,IF(A10&lt;'Données projet'!$A$36,$K$205^A10,IF(A10='Données projet'!$A$36,'Données projet'!$B$36,N9+M10-V9)))</f>
        <v>7.884688221855062</v>
      </c>
      <c r="O10" s="13">
        <f>N10*VLOOKUP('Données projet'!$B$9,Paramètres!$A$1:$I$89,3,0)*VLOOKUP('Données projet'!$B$9,Paramètres!$A$1:$I$89,5,0)</f>
        <v>3.4850321940599378</v>
      </c>
      <c r="P10" s="13">
        <f t="shared" si="33"/>
        <v>1.3888200842868066</v>
      </c>
      <c r="Q10" s="20">
        <f t="shared" si="2"/>
        <v>8.4886260514539114</v>
      </c>
      <c r="R10" s="59">
        <f t="shared" si="0"/>
        <v>273.71084827367616</v>
      </c>
      <c r="S10" s="59">
        <f ca="1">AVERAGE(OFFSET($R$3,0,0,'Données projet'!$E$9+1,1))-AVERAGE(OFFSET($H$3,0,0,'Données projet'!$E$9+1,1))</f>
        <v>327.09084560210488</v>
      </c>
      <c r="T10" s="59">
        <f t="shared" si="34"/>
        <v>432.22711671615133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11.239444444444445</v>
      </c>
      <c r="N11" s="13">
        <f>IF('Données projet'!$A$36&gt;35,N10+M11-V10,IF(A11&lt;'Données projet'!$A$36,$K$205^A11,IF(A11='Données projet'!$A$36,'Données projet'!$B$36,N10+M11-V10)))</f>
        <v>10.5900156043029</v>
      </c>
      <c r="O11" s="13">
        <f>N11*VLOOKUP('Données projet'!$B$9,Paramètres!$A$1:$I$89,3,0)*VLOOKUP('Données projet'!$B$9,Paramètres!$A$1:$I$89,5,0)</f>
        <v>4.680786897101882</v>
      </c>
      <c r="P11" s="13">
        <f t="shared" si="33"/>
        <v>1.8023777516219532</v>
      </c>
      <c r="Q11" s="20">
        <f t="shared" si="2"/>
        <v>11.291511763194011</v>
      </c>
      <c r="R11" s="59">
        <f t="shared" si="0"/>
        <v>277.73595620763848</v>
      </c>
      <c r="S11" s="59">
        <f ca="1">AVERAGE(OFFSET($R$3,0,0,'Données projet'!$E$9+1,1))-AVERAGE(OFFSET($H$3,0,0,'Données projet'!$E$9+1,1))</f>
        <v>327.09084560210488</v>
      </c>
      <c r="T11" s="59">
        <f t="shared" si="34"/>
        <v>432.22711671615133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11.239444444444445</v>
      </c>
      <c r="N12" s="13">
        <f>IF('Données projet'!$A$36&gt;35,N11+M12-V11,IF(A12&lt;'Données projet'!$A$36,$K$205^A12,IF(A12='Données projet'!$A$36,'Données projet'!$B$36,N11+M12-V11)))</f>
        <v>14.223571984561403</v>
      </c>
      <c r="O12" s="13">
        <f>N12*VLOOKUP('Données projet'!$B$9,Paramètres!$A$1:$I$89,3,0)*VLOOKUP('Données projet'!$B$9,Paramètres!$A$1:$I$89,5,0)</f>
        <v>6.2868188171761403</v>
      </c>
      <c r="P12" s="13">
        <f t="shared" si="33"/>
        <v>2.339083079440075</v>
      </c>
      <c r="Q12" s="20">
        <f t="shared" si="2"/>
        <v>15.023445803273242</v>
      </c>
      <c r="R12" s="59">
        <f t="shared" si="0"/>
        <v>282.69011246993995</v>
      </c>
      <c r="S12" s="59">
        <f ca="1">AVERAGE(OFFSET($R$3,0,0,'Données projet'!$E$9+1,1))-AVERAGE(OFFSET($H$3,0,0,'Données projet'!$E$9+1,1))</f>
        <v>327.09084560210488</v>
      </c>
      <c r="T12" s="59">
        <f t="shared" si="34"/>
        <v>432.22711671615133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11.239444444444445</v>
      </c>
      <c r="N13" s="13">
        <f>IF('Données projet'!$A$36&gt;35,N12+M13-V12,IF(A13&lt;'Données projet'!$A$36,$K$205^A13,IF(A13='Données projet'!$A$36,'Données projet'!$B$36,N12+M13-V12)))</f>
        <v>19.103843427558129</v>
      </c>
      <c r="O13" s="13">
        <f>N13*VLOOKUP('Données projet'!$B$9,Paramètres!$A$1:$I$89,3,0)*VLOOKUP('Données projet'!$B$9,Paramètres!$A$1:$I$89,5,0)</f>
        <v>8.4438987949806936</v>
      </c>
      <c r="P13" s="13">
        <f t="shared" si="33"/>
        <v>3.0356065189992774</v>
      </c>
      <c r="Q13" s="20">
        <f t="shared" si="2"/>
        <v>19.99347175518178</v>
      </c>
      <c r="R13" s="59">
        <f t="shared" si="0"/>
        <v>288.88236064407062</v>
      </c>
      <c r="S13" s="59">
        <f ca="1">AVERAGE(OFFSET($R$3,0,0,'Données projet'!$E$9+1,1))-AVERAGE(OFFSET($H$3,0,0,'Données projet'!$E$9+1,1))</f>
        <v>327.09084560210488</v>
      </c>
      <c r="T13" s="59">
        <f t="shared" si="34"/>
        <v>432.22711671615133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11.239444444444445</v>
      </c>
      <c r="N14" s="13">
        <f>IF('Données projet'!$A$36&gt;35,N13+M14-V13,IF(A14&lt;'Données projet'!$A$36,$K$205^A14,IF(A14='Données projet'!$A$36,'Données projet'!$B$36,N13+M14-V13)))</f>
        <v>25.658592236942212</v>
      </c>
      <c r="O14" s="13">
        <f>N14*VLOOKUP('Données projet'!$B$9,Paramètres!$A$1:$I$89,3,0)*VLOOKUP('Données projet'!$B$9,Paramètres!$A$1:$I$89,5,0)</f>
        <v>11.341097768728458</v>
      </c>
      <c r="P14" s="13">
        <f t="shared" si="33"/>
        <v>3.9395381118300254</v>
      </c>
      <c r="Q14" s="20">
        <f t="shared" si="2"/>
        <v>26.613774158639355</v>
      </c>
      <c r="R14" s="59">
        <f t="shared" si="0"/>
        <v>296.72488526975047</v>
      </c>
      <c r="S14" s="59">
        <f ca="1">AVERAGE(OFFSET($R$3,0,0,'Données projet'!$E$9+1,1))-AVERAGE(OFFSET($H$3,0,0,'Données projet'!$E$9+1,1))</f>
        <v>327.09084560210488</v>
      </c>
      <c r="T14" s="59">
        <f t="shared" si="34"/>
        <v>432.22711671615133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11.239444444444445</v>
      </c>
      <c r="N15" s="13">
        <f>IF('Données projet'!$A$36&gt;35,N14+M15-V14,IF(A15&lt;'Données projet'!$A$36,$K$205^A15,IF(A15='Données projet'!$A$36,'Données projet'!$B$36,N14+M15-V14)))</f>
        <v>34.462350891755804</v>
      </c>
      <c r="O15" s="13">
        <f>N15*VLOOKUP('Données projet'!$B$9,Paramètres!$A$1:$I$89,3,0)*VLOOKUP('Données projet'!$B$9,Paramètres!$A$1:$I$89,5,0)</f>
        <v>15.232359094156067</v>
      </c>
      <c r="P15" s="13">
        <f t="shared" si="33"/>
        <v>5.1126390846194427</v>
      </c>
      <c r="Q15" s="20">
        <f t="shared" si="2"/>
        <v>35.434205161367345</v>
      </c>
      <c r="R15" s="59">
        <f t="shared" si="0"/>
        <v>306.76753849470066</v>
      </c>
      <c r="S15" s="59">
        <f ca="1">AVERAGE(OFFSET($R$3,0,0,'Données projet'!$E$9+1,1))-AVERAGE(OFFSET($H$3,0,0,'Données projet'!$E$9+1,1))</f>
        <v>327.09084560210488</v>
      </c>
      <c r="T15" s="59">
        <f t="shared" si="34"/>
        <v>432.22711671615133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11.239444444444445</v>
      </c>
      <c r="N16" s="13">
        <f>IF('Données projet'!$A$36&gt;35,N15+M16-V15,IF(A16&lt;'Données projet'!$A$36,$K$205^A16,IF(A16='Données projet'!$A$36,'Données projet'!$B$36,N15+M16-V15)))</f>
        <v>46.2867805848119</v>
      </c>
      <c r="O16" s="13">
        <f>N16*VLOOKUP('Données projet'!$B$9,Paramètres!$A$1:$I$89,3,0)*VLOOKUP('Données projet'!$B$9,Paramètres!$A$1:$I$89,5,0)</f>
        <v>20.458757018486864</v>
      </c>
      <c r="P16" s="13">
        <f t="shared" si="33"/>
        <v>6.6350616918987022</v>
      </c>
      <c r="Q16" s="20">
        <f t="shared" si="2"/>
        <v>47.188400920588187</v>
      </c>
      <c r="R16" s="59">
        <f t="shared" si="0"/>
        <v>319.74395647614375</v>
      </c>
      <c r="S16" s="59">
        <f ca="1">AVERAGE(OFFSET($R$3,0,0,'Données projet'!$E$9+1,1))-AVERAGE(OFFSET($H$3,0,0,'Données projet'!$E$9+1,1))</f>
        <v>327.09084560210488</v>
      </c>
      <c r="T16" s="59">
        <f t="shared" si="34"/>
        <v>432.22711671615133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11.239444444444445</v>
      </c>
      <c r="N17" s="13">
        <f>IF('Données projet'!$A$36&gt;35,N16+M17-V16,IF(A17&lt;'Données projet'!$A$36,$K$205^A17,IF(A17='Données projet'!$A$36,'Données projet'!$B$36,N16+M17-V16)))</f>
        <v>62.168308355859935</v>
      </c>
      <c r="O17" s="13">
        <f>N17*VLOOKUP('Données projet'!$B$9,Paramètres!$A$1:$I$89,3,0)*VLOOKUP('Données projet'!$B$9,Paramètres!$A$1:$I$89,5,0)</f>
        <v>27.478392293290092</v>
      </c>
      <c r="P17" s="13">
        <f t="shared" si="33"/>
        <v>8.6108256277547373</v>
      </c>
      <c r="Q17" s="20">
        <f t="shared" si="2"/>
        <v>62.855387879153078</v>
      </c>
      <c r="R17" s="59">
        <f t="shared" si="0"/>
        <v>336.63316565693083</v>
      </c>
      <c r="S17" s="59">
        <f ca="1">AVERAGE(OFFSET($R$3,0,0,'Données projet'!$E$9+1,1))-AVERAGE(OFFSET($H$3,0,0,'Données projet'!$E$9+1,1))</f>
        <v>327.09084560210488</v>
      </c>
      <c r="T17" s="59">
        <f t="shared" si="34"/>
        <v>432.22711671615133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11.239444444444445</v>
      </c>
      <c r="N18" s="13">
        <f>IF('Données projet'!$A$36&gt;35,N17+M18-V17,IF(A18&lt;'Données projet'!$A$36,$K$205^A18,IF(A18='Données projet'!$A$36,'Données projet'!$B$36,N17+M18-V17)))</f>
        <v>83.498971304508402</v>
      </c>
      <c r="O18" s="13">
        <f>N18*VLOOKUP('Données projet'!$B$9,Paramètres!$A$1:$I$89,3,0)*VLOOKUP('Données projet'!$B$9,Paramètres!$A$1:$I$89,5,0)</f>
        <v>36.90654531659272</v>
      </c>
      <c r="P18" s="13">
        <f t="shared" si="33"/>
        <v>11.174925183006096</v>
      </c>
      <c r="Q18" s="20">
        <f t="shared" si="2"/>
        <v>83.741894453467935</v>
      </c>
      <c r="R18" s="59">
        <f t="shared" si="0"/>
        <v>358.74189445346792</v>
      </c>
      <c r="S18" s="59">
        <f ca="1">AVERAGE(OFFSET($R$3,0,0,'Données projet'!$E$9+1,1))-AVERAGE(OFFSET($H$3,0,0,'Données projet'!$E$9+1,1))</f>
        <v>327.09084560210488</v>
      </c>
      <c r="T18" s="59">
        <f t="shared" si="34"/>
        <v>432.22711671615133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11.239444444444445</v>
      </c>
      <c r="N19" s="13">
        <f>IF('Données projet'!$A$36&gt;35,N18+M19-V18,IF(A19&lt;'Données projet'!$A$36,$K$205^A19,IF(A19='Données projet'!$A$36,'Données projet'!$B$36,N18+M19-V18)))</f>
        <v>112.14843049937892</v>
      </c>
      <c r="O19" s="13">
        <f>N19*VLOOKUP('Données projet'!$B$9,Paramètres!$A$1:$I$89,3,0)*VLOOKUP('Données projet'!$B$9,Paramètres!$A$1:$I$89,5,0)</f>
        <v>49.569606280725488</v>
      </c>
      <c r="P19" s="13">
        <f t="shared" si="33"/>
        <v>14.502552745147833</v>
      </c>
      <c r="Q19" s="20">
        <f t="shared" si="2"/>
        <v>111.59234363672935</v>
      </c>
      <c r="R19" s="59">
        <f t="shared" si="0"/>
        <v>387.8145658589516</v>
      </c>
      <c r="S19" s="59">
        <f ca="1">AVERAGE(OFFSET($R$3,0,0,'Données projet'!$E$9+1,1))-AVERAGE(OFFSET($H$3,0,0,'Données projet'!$E$9+1,1))</f>
        <v>327.09084560210488</v>
      </c>
      <c r="T19" s="59">
        <f t="shared" si="34"/>
        <v>432.22711671615133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11.239444444444445</v>
      </c>
      <c r="N20" s="13">
        <f>IF('Données projet'!$A$36&gt;35,N19+M20-V19,IF(A20&lt;'Données projet'!$A$36,$K$205^A20,IF(A20='Données projet'!$A$36,'Données projet'!$B$36,N19+M20-V19)))</f>
        <v>150.62784926543083</v>
      </c>
      <c r="O20" s="13">
        <f>N20*VLOOKUP('Données projet'!$B$9,Paramètres!$A$1:$I$89,3,0)*VLOOKUP('Données projet'!$B$9,Paramètres!$A$1:$I$89,5,0)</f>
        <v>66.577509375320432</v>
      </c>
      <c r="P20" s="13">
        <f t="shared" si="33"/>
        <v>18.821068837725953</v>
      </c>
      <c r="Q20" s="20">
        <f t="shared" si="2"/>
        <v>148.73585705438913</v>
      </c>
      <c r="R20" s="59">
        <f t="shared" si="0"/>
        <v>426.18030149883361</v>
      </c>
      <c r="S20" s="59">
        <f ca="1">AVERAGE(OFFSET($R$3,0,0,'Données projet'!$E$9+1,1))-AVERAGE(OFFSET($H$3,0,0,'Données projet'!$E$9+1,1))</f>
        <v>327.09084560210488</v>
      </c>
      <c r="T20" s="59">
        <f t="shared" si="34"/>
        <v>432.22711671615133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202.31</v>
      </c>
      <c r="L21" s="12">
        <f>VLOOKUP(A21,'Données projet'!$A$35:$I$55,9,0)</f>
        <v>11.239444444444445</v>
      </c>
      <c r="M21" s="12">
        <f t="array" ref="M21">INDEX(L:L,MIN(IF(ISNUMBER(L21:L217),ROW(L21:L217),"")))</f>
        <v>11.239444444444445</v>
      </c>
      <c r="N21" s="13">
        <f>IF('Données projet'!$A$36&gt;35,N20+M21-V20,IF(A21&lt;'Données projet'!$A$36,$K$205^A21,IF(A21='Données projet'!$A$36,'Données projet'!$B$36,N20+M21-V20)))</f>
        <v>202.31</v>
      </c>
      <c r="O21" s="13">
        <f>N21*VLOOKUP('Données projet'!$B$9,Paramètres!$A$1:$I$89,3,0)*VLOOKUP('Données projet'!$B$9,Paramètres!$A$1:$I$89,5,0)</f>
        <v>89.421020000000013</v>
      </c>
      <c r="P21" s="13">
        <f t="shared" si="33"/>
        <v>24.425536553413707</v>
      </c>
      <c r="Q21" s="20">
        <f t="shared" si="2"/>
        <v>198.2827526638622</v>
      </c>
      <c r="R21" s="59">
        <f t="shared" si="0"/>
        <v>476.94941933052888</v>
      </c>
      <c r="S21" s="59">
        <f ca="1">AVERAGE(OFFSET($R$3,0,0,'Données projet'!$E$9+1,1))-AVERAGE(OFFSET($H$3,0,0,'Données projet'!$E$9+1,1))</f>
        <v>327.09084560210488</v>
      </c>
      <c r="T21" s="59">
        <f t="shared" si="34"/>
        <v>432.22711671615133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74.819999999999993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0.55000000000000004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24.033535376094324</v>
      </c>
      <c r="AB21" s="21">
        <f>EXP(-LN(2)/2)*AB20+(1-EXP(-LN(2)/2))/(LN(2)/2)*V21*Y21*VLOOKUP('Données projet'!$B$9,Paramètres!$A$1:$I$89,3,0)*0.475*44/12</f>
        <v>0</v>
      </c>
      <c r="AC21" s="22">
        <f t="shared" si="3"/>
        <v>24.033535376094324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26.933333333333326</v>
      </c>
      <c r="N22" s="13">
        <f>IF('Données projet'!$A$36&gt;35,N21+M22-V21,IF(A22&lt;'Données projet'!$A$36,$K$205^A22,IF(A22='Données projet'!$A$36,'Données projet'!$B$36,N21+M22-V21)))</f>
        <v>154.42333333333335</v>
      </c>
      <c r="O22" s="13">
        <f>N22*VLOOKUP('Données projet'!$B$9,Paramètres!$A$1:$I$89,3,0)*VLOOKUP('Données projet'!$B$9,Paramètres!$A$1:$I$89,5,0)</f>
        <v>68.255113333333355</v>
      </c>
      <c r="P22" s="13">
        <f t="shared" si="33"/>
        <v>19.239506171249076</v>
      </c>
      <c r="Q22" s="20">
        <f t="shared" si="2"/>
        <v>152.3864623038144</v>
      </c>
      <c r="R22" s="59">
        <f t="shared" si="0"/>
        <v>432.27535119270328</v>
      </c>
      <c r="S22" s="59">
        <f ca="1">AVERAGE(OFFSET($R$3,0,0,'Données projet'!$E$9+1,1))-AVERAGE(OFFSET($H$3,0,0,'Données projet'!$E$9+1,1))</f>
        <v>327.09084560210488</v>
      </c>
      <c r="T22" s="59">
        <f t="shared" si="34"/>
        <v>432.22711671615133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23.376337087366331</v>
      </c>
      <c r="AB22" s="21">
        <f>EXP(-LN(2)/2)*AB21+(1-EXP(-LN(2)/2))/(LN(2)/2)*V22*Y22*VLOOKUP('Données projet'!$B$9,Paramètres!$A$1:$I$89,3,0)*0.475*44/12</f>
        <v>0</v>
      </c>
      <c r="AC22" s="22">
        <f t="shared" si="3"/>
        <v>23.376337087366331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26.933333333333326</v>
      </c>
      <c r="N23" s="13">
        <f>IF('Données projet'!$A$36&gt;35,N22+M23-V22,IF(A23&lt;'Données projet'!$A$36,$K$205^A23,IF(A23='Données projet'!$A$36,'Données projet'!$B$36,N22+M23-V22)))</f>
        <v>181.35666666666668</v>
      </c>
      <c r="O23" s="13">
        <f>N23*VLOOKUP('Données projet'!$B$9,Paramètres!$A$1:$I$89,3,0)*VLOOKUP('Données projet'!$B$9,Paramètres!$A$1:$I$89,5,0)</f>
        <v>80.159646666666688</v>
      </c>
      <c r="P23" s="13">
        <f t="shared" si="33"/>
        <v>22.176214038404822</v>
      </c>
      <c r="Q23" s="20">
        <f t="shared" si="2"/>
        <v>178.23495739466622</v>
      </c>
      <c r="R23" s="59">
        <f t="shared" si="0"/>
        <v>459.34606850577734</v>
      </c>
      <c r="S23" s="59">
        <f ca="1">AVERAGE(OFFSET($R$3,0,0,'Données projet'!$E$9+1,1))-AVERAGE(OFFSET($H$3,0,0,'Données projet'!$E$9+1,1))</f>
        <v>327.09084560210488</v>
      </c>
      <c r="T23" s="59">
        <f t="shared" si="34"/>
        <v>432.22711671615133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22.737109920404158</v>
      </c>
      <c r="AB23" s="21">
        <f>EXP(-LN(2)/2)*AB22+(1-EXP(-LN(2)/2))/(LN(2)/2)*V23*Y23*VLOOKUP('Données projet'!$B$9,Paramètres!$A$1:$I$89,3,0)*0.475*44/12</f>
        <v>0</v>
      </c>
      <c r="AC23" s="22">
        <f t="shared" si="3"/>
        <v>22.737109920404158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26.933333333333326</v>
      </c>
      <c r="N24" s="13">
        <f>IF('Données projet'!$A$36&gt;35,N23+M24-V23,IF(A24&lt;'Données projet'!$A$36,$K$205^A24,IF(A24='Données projet'!$A$36,'Données projet'!$B$36,N23+M24-V23)))</f>
        <v>208.29000000000002</v>
      </c>
      <c r="O24" s="13">
        <f>N24*VLOOKUP('Données projet'!$B$9,Paramètres!$A$1:$I$89,3,0)*VLOOKUP('Données projet'!$B$9,Paramètres!$A$1:$I$89,5,0)</f>
        <v>92.064180000000022</v>
      </c>
      <c r="P24" s="13">
        <f t="shared" si="33"/>
        <v>25.062396586115501</v>
      </c>
      <c r="Q24" s="20">
        <f t="shared" si="2"/>
        <v>203.99545422081783</v>
      </c>
      <c r="R24" s="59">
        <f t="shared" si="0"/>
        <v>486.32878755415118</v>
      </c>
      <c r="S24" s="59">
        <f ca="1">AVERAGE(OFFSET($R$3,0,0,'Données projet'!$E$9+1,1))-AVERAGE(OFFSET($H$3,0,0,'Données projet'!$E$9+1,1))</f>
        <v>327.09084560210488</v>
      </c>
      <c r="T24" s="59">
        <f t="shared" si="34"/>
        <v>432.22711671615133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22.115362453938062</v>
      </c>
      <c r="AB24" s="21">
        <f>EXP(-LN(2)/2)*AB23+(1-EXP(-LN(2)/2))/(LN(2)/2)*V24*Y24*VLOOKUP('Données projet'!$B$9,Paramètres!$A$1:$I$89,3,0)*0.475*44/12</f>
        <v>0</v>
      </c>
      <c r="AC24" s="22">
        <f t="shared" si="3"/>
        <v>22.115362453938062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26.933333333333326</v>
      </c>
      <c r="N25" s="13">
        <f>IF('Données projet'!$A$36&gt;35,N24+M25-V24,IF(A25&lt;'Données projet'!$A$36,$K$205^A25,IF(A25='Données projet'!$A$36,'Données projet'!$B$36,N24+M25-V24)))</f>
        <v>235.22333333333336</v>
      </c>
      <c r="O25" s="13">
        <f>N25*VLOOKUP('Données projet'!$B$9,Paramètres!$A$1:$I$89,3,0)*VLOOKUP('Données projet'!$B$9,Paramètres!$A$1:$I$89,5,0)</f>
        <v>103.96871333333335</v>
      </c>
      <c r="P25" s="13">
        <f t="shared" si="33"/>
        <v>27.905336478184612</v>
      </c>
      <c r="Q25" s="20">
        <f t="shared" si="2"/>
        <v>229.68063675506048</v>
      </c>
      <c r="R25" s="59">
        <f t="shared" si="0"/>
        <v>513.23619231061605</v>
      </c>
      <c r="S25" s="59">
        <f ca="1">AVERAGE(OFFSET($R$3,0,0,'Données projet'!$E$9+1,1))-AVERAGE(OFFSET($H$3,0,0,'Données projet'!$E$9+1,1))</f>
        <v>327.09084560210488</v>
      </c>
      <c r="T25" s="59">
        <f t="shared" si="34"/>
        <v>432.22711671615133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21.51061670463876</v>
      </c>
      <c r="AB25" s="21">
        <f>EXP(-LN(2)/2)*AB24+(1-EXP(-LN(2)/2))/(LN(2)/2)*V25*Y25*VLOOKUP('Données projet'!$B$9,Paramètres!$A$1:$I$89,3,0)*0.475*44/12</f>
        <v>0</v>
      </c>
      <c r="AC25" s="22">
        <f t="shared" si="3"/>
        <v>21.51061670463876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26.933333333333326</v>
      </c>
      <c r="N26" s="13">
        <f>IF('Données projet'!$A$36&gt;35,N25+M26-V25,IF(A26&lt;'Données projet'!$A$36,$K$205^A26,IF(A26='Données projet'!$A$36,'Données projet'!$B$36,N25+M26-V25)))</f>
        <v>262.15666666666669</v>
      </c>
      <c r="O26" s="13">
        <f>N26*VLOOKUP('Données projet'!$B$9,Paramètres!$A$1:$I$89,3,0)*VLOOKUP('Données projet'!$B$9,Paramètres!$A$1:$I$89,5,0)</f>
        <v>115.87324666666669</v>
      </c>
      <c r="P26" s="13">
        <f t="shared" si="33"/>
        <v>30.710550321414171</v>
      </c>
      <c r="Q26" s="20">
        <f t="shared" si="2"/>
        <v>255.30011308757412</v>
      </c>
      <c r="R26" s="59">
        <f t="shared" si="0"/>
        <v>540.07789086535195</v>
      </c>
      <c r="S26" s="59">
        <f ca="1">AVERAGE(OFFSET($R$3,0,0,'Données projet'!$E$9+1,1))-AVERAGE(OFFSET($H$3,0,0,'Données projet'!$E$9+1,1))</f>
        <v>327.09084560210488</v>
      </c>
      <c r="T26" s="59">
        <f t="shared" si="34"/>
        <v>432.22711671615133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20.922407759656245</v>
      </c>
      <c r="AB26" s="21">
        <f>EXP(-LN(2)/2)*AB25+(1-EXP(-LN(2)/2))/(LN(2)/2)*V26*Y26*VLOOKUP('Données projet'!$B$9,Paramètres!$A$1:$I$89,3,0)*0.475*44/12</f>
        <v>0</v>
      </c>
      <c r="AC26" s="22">
        <f t="shared" si="3"/>
        <v>20.922407759656245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289.08999999999997</v>
      </c>
      <c r="L27" s="12">
        <f>VLOOKUP(A27,'Données projet'!$A$35:$I$55,9,0)</f>
        <v>26.933333333333326</v>
      </c>
      <c r="M27" s="12">
        <f t="array" ref="M27">INDEX(L:L,MIN(IF(ISNUMBER(L27:L223),ROW(L27:L223),"")))</f>
        <v>26.933333333333326</v>
      </c>
      <c r="N27" s="13">
        <f>IF('Données projet'!$A$36&gt;35,N26+M27-V26,IF(A27&lt;'Données projet'!$A$36,$K$205^A27,IF(A27='Données projet'!$A$36,'Données projet'!$B$36,N26+M27-V26)))</f>
        <v>289.09000000000003</v>
      </c>
      <c r="O27" s="13">
        <f>N27*VLOOKUP('Données projet'!$B$9,Paramètres!$A$1:$I$89,3,0)*VLOOKUP('Données projet'!$B$9,Paramètres!$A$1:$I$89,5,0)</f>
        <v>127.77778000000002</v>
      </c>
      <c r="P27" s="13">
        <f t="shared" si="33"/>
        <v>33.482355400940818</v>
      </c>
      <c r="Q27" s="20">
        <f t="shared" si="2"/>
        <v>280.86140248997191</v>
      </c>
      <c r="R27" s="59">
        <f t="shared" si="0"/>
        <v>566.86140248997185</v>
      </c>
      <c r="S27" s="59">
        <f ca="1">AVERAGE(OFFSET($R$3,0,0,'Données projet'!$E$9+1,1))-AVERAGE(OFFSET($H$3,0,0,'Données projet'!$E$9+1,1))</f>
        <v>327.09084560210488</v>
      </c>
      <c r="T27" s="59">
        <f t="shared" si="34"/>
        <v>432.22711671615133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51.39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0.55000000000000004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36.857679609764006</v>
      </c>
      <c r="AB27" s="21">
        <f>EXP(-LN(2)/2)*AB26+(1-EXP(-LN(2)/2))/(LN(2)/2)*V27*Y27*VLOOKUP('Données projet'!$B$9,Paramètres!$A$1:$I$89,3,0)*0.475*44/12</f>
        <v>0</v>
      </c>
      <c r="AC27" s="22">
        <f t="shared" si="3"/>
        <v>36.857679609764006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28.810000000000002</v>
      </c>
      <c r="N28" s="13">
        <f>IF('Données projet'!$A$36&gt;35,N27+M28-V27,IF(A28&lt;'Données projet'!$A$36,$K$205^A28,IF(A28='Données projet'!$A$36,'Données projet'!$B$36,N27+M28-V27)))</f>
        <v>266.51000000000005</v>
      </c>
      <c r="O28" s="13">
        <f>N28*VLOOKUP('Données projet'!$B$9,Paramètres!$A$1:$I$89,3,0)*VLOOKUP('Données projet'!$B$9,Paramètres!$A$1:$I$89,5,0)</f>
        <v>117.79742000000005</v>
      </c>
      <c r="P28" s="13">
        <f t="shared" si="33"/>
        <v>31.160731117001546</v>
      </c>
      <c r="Q28" s="20">
        <f t="shared" si="2"/>
        <v>259.43544652877773</v>
      </c>
      <c r="R28" s="59">
        <f t="shared" si="0"/>
        <v>546.65766875099996</v>
      </c>
      <c r="S28" s="59">
        <f ca="1">AVERAGE(OFFSET($R$3,0,0,'Données projet'!$E$9+1,1))-AVERAGE(OFFSET($H$3,0,0,'Données projet'!$E$9+1,1))</f>
        <v>327.09084560210488</v>
      </c>
      <c r="T28" s="59">
        <f t="shared" si="34"/>
        <v>432.22711671615133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35.849804422573875</v>
      </c>
      <c r="AB28" s="21">
        <f>EXP(-LN(2)/2)*AB27+(1-EXP(-LN(2)/2))/(LN(2)/2)*V28*Y28*VLOOKUP('Données projet'!$B$9,Paramètres!$A$1:$I$89,3,0)*0.475*44/12</f>
        <v>0</v>
      </c>
      <c r="AC28" s="22">
        <f t="shared" si="3"/>
        <v>35.849804422573875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28.810000000000002</v>
      </c>
      <c r="N29" s="13">
        <f>IF('Données projet'!$A$36&gt;35,N28+M29-V28,IF(A29&lt;'Données projet'!$A$36,$K$205^A29,IF(A29='Données projet'!$A$36,'Données projet'!$B$36,N28+M29-V28)))</f>
        <v>295.32000000000005</v>
      </c>
      <c r="O29" s="13">
        <f>N29*VLOOKUP('Données projet'!$B$9,Paramètres!$A$1:$I$89,3,0)*VLOOKUP('Données projet'!$B$9,Paramètres!$A$1:$I$89,5,0)</f>
        <v>130.53144000000003</v>
      </c>
      <c r="P29" s="13">
        <f t="shared" si="33"/>
        <v>34.119130340423034</v>
      </c>
      <c r="Q29" s="20">
        <f t="shared" si="2"/>
        <v>286.76641000957017</v>
      </c>
      <c r="R29" s="59">
        <f t="shared" si="0"/>
        <v>575.21085445401468</v>
      </c>
      <c r="S29" s="59">
        <f ca="1">AVERAGE(OFFSET($R$3,0,0,'Données projet'!$E$9+1,1))-AVERAGE(OFFSET($H$3,0,0,'Données projet'!$E$9+1,1))</f>
        <v>327.09084560210488</v>
      </c>
      <c r="T29" s="59">
        <f t="shared" si="34"/>
        <v>432.22711671615133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34.869489635379317</v>
      </c>
      <c r="AB29" s="21">
        <f>EXP(-LN(2)/2)*AB28+(1-EXP(-LN(2)/2))/(LN(2)/2)*V29*Y29*VLOOKUP('Données projet'!$B$9,Paramètres!$A$1:$I$89,3,0)*0.475*44/12</f>
        <v>0</v>
      </c>
      <c r="AC29" s="22">
        <f t="shared" si="3"/>
        <v>34.869489635379317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28.810000000000002</v>
      </c>
      <c r="N30" s="13">
        <f>IF('Données projet'!$A$36&gt;35,N29+M30-V29,IF(A30&lt;'Données projet'!$A$36,$K$205^A30,IF(A30='Données projet'!$A$36,'Données projet'!$B$36,N29+M30-V29)))</f>
        <v>324.13000000000005</v>
      </c>
      <c r="O30" s="13">
        <f>N30*VLOOKUP('Données projet'!$B$9,Paramètres!$A$1:$I$89,3,0)*VLOOKUP('Données projet'!$B$9,Paramètres!$A$1:$I$89,5,0)</f>
        <v>143.26546000000005</v>
      </c>
      <c r="P30" s="13">
        <f t="shared" si="33"/>
        <v>37.044069727968875</v>
      </c>
      <c r="Q30" s="20">
        <f t="shared" si="2"/>
        <v>314.03909760954588</v>
      </c>
      <c r="R30" s="59">
        <f t="shared" si="0"/>
        <v>603.70576427621256</v>
      </c>
      <c r="S30" s="59">
        <f ca="1">AVERAGE(OFFSET($R$3,0,0,'Données projet'!$E$9+1,1))-AVERAGE(OFFSET($H$3,0,0,'Données projet'!$E$9+1,1))</f>
        <v>327.09084560210488</v>
      </c>
      <c r="T30" s="59">
        <f t="shared" si="34"/>
        <v>432.22711671615133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33.915981607593103</v>
      </c>
      <c r="AB30" s="21">
        <f>EXP(-LN(2)/2)*AB29+(1-EXP(-LN(2)/2))/(LN(2)/2)*V30*Y30*VLOOKUP('Données projet'!$B$9,Paramètres!$A$1:$I$89,3,0)*0.475*44/12</f>
        <v>0</v>
      </c>
      <c r="AC30" s="22">
        <f t="shared" si="3"/>
        <v>33.915981607593103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28.810000000000002</v>
      </c>
      <c r="N31" s="13">
        <f>IF('Données projet'!$A$36&gt;35,N30+M31-V30,IF(A31&lt;'Données projet'!$A$36,$K$205^A31,IF(A31='Données projet'!$A$36,'Données projet'!$B$36,N30+M31-V30)))</f>
        <v>352.94000000000005</v>
      </c>
      <c r="O31" s="13">
        <f>N31*VLOOKUP('Données projet'!$B$9,Paramètres!$A$1:$I$89,3,0)*VLOOKUP('Données projet'!$B$9,Paramètres!$A$1:$I$89,5,0)</f>
        <v>155.99948000000003</v>
      </c>
      <c r="P31" s="13">
        <f t="shared" si="33"/>
        <v>39.938861513736946</v>
      </c>
      <c r="Q31" s="20">
        <f t="shared" si="2"/>
        <v>341.25927813642528</v>
      </c>
      <c r="R31" s="59">
        <f t="shared" si="0"/>
        <v>632.14816702531414</v>
      </c>
      <c r="S31" s="59">
        <f ca="1">AVERAGE(OFFSET($R$3,0,0,'Données projet'!$E$9+1,1))-AVERAGE(OFFSET($H$3,0,0,'Données projet'!$E$9+1,1))</f>
        <v>327.09084560210488</v>
      </c>
      <c r="T31" s="59">
        <f t="shared" si="34"/>
        <v>432.22711671615133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32.988547306969515</v>
      </c>
      <c r="AB31" s="21">
        <f>EXP(-LN(2)/2)*AB30+(1-EXP(-LN(2)/2))/(LN(2)/2)*V31*Y31*VLOOKUP('Données projet'!$B$9,Paramètres!$A$1:$I$89,3,0)*0.475*44/12</f>
        <v>0</v>
      </c>
      <c r="AC31" s="22">
        <f t="shared" si="3"/>
        <v>32.988547306969515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28.810000000000002</v>
      </c>
      <c r="N32" s="13">
        <f>IF('Données projet'!$A$36&gt;35,N31+M32-V31,IF(A32&lt;'Données projet'!$A$36,$K$205^A32,IF(A32='Données projet'!$A$36,'Données projet'!$B$36,N31+M32-V31)))</f>
        <v>381.75000000000006</v>
      </c>
      <c r="O32" s="13">
        <f>N32*VLOOKUP('Données projet'!$B$9,Paramètres!$A$1:$I$89,3,0)*VLOOKUP('Données projet'!$B$9,Paramètres!$A$1:$I$89,5,0)</f>
        <v>168.73350000000002</v>
      </c>
      <c r="P32" s="13">
        <f t="shared" si="33"/>
        <v>42.806246384447611</v>
      </c>
      <c r="Q32" s="20">
        <f t="shared" si="2"/>
        <v>368.43172495291293</v>
      </c>
      <c r="R32" s="59">
        <f t="shared" si="0"/>
        <v>660.54283606402407</v>
      </c>
      <c r="S32" s="59">
        <f ca="1">AVERAGE(OFFSET($R$3,0,0,'Données projet'!$E$9+1,1))-AVERAGE(OFFSET($H$3,0,0,'Données projet'!$E$9+1,1))</f>
        <v>327.09084560210488</v>
      </c>
      <c r="T32" s="59">
        <f t="shared" si="34"/>
        <v>432.22711671615133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32.08647374606813</v>
      </c>
      <c r="AB32" s="21">
        <f>EXP(-LN(2)/2)*AB31+(1-EXP(-LN(2)/2))/(LN(2)/2)*V32*Y32*VLOOKUP('Données projet'!$B$9,Paramètres!$A$1:$I$89,3,0)*0.475*44/12</f>
        <v>0</v>
      </c>
      <c r="AC32" s="22">
        <f t="shared" si="3"/>
        <v>32.08647374606813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410.56</v>
      </c>
      <c r="L33" s="12">
        <f>VLOOKUP(A33,'Données projet'!$A$35:$I$55,9,0)</f>
        <v>28.810000000000002</v>
      </c>
      <c r="M33" s="12">
        <f t="array" ref="M33">INDEX(L:L,MIN(IF(ISNUMBER(L33:L229),ROW(L33:L229),"")))</f>
        <v>28.810000000000002</v>
      </c>
      <c r="N33" s="13">
        <f>IF('Données projet'!$A$36&gt;35,N32+M33-V32,IF(A33&lt;'Données projet'!$A$36,$K$205^A33,IF(A33='Données projet'!$A$36,'Données projet'!$B$36,N32+M33-V32)))</f>
        <v>410.56000000000006</v>
      </c>
      <c r="O33" s="13">
        <f>N33*VLOOKUP('Données projet'!$B$9,Paramètres!$A$1:$I$89,3,0)*VLOOKUP('Données projet'!$B$9,Paramètres!$A$1:$I$89,5,0)</f>
        <v>181.46752000000004</v>
      </c>
      <c r="P33" s="13">
        <f t="shared" si="33"/>
        <v>45.648527875302193</v>
      </c>
      <c r="Q33" s="20">
        <f t="shared" si="2"/>
        <v>395.5604500494847</v>
      </c>
      <c r="R33" s="59">
        <f t="shared" si="0"/>
        <v>688.89378338281801</v>
      </c>
      <c r="S33" s="59">
        <f ca="1">AVERAGE(OFFSET($R$3,0,0,'Données projet'!$E$9+1,1))-AVERAGE(OFFSET($H$3,0,0,'Données projet'!$E$9+1,1))</f>
        <v>327.09084560210488</v>
      </c>
      <c r="T33" s="59">
        <f t="shared" si="34"/>
        <v>432.22711671615133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80.97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57.218093889652266</v>
      </c>
      <c r="AB33" s="21">
        <f>EXP(-LN(2)/2)*AB32+(1-EXP(-LN(2)/2))/(LN(2)/2)*V33*Y33*VLOOKUP('Données projet'!$B$9,Paramètres!$A$1:$I$89,3,0)*0.475*44/12</f>
        <v>0</v>
      </c>
      <c r="AC33" s="22">
        <f t="shared" si="3"/>
        <v>57.218093889652266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28.636666666666667</v>
      </c>
      <c r="N34" s="13">
        <f>IF('Données projet'!$A$36&gt;35,N33+M34-V33,IF(A34&lt;'Données projet'!$A$36,$K$205^A34,IF(A34='Données projet'!$A$36,'Données projet'!$B$36,N33+M34-V33)))</f>
        <v>358.22666666666669</v>
      </c>
      <c r="O34" s="13">
        <f>N34*VLOOKUP('Données projet'!$B$9,Paramètres!$A$1:$I$89,3,0)*VLOOKUP('Données projet'!$B$9,Paramètres!$A$1:$I$89,5,0)</f>
        <v>158.33618666666669</v>
      </c>
      <c r="P34" s="13">
        <f t="shared" si="33"/>
        <v>40.467009658698856</v>
      </c>
      <c r="Q34" s="20">
        <f t="shared" si="2"/>
        <v>346.24890026667828</v>
      </c>
      <c r="R34" s="59">
        <f t="shared" si="0"/>
        <v>639.58223360001159</v>
      </c>
      <c r="S34" s="59">
        <f ca="1">AVERAGE(OFFSET($R$3,0,0,'Données projet'!$E$9+1,1))-AVERAGE(OFFSET($H$3,0,0,'Données projet'!$E$9+1,1))</f>
        <v>327.09084560210488</v>
      </c>
      <c r="T34" s="59">
        <f t="shared" si="34"/>
        <v>432.22711671615133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55.65346210327094</v>
      </c>
      <c r="AB34" s="21">
        <f>EXP(-LN(2)/2)*AB33+(1-EXP(-LN(2)/2))/(LN(2)/2)*V34*Y34*VLOOKUP('Données projet'!$B$9,Paramètres!$A$1:$I$89,3,0)*0.475*44/12</f>
        <v>0</v>
      </c>
      <c r="AC34" s="22">
        <f t="shared" si="3"/>
        <v>55.65346210327094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28.636666666666667</v>
      </c>
      <c r="N35" s="13">
        <f>IF('Données projet'!$A$36&gt;35,N34+M35-V34,IF(A35&lt;'Données projet'!$A$36,$K$205^A35,IF(A35='Données projet'!$A$36,'Données projet'!$B$36,N34+M35-V34)))</f>
        <v>386.86333333333334</v>
      </c>
      <c r="O35" s="13">
        <f>N35*VLOOKUP('Données projet'!$B$9,Paramètres!$A$1:$I$89,3,0)*VLOOKUP('Données projet'!$B$9,Paramètres!$A$1:$I$89,5,0)</f>
        <v>170.99359333333334</v>
      </c>
      <c r="P35" s="13">
        <f t="shared" si="33"/>
        <v>43.312479907238945</v>
      </c>
      <c r="Q35" s="20">
        <f t="shared" ref="Q35:Q66" si="53">(O35+P35)*0.475*44/12</f>
        <v>373.24974422733004</v>
      </c>
      <c r="R35" s="59">
        <f t="shared" si="0"/>
        <v>666.58307756066336</v>
      </c>
      <c r="S35" s="59">
        <f ca="1">AVERAGE(OFFSET($R$3,0,0,'Données projet'!$E$9+1,1))-AVERAGE(OFFSET($H$3,0,0,'Données projet'!$E$9+1,1))</f>
        <v>327.09084560210488</v>
      </c>
      <c r="T35" s="59">
        <f t="shared" si="34"/>
        <v>432.22711671615133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54.131615255368622</v>
      </c>
      <c r="AB35" s="21">
        <f>EXP(-LN(2)/2)*AB34+(1-EXP(-LN(2)/2))/(LN(2)/2)*V35*Y35*VLOOKUP('Données projet'!$B$9,Paramètres!$A$1:$I$89,3,0)*0.475*44/12</f>
        <v>0</v>
      </c>
      <c r="AC35" s="22">
        <f t="shared" si="3"/>
        <v>54.131615255368622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28.636666666666667</v>
      </c>
      <c r="N36" s="13">
        <f>IF('Données projet'!$A$36&gt;35,N35+M36-V35,IF(A36&lt;'Données projet'!$A$36,$K$205^A36,IF(A36='Données projet'!$A$36,'Données projet'!$B$36,N35+M36-V35)))</f>
        <v>415.5</v>
      </c>
      <c r="O36" s="13">
        <f>N36*VLOOKUP('Données projet'!$B$9,Paramètres!$A$1:$I$89,3,0)*VLOOKUP('Données projet'!$B$9,Paramètres!$A$1:$I$89,5,0)</f>
        <v>183.65100000000001</v>
      </c>
      <c r="P36" s="13">
        <f t="shared" si="33"/>
        <v>46.133514673271662</v>
      </c>
      <c r="Q36" s="20">
        <f t="shared" si="53"/>
        <v>400.20802972261481</v>
      </c>
      <c r="R36" s="59">
        <f t="shared" si="0"/>
        <v>693.54136305594807</v>
      </c>
      <c r="S36" s="59">
        <f ca="1">AVERAGE(OFFSET($R$3,0,0,'Données projet'!$E$9+1,1))-AVERAGE(OFFSET($H$3,0,0,'Données projet'!$E$9+1,1))</f>
        <v>327.09084560210488</v>
      </c>
      <c r="T36" s="59">
        <f t="shared" si="34"/>
        <v>432.22711671615133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52.651383389552642</v>
      </c>
      <c r="AB36" s="21">
        <f>EXP(-LN(2)/2)*AB35+(1-EXP(-LN(2)/2))/(LN(2)/2)*V36*Y36*VLOOKUP('Données projet'!$B$9,Paramètres!$A$1:$I$89,3,0)*0.475*44/12</f>
        <v>0</v>
      </c>
      <c r="AC36" s="22">
        <f t="shared" si="3"/>
        <v>52.651383389552642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28.636666666666667</v>
      </c>
      <c r="N37" s="13">
        <f>IF('Données projet'!$A$36&gt;35,N36+M37-V36,IF(A37&lt;'Données projet'!$A$36,$K$205^A37,IF(A37='Données projet'!$A$36,'Données projet'!$B$36,N36+M37-V36)))</f>
        <v>444.13666666666666</v>
      </c>
      <c r="O37" s="13">
        <f>N37*VLOOKUP('Données projet'!$B$9,Paramètres!$A$1:$I$89,3,0)*VLOOKUP('Données projet'!$B$9,Paramètres!$A$1:$I$89,5,0)</f>
        <v>196.30840666666668</v>
      </c>
      <c r="P37" s="13">
        <f t="shared" si="33"/>
        <v>48.931989656002457</v>
      </c>
      <c r="Q37" s="20">
        <f t="shared" si="53"/>
        <v>427.12702359531545</v>
      </c>
      <c r="R37" s="59">
        <f t="shared" si="0"/>
        <v>720.46035692864871</v>
      </c>
      <c r="S37" s="59">
        <f ca="1">AVERAGE(OFFSET($R$3,0,0,'Données projet'!$E$9+1,1))-AVERAGE(OFFSET($H$3,0,0,'Données projet'!$E$9+1,1))</f>
        <v>327.09084560210488</v>
      </c>
      <c r="T37" s="59">
        <f t="shared" si="34"/>
        <v>432.22711671615133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51.211628541949409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51.211628541949409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28.636666666666667</v>
      </c>
      <c r="N38" s="13">
        <f>IF('Données projet'!$A$36&gt;35,N37+M38-V37,IF(A38&lt;'Données projet'!$A$36,$K$205^A38,IF(A38='Données projet'!$A$36,'Données projet'!$B$36,N37+M38-V37)))</f>
        <v>472.77333333333331</v>
      </c>
      <c r="O38" s="13">
        <f>N38*VLOOKUP('Données projet'!$B$9,Paramètres!$A$1:$I$89,3,0)*VLOOKUP('Données projet'!$B$9,Paramètres!$A$1:$I$89,5,0)</f>
        <v>208.96581333333333</v>
      </c>
      <c r="P38" s="13">
        <f t="shared" si="33"/>
        <v>51.709524998517026</v>
      </c>
      <c r="Q38" s="20">
        <f t="shared" si="53"/>
        <v>454.00954759463934</v>
      </c>
      <c r="R38" s="59">
        <f t="shared" si="0"/>
        <v>747.3428809279726</v>
      </c>
      <c r="S38" s="59">
        <f ca="1">AVERAGE(OFFSET($R$3,0,0,'Données projet'!$E$9+1,1))-AVERAGE(OFFSET($H$3,0,0,'Données projet'!$E$9+1,1))</f>
        <v>327.09084560210488</v>
      </c>
      <c r="T38" s="59">
        <f t="shared" si="34"/>
        <v>432.22711671615133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49.811243866367306</v>
      </c>
      <c r="AB38" s="21">
        <f>EXP(-LN(2)/2)*AB37+(1-EXP(-LN(2)/2))/(LN(2)/2)*V38*Y38*VLOOKUP('Données projet'!$B$9,Paramètres!$A$1:$I$89,3,0)*0.475*44/12</f>
        <v>0</v>
      </c>
      <c r="AC38" s="22">
        <f t="shared" si="3"/>
        <v>49.811243866367306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501.41</v>
      </c>
      <c r="L39" s="12">
        <f>VLOOKUP(A39,'Données projet'!$A$35:$I$55,9,0)</f>
        <v>28.636666666666667</v>
      </c>
      <c r="M39" s="12">
        <f t="array" ref="M39">INDEX(L:L,MIN(IF(ISNUMBER(L39:L235),ROW(L39:L235),"")))</f>
        <v>28.636666666666667</v>
      </c>
      <c r="N39" s="13">
        <f>IF('Données projet'!$A$36&gt;35,N38+M39-V38,IF(A39&lt;'Données projet'!$A$36,$K$205^A39,IF(A39='Données projet'!$A$36,'Données projet'!$B$36,N38+M39-V38)))</f>
        <v>501.40999999999997</v>
      </c>
      <c r="O39" s="13">
        <f>N39*VLOOKUP('Données projet'!$B$9,Paramètres!$A$1:$I$89,3,0)*VLOOKUP('Données projet'!$B$9,Paramètres!$A$1:$I$89,5,0)</f>
        <v>221.62322</v>
      </c>
      <c r="P39" s="13">
        <f t="shared" si="33"/>
        <v>54.467533484647333</v>
      </c>
      <c r="Q39" s="20">
        <f t="shared" si="53"/>
        <v>480.85806231909402</v>
      </c>
      <c r="R39" s="59">
        <f t="shared" si="0"/>
        <v>774.19139565242733</v>
      </c>
      <c r="S39" s="59">
        <f ca="1">AVERAGE(OFFSET($R$3,0,0,'Données projet'!$E$9+1,1))-AVERAGE(OFFSET($H$3,0,0,'Données projet'!$E$9+1,1))</f>
        <v>327.09084560210488</v>
      </c>
      <c r="T39" s="59">
        <f t="shared" si="34"/>
        <v>432.22711671615133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85.88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0.55000000000000004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76.035359921834043</v>
      </c>
      <c r="AB39" s="21">
        <f>EXP(-LN(2)/2)*AB38+(1-EXP(-LN(2)/2))/(LN(2)/2)*V39*Y39*VLOOKUP('Données projet'!$B$9,Paramètres!$A$1:$I$89,3,0)*0.475*44/12</f>
        <v>0</v>
      </c>
      <c r="AC39" s="22">
        <f t="shared" si="3"/>
        <v>76.035359921834043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28.059999999999992</v>
      </c>
      <c r="N40" s="13">
        <f>IF('Données projet'!$A$36&gt;35,N39+M40-V39,IF(A40&lt;'Données projet'!$A$36,$K$205^A40,IF(A40='Données projet'!$A$36,'Données projet'!$B$36,N39+M40-V39)))</f>
        <v>443.58999999999992</v>
      </c>
      <c r="O40" s="13">
        <f>N40*VLOOKUP('Données projet'!$B$9,Paramètres!$A$1:$I$89,3,0)*VLOOKUP('Données projet'!$B$9,Paramètres!$A$1:$I$89,5,0)</f>
        <v>196.06677999999999</v>
      </c>
      <c r="P40" s="13">
        <f t="shared" si="33"/>
        <v>48.878768332407262</v>
      </c>
      <c r="Q40" s="20">
        <f t="shared" si="53"/>
        <v>426.61349667894268</v>
      </c>
      <c r="R40" s="59">
        <f t="shared" si="0"/>
        <v>719.946830012276</v>
      </c>
      <c r="S40" s="59">
        <f ca="1">AVERAGE(OFFSET($R$3,0,0,'Données projet'!$E$9+1,1))-AVERAGE(OFFSET($H$3,0,0,'Données projet'!$E$9+1,1))</f>
        <v>327.09084560210488</v>
      </c>
      <c r="T40" s="59">
        <f t="shared" si="34"/>
        <v>432.22711671615133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73.956169006245688</v>
      </c>
      <c r="AB40" s="21">
        <f>EXP(-LN(2)/2)*AB39+(1-EXP(-LN(2)/2))/(LN(2)/2)*V40*Y40*VLOOKUP('Données projet'!$B$9,Paramètres!$A$1:$I$89,3,0)*0.475*44/12</f>
        <v>0</v>
      </c>
      <c r="AC40" s="22">
        <f t="shared" si="3"/>
        <v>73.956169006245688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28.059999999999992</v>
      </c>
      <c r="N41" s="13">
        <f>IF('Données projet'!$A$36&gt;35,N40+M41-V40,IF(A41&lt;'Données projet'!$A$36,$K$205^A41,IF(A41='Données projet'!$A$36,'Données projet'!$B$36,N40+M41-V40)))</f>
        <v>471.64999999999992</v>
      </c>
      <c r="O41" s="13">
        <f>N41*VLOOKUP('Données projet'!$B$9,Paramètres!$A$1:$I$89,3,0)*VLOOKUP('Données projet'!$B$9,Paramètres!$A$1:$I$89,5,0)</f>
        <v>208.4693</v>
      </c>
      <c r="P41" s="13">
        <f t="shared" si="33"/>
        <v>51.60094694910368</v>
      </c>
      <c r="Q41" s="20">
        <f t="shared" si="53"/>
        <v>452.9556801030223</v>
      </c>
      <c r="R41" s="59">
        <f t="shared" si="0"/>
        <v>746.28901343635562</v>
      </c>
      <c r="S41" s="59">
        <f ca="1">AVERAGE(OFFSET($R$3,0,0,'Données projet'!$E$9+1,1))-AVERAGE(OFFSET($H$3,0,0,'Données projet'!$E$9+1,1))</f>
        <v>327.09084560210488</v>
      </c>
      <c r="T41" s="59">
        <f t="shared" si="34"/>
        <v>432.22711671615133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71.933833675583998</v>
      </c>
      <c r="AB41" s="21">
        <f>EXP(-LN(2)/2)*AB40+(1-EXP(-LN(2)/2))/(LN(2)/2)*V41*Y41*VLOOKUP('Données projet'!$B$9,Paramètres!$A$1:$I$89,3,0)*0.475*44/12</f>
        <v>0</v>
      </c>
      <c r="AC41" s="22">
        <f t="shared" si="3"/>
        <v>71.933833675583998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28.059999999999992</v>
      </c>
      <c r="N42" s="13">
        <f>IF('Données projet'!$A$36&gt;35,N41+M42-V41,IF(A42&lt;'Données projet'!$A$36,$K$205^A42,IF(A42='Données projet'!$A$36,'Données projet'!$B$36,N41+M42-V41)))</f>
        <v>499.70999999999992</v>
      </c>
      <c r="O42" s="13">
        <f>N42*VLOOKUP('Données projet'!$B$9,Paramètres!$A$1:$I$89,3,0)*VLOOKUP('Données projet'!$B$9,Paramètres!$A$1:$I$89,5,0)</f>
        <v>220.87182000000001</v>
      </c>
      <c r="P42" s="13">
        <f t="shared" si="33"/>
        <v>54.304327852172058</v>
      </c>
      <c r="Q42" s="20">
        <f t="shared" si="53"/>
        <v>479.26512417586628</v>
      </c>
      <c r="R42" s="59">
        <f t="shared" si="0"/>
        <v>772.59845750919953</v>
      </c>
      <c r="S42" s="59">
        <f ca="1">AVERAGE(OFFSET($R$3,0,0,'Données projet'!$E$9+1,1))-AVERAGE(OFFSET($H$3,0,0,'Données projet'!$E$9+1,1))</f>
        <v>327.09084560210488</v>
      </c>
      <c r="T42" s="59">
        <f t="shared" si="34"/>
        <v>432.22711671615133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69.966799210889249</v>
      </c>
      <c r="AB42" s="21">
        <f>EXP(-LN(2)/2)*AB41+(1-EXP(-LN(2)/2))/(LN(2)/2)*V42*Y42*VLOOKUP('Données projet'!$B$9,Paramètres!$A$1:$I$89,3,0)*0.475*44/12</f>
        <v>0</v>
      </c>
      <c r="AC42" s="22">
        <f t="shared" si="3"/>
        <v>69.966799210889249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28.059999999999992</v>
      </c>
      <c r="N43" s="13">
        <f>IF('Données projet'!$A$36&gt;35,N42+M43-V42,IF(A43&lt;'Données projet'!$A$36,$K$205^A43,IF(A43='Données projet'!$A$36,'Données projet'!$B$36,N42+M43-V42)))</f>
        <v>527.76999999999987</v>
      </c>
      <c r="O43" s="13">
        <f>N43*VLOOKUP('Données projet'!$B$9,Paramètres!$A$1:$I$89,3,0)*VLOOKUP('Données projet'!$B$9,Paramètres!$A$1:$I$89,5,0)</f>
        <v>233.27433999999997</v>
      </c>
      <c r="P43" s="13">
        <f t="shared" si="33"/>
        <v>56.99008687328341</v>
      </c>
      <c r="Q43" s="20">
        <f t="shared" si="53"/>
        <v>505.54387680430187</v>
      </c>
      <c r="R43" s="59">
        <f t="shared" si="0"/>
        <v>798.87721013763519</v>
      </c>
      <c r="S43" s="59">
        <f ca="1">AVERAGE(OFFSET($R$3,0,0,'Données projet'!$E$9+1,1))-AVERAGE(OFFSET($H$3,0,0,'Données projet'!$E$9+1,1))</f>
        <v>327.09084560210488</v>
      </c>
      <c r="T43" s="59">
        <f t="shared" si="34"/>
        <v>432.22711671615133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68.053553407073423</v>
      </c>
      <c r="AB43" s="21">
        <f>EXP(-LN(2)/2)*AB42+(1-EXP(-LN(2)/2))/(LN(2)/2)*V43*Y43*VLOOKUP('Données projet'!$B$9,Paramètres!$A$1:$I$89,3,0)*0.475*44/12</f>
        <v>0</v>
      </c>
      <c r="AC43" s="22">
        <f t="shared" si="3"/>
        <v>68.053553407073423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28.059999999999992</v>
      </c>
      <c r="N44" s="13">
        <f>IF('Données projet'!$A$36&gt;35,N43+M44-V43,IF(A44&lt;'Données projet'!$A$36,$K$205^A44,IF(A44='Données projet'!$A$36,'Données projet'!$B$36,N43+M44-V43)))</f>
        <v>555.82999999999981</v>
      </c>
      <c r="O44" s="13">
        <f>N44*VLOOKUP('Données projet'!$B$9,Paramètres!$A$1:$I$89,3,0)*VLOOKUP('Données projet'!$B$9,Paramètres!$A$1:$I$89,5,0)</f>
        <v>245.67685999999995</v>
      </c>
      <c r="P44" s="13">
        <f t="shared" si="33"/>
        <v>59.659267751383197</v>
      </c>
      <c r="Q44" s="20">
        <f t="shared" si="53"/>
        <v>531.79375583365902</v>
      </c>
      <c r="R44" s="59">
        <f t="shared" si="0"/>
        <v>825.12708916699239</v>
      </c>
      <c r="S44" s="59">
        <f ca="1">AVERAGE(OFFSET($R$3,0,0,'Données projet'!$E$9+1,1))-AVERAGE(OFFSET($H$3,0,0,'Données projet'!$E$9+1,1))</f>
        <v>327.09084560210488</v>
      </c>
      <c r="T44" s="59">
        <f t="shared" si="34"/>
        <v>432.22711671615133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66.192625410376166</v>
      </c>
      <c r="AB44" s="21">
        <f>EXP(-LN(2)/2)*AB43+(1-EXP(-LN(2)/2))/(LN(2)/2)*V44*Y44*VLOOKUP('Données projet'!$B$9,Paramètres!$A$1:$I$89,3,0)*0.475*44/12</f>
        <v>0</v>
      </c>
      <c r="AC44" s="22">
        <f t="shared" si="3"/>
        <v>66.192625410376166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583.89</v>
      </c>
      <c r="L45" s="12">
        <f>VLOOKUP(A45,'Données projet'!$A$35:$I$55,9,0)</f>
        <v>28.059999999999992</v>
      </c>
      <c r="M45" s="12">
        <f t="array" ref="M45">INDEX(L:L,MIN(IF(ISNUMBER(L45:L241),ROW(L45:L241),"")))</f>
        <v>28.059999999999992</v>
      </c>
      <c r="N45" s="13">
        <f>IF('Données projet'!$A$36&gt;35,N44+M45-V44,IF(A45&lt;'Données projet'!$A$36,$K$205^A45,IF(A45='Données projet'!$A$36,'Données projet'!$B$36,N44+M45-V44)))</f>
        <v>583.88999999999976</v>
      </c>
      <c r="O45" s="13">
        <f>N45*VLOOKUP('Données projet'!$B$9,Paramètres!$A$1:$I$89,3,0)*VLOOKUP('Données projet'!$B$9,Paramètres!$A$1:$I$89,5,0)</f>
        <v>258.0793799999999</v>
      </c>
      <c r="P45" s="13">
        <f t="shared" si="33"/>
        <v>62.312802890406914</v>
      </c>
      <c r="Q45" s="20">
        <f t="shared" si="53"/>
        <v>558.01638520079189</v>
      </c>
      <c r="R45" s="59">
        <f t="shared" si="0"/>
        <v>851.34971853412526</v>
      </c>
      <c r="S45" s="59">
        <f ca="1">AVERAGE(OFFSET($R$3,0,0,'Données projet'!$E$9+1,1))-AVERAGE(OFFSET($H$3,0,0,'Données projet'!$E$9+1,1))</f>
        <v>327.09084560210488</v>
      </c>
      <c r="T45" s="59">
        <f t="shared" si="34"/>
        <v>432.22711671615133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91.25</v>
      </c>
      <c r="W45" s="16">
        <f>IF(ISNA(VLOOKUP(A45,'Données projet'!$A$35:$I$55,5,0)),0%,VLOOKUP(A45,'Données projet'!$A$35:$I$55,5,0)*VLOOKUP('Données projet'!$B$9,Paramètres!$A$1:$I$89,7,0))</f>
        <v>0.27500000000000002</v>
      </c>
      <c r="X45" s="16">
        <f>IF(ISNA(VLOOKUP(A45,'Données projet'!$A$35:$I$55,6,0)),0%,VLOOKUP(A45,'Données projet'!$A$35:$I$55,6,0)*VLOOKUP('Données projet'!$B$9,Paramètres!$A$1:$I$89,7,0))</f>
        <v>0.27500000000000002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14.713506747229195</v>
      </c>
      <c r="AA45" s="21">
        <f>EXP(-LN(2)/25)*AA44+(1-EXP(-LN(2)/25))/(LN(2)/25)*Calculateur!V45*Calculateur!X45*VLOOKUP('Données projet'!$B$9,Paramètres!$A$1:$I$89,3,0)*0.475*44/12</f>
        <v>79.03815865249031</v>
      </c>
      <c r="AB45" s="21">
        <f>EXP(-LN(2)/2)*AB44+(1-EXP(-LN(2)/2))/(LN(2)/2)*V45*Y45*VLOOKUP('Données projet'!$B$9,Paramètres!$A$1:$I$89,3,0)*0.475*44/12</f>
        <v>0</v>
      </c>
      <c r="AC45" s="22">
        <f t="shared" si="3"/>
        <v>93.751665399719499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27.068333333333328</v>
      </c>
      <c r="N46" s="13">
        <f>IF('Données projet'!$A$36&gt;35,N45+M46-V45,IF(A46&lt;'Données projet'!$A$36,$K$205^A46,IF(A46='Données projet'!$A$36,'Données projet'!$B$36,N45+M46-V45)))</f>
        <v>519.70833333333303</v>
      </c>
      <c r="O46" s="13">
        <f>N46*VLOOKUP('Données projet'!$B$9,Paramètres!$A$1:$I$89,3,0)*VLOOKUP('Données projet'!$B$9,Paramètres!$A$1:$I$89,5,0)</f>
        <v>229.71108333333322</v>
      </c>
      <c r="P46" s="13">
        <f t="shared" si="33"/>
        <v>56.220206423672479</v>
      </c>
      <c r="Q46" s="20">
        <f t="shared" si="53"/>
        <v>497.99699632678494</v>
      </c>
      <c r="R46" s="59">
        <f t="shared" si="0"/>
        <v>791.3303296601182</v>
      </c>
      <c r="S46" s="59">
        <f ca="1">AVERAGE(OFFSET($R$3,0,0,'Données projet'!$E$9+1,1))-AVERAGE(OFFSET($H$3,0,0,'Données projet'!$E$9+1,1))</f>
        <v>327.09084560210488</v>
      </c>
      <c r="T46" s="59">
        <f t="shared" si="34"/>
        <v>432.22711671615133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14.424983854269001</v>
      </c>
      <c r="AA46" s="21">
        <f>EXP(-LN(2)/25)*AA45+(1-EXP(-LN(2)/25))/(LN(2)/25)*Calculateur!V46*Calculateur!X46*VLOOKUP('Données projet'!$B$9,Paramètres!$A$1:$I$89,3,0)*0.475*44/12</f>
        <v>76.87685604770185</v>
      </c>
      <c r="AB46" s="21">
        <f>EXP(-LN(2)/2)*AB45+(1-EXP(-LN(2)/2))/(LN(2)/2)*V46*Y46*VLOOKUP('Données projet'!$B$9,Paramètres!$A$1:$I$89,3,0)*0.475*44/12</f>
        <v>0</v>
      </c>
      <c r="AC46" s="22">
        <f t="shared" si="3"/>
        <v>91.301839901970851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27.068333333333328</v>
      </c>
      <c r="N47" s="13">
        <f>IF('Données projet'!$A$36&gt;35,N46+M47-V46,IF(A47&lt;'Données projet'!$A$36,$K$205^A47,IF(A47='Données projet'!$A$36,'Données projet'!$B$36,N46+M47-V46)))</f>
        <v>546.77666666666642</v>
      </c>
      <c r="O47" s="13">
        <f>N47*VLOOKUP('Données projet'!$B$9,Paramètres!$A$1:$I$89,3,0)*VLOOKUP('Données projet'!$B$9,Paramètres!$A$1:$I$89,5,0)</f>
        <v>241.67528666666661</v>
      </c>
      <c r="P47" s="13">
        <f t="shared" si="33"/>
        <v>58.799830514755037</v>
      </c>
      <c r="Q47" s="20">
        <f t="shared" si="53"/>
        <v>523.32749575764262</v>
      </c>
      <c r="R47" s="59">
        <f t="shared" si="0"/>
        <v>816.66082909097599</v>
      </c>
      <c r="S47" s="59">
        <f ca="1">AVERAGE(OFFSET($R$3,0,0,'Données projet'!$E$9+1,1))-AVERAGE(OFFSET($H$3,0,0,'Données projet'!$E$9+1,1))</f>
        <v>327.09084560210488</v>
      </c>
      <c r="T47" s="59">
        <f t="shared" si="34"/>
        <v>432.22711671615133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14.142118719258171</v>
      </c>
      <c r="AA47" s="21">
        <f>EXP(-LN(2)/25)*AA46+(1-EXP(-LN(2)/25))/(LN(2)/25)*Calculateur!V47*Calculateur!X47*VLOOKUP('Données projet'!$B$9,Paramètres!$A$1:$I$89,3,0)*0.475*44/12</f>
        <v>74.774654376299281</v>
      </c>
      <c r="AB47" s="21">
        <f>EXP(-LN(2)/2)*AB46+(1-EXP(-LN(2)/2))/(LN(2)/2)*V47*Y47*VLOOKUP('Données projet'!$B$9,Paramètres!$A$1:$I$89,3,0)*0.475*44/12</f>
        <v>0</v>
      </c>
      <c r="AC47" s="22">
        <f t="shared" si="3"/>
        <v>88.91677309555746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27.068333333333328</v>
      </c>
      <c r="N48" s="13">
        <f>IF('Données projet'!$A$36&gt;35,N47+M48-V47,IF(A48&lt;'Données projet'!$A$36,$K$205^A48,IF(A48='Données projet'!$A$36,'Données projet'!$B$36,N47+M48-V47)))</f>
        <v>573.8449999999998</v>
      </c>
      <c r="O48" s="13">
        <f>N48*VLOOKUP('Données projet'!$B$9,Paramètres!$A$1:$I$89,3,0)*VLOOKUP('Données projet'!$B$9,Paramètres!$A$1:$I$89,5,0)</f>
        <v>253.63948999999994</v>
      </c>
      <c r="P48" s="13">
        <f t="shared" si="33"/>
        <v>61.364626093451839</v>
      </c>
      <c r="Q48" s="20">
        <f t="shared" si="53"/>
        <v>548.63216886276189</v>
      </c>
      <c r="R48" s="59">
        <f t="shared" si="0"/>
        <v>841.96550219609526</v>
      </c>
      <c r="S48" s="59">
        <f ca="1">AVERAGE(OFFSET($R$3,0,0,'Données projet'!$E$9+1,1))-AVERAGE(OFFSET($H$3,0,0,'Données projet'!$E$9+1,1))</f>
        <v>327.09084560210488</v>
      </c>
      <c r="T48" s="59">
        <f t="shared" si="34"/>
        <v>432.22711671615133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13.864800397014207</v>
      </c>
      <c r="AA48" s="21">
        <f>EXP(-LN(2)/25)*AA47+(1-EXP(-LN(2)/25))/(LN(2)/25)*Calculateur!V48*Calculateur!X48*VLOOKUP('Données projet'!$B$9,Paramètres!$A$1:$I$89,3,0)*0.475*44/12</f>
        <v>72.729937520151211</v>
      </c>
      <c r="AB48" s="21">
        <f>EXP(-LN(2)/2)*AB47+(1-EXP(-LN(2)/2))/(LN(2)/2)*V48*Y48*VLOOKUP('Données projet'!$B$9,Paramètres!$A$1:$I$89,3,0)*0.475*44/12</f>
        <v>0</v>
      </c>
      <c r="AC48" s="22">
        <f t="shared" si="3"/>
        <v>86.594737917165418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27.068333333333328</v>
      </c>
      <c r="N49" s="13">
        <f>IF('Données projet'!$A$36&gt;35,N48+M49-V48,IF(A49&lt;'Données projet'!$A$36,$K$205^A49,IF(A49='Données projet'!$A$36,'Données projet'!$B$36,N48+M49-V48)))</f>
        <v>600.91333333333318</v>
      </c>
      <c r="O49" s="13">
        <f>N49*VLOOKUP('Données projet'!$B$9,Paramètres!$A$1:$I$89,3,0)*VLOOKUP('Données projet'!$B$9,Paramètres!$A$1:$I$89,5,0)</f>
        <v>265.6036933333333</v>
      </c>
      <c r="P49" s="13">
        <f t="shared" si="33"/>
        <v>63.915372491057781</v>
      </c>
      <c r="Q49" s="20">
        <f t="shared" si="53"/>
        <v>573.91237297748114</v>
      </c>
      <c r="R49" s="59">
        <f t="shared" si="0"/>
        <v>867.24570631081451</v>
      </c>
      <c r="S49" s="59">
        <f ca="1">AVERAGE(OFFSET($R$3,0,0,'Données projet'!$E$9+1,1))-AVERAGE(OFFSET($H$3,0,0,'Données projet'!$E$9+1,1))</f>
        <v>327.09084560210488</v>
      </c>
      <c r="T49" s="59">
        <f t="shared" si="34"/>
        <v>432.22711671615133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13.592920117921972</v>
      </c>
      <c r="AA49" s="21">
        <f>EXP(-LN(2)/25)*AA48+(1-EXP(-LN(2)/25))/(LN(2)/25)*Calculateur!V49*Calculateur!X49*VLOOKUP('Données projet'!$B$9,Paramètres!$A$1:$I$89,3,0)*0.475*44/12</f>
        <v>70.74113355396149</v>
      </c>
      <c r="AB49" s="21">
        <f>EXP(-LN(2)/2)*AB48+(1-EXP(-LN(2)/2))/(LN(2)/2)*V49*Y49*VLOOKUP('Données projet'!$B$9,Paramètres!$A$1:$I$89,3,0)*0.475*44/12</f>
        <v>0</v>
      </c>
      <c r="AC49" s="22">
        <f t="shared" si="3"/>
        <v>84.334053671883467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27.068333333333328</v>
      </c>
      <c r="N50" s="13">
        <f>IF('Données projet'!$A$36&gt;35,N49+M50-V49,IF(A50&lt;'Données projet'!$A$36,$K$205^A50,IF(A50='Données projet'!$A$36,'Données projet'!$B$36,N49+M50-V49)))</f>
        <v>627.98166666666657</v>
      </c>
      <c r="O50" s="13">
        <f>N50*VLOOKUP('Données projet'!$B$9,Paramètres!$A$1:$I$89,3,0)*VLOOKUP('Données projet'!$B$9,Paramètres!$A$1:$I$89,5,0)</f>
        <v>277.56789666666663</v>
      </c>
      <c r="P50" s="13">
        <f t="shared" si="33"/>
        <v>66.452774859358669</v>
      </c>
      <c r="Q50" s="20">
        <f t="shared" si="53"/>
        <v>599.16933624116075</v>
      </c>
      <c r="R50" s="59">
        <f t="shared" si="0"/>
        <v>892.50266957449412</v>
      </c>
      <c r="S50" s="59">
        <f ca="1">AVERAGE(OFFSET($R$3,0,0,'Données projet'!$E$9+1,1))-AVERAGE(OFFSET($H$3,0,0,'Données projet'!$E$9+1,1))</f>
        <v>327.09084560210488</v>
      </c>
      <c r="T50" s="59">
        <f t="shared" si="34"/>
        <v>432.22711671615133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13.326371245272139</v>
      </c>
      <c r="AA50" s="21">
        <f>EXP(-LN(2)/25)*AA49+(1-EXP(-LN(2)/25))/(LN(2)/25)*Calculateur!V50*Calculateur!X50*VLOOKUP('Données projet'!$B$9,Paramètres!$A$1:$I$89,3,0)*0.475*44/12</f>
        <v>68.806713536813874</v>
      </c>
      <c r="AB50" s="21">
        <f>EXP(-LN(2)/2)*AB49+(1-EXP(-LN(2)/2))/(LN(2)/2)*V50*Y50*VLOOKUP('Données projet'!$B$9,Paramètres!$A$1:$I$89,3,0)*0.475*44/12</f>
        <v>0</v>
      </c>
      <c r="AC50" s="22">
        <f t="shared" si="3"/>
        <v>82.133084782086016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655.04999999999995</v>
      </c>
      <c r="L51" s="12">
        <f>VLOOKUP(A51,'Données projet'!$A$35:$I$55,9,0)</f>
        <v>27.068333333333328</v>
      </c>
      <c r="M51" s="12">
        <f t="array" ref="M51">INDEX(L:L,MIN(IF(ISNUMBER(L51:L247),ROW(L51:L247),"")))</f>
        <v>27.068333333333328</v>
      </c>
      <c r="N51" s="13">
        <f>IF('Données projet'!$A$36&gt;35,N50+M51-V50,IF(A51&lt;'Données projet'!$A$36,$K$205^A51,IF(A51='Données projet'!$A$36,'Données projet'!$B$36,N50+M51-V50)))</f>
        <v>655.04999999999995</v>
      </c>
      <c r="O51" s="13">
        <f>N51*VLOOKUP('Données projet'!$B$9,Paramètres!$A$1:$I$89,3,0)*VLOOKUP('Données projet'!$B$9,Paramètres!$A$1:$I$89,5,0)</f>
        <v>289.53210000000001</v>
      </c>
      <c r="P51" s="13">
        <f t="shared" si="33"/>
        <v>68.977474122894989</v>
      </c>
      <c r="Q51" s="20">
        <f t="shared" si="53"/>
        <v>624.40417493070879</v>
      </c>
      <c r="R51" s="59">
        <f t="shared" si="0"/>
        <v>917.73750826404216</v>
      </c>
      <c r="S51" s="59">
        <f ca="1">AVERAGE(OFFSET($R$3,0,0,'Données projet'!$E$9+1,1))-AVERAGE(OFFSET($H$3,0,0,'Données projet'!$E$9+1,1))</f>
        <v>327.09084560210488</v>
      </c>
      <c r="T51" s="59">
        <f t="shared" si="34"/>
        <v>432.22711671615133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101.34</v>
      </c>
      <c r="W51" s="16">
        <f>IF(ISNA(VLOOKUP(A51,'Données projet'!$A$35:$I$55,5,0)),0%,VLOOKUP(A51,'Données projet'!$A$35:$I$55,5,0)*VLOOKUP('Données projet'!$B$9,Paramètres!$A$1:$I$89,7,0))</f>
        <v>0.27500000000000002</v>
      </c>
      <c r="X51" s="16">
        <f>IF(ISNA(VLOOKUP(A51,'Données projet'!$A$35:$I$55,6,0)),0%,VLOOKUP(A51,'Données projet'!$A$35:$I$55,6,0)*VLOOKUP('Données projet'!$B$9,Paramètres!$A$1:$I$89,7,0))</f>
        <v>0.27500000000000002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29.405507028112446</v>
      </c>
      <c r="AA51" s="21">
        <f>EXP(-LN(2)/25)*AA50+(1-EXP(-LN(2)/25))/(LN(2)/25)*Calculateur!V51*Calculateur!X51*VLOOKUP('Données projet'!$B$9,Paramètres!$A$1:$I$89,3,0)*0.475*44/12</f>
        <v>83.201309522897944</v>
      </c>
      <c r="AB51" s="21">
        <f>EXP(-LN(2)/2)*AB50+(1-EXP(-LN(2)/2))/(LN(2)/2)*V51*Y51*VLOOKUP('Données projet'!$B$9,Paramètres!$A$1:$I$89,3,0)*0.475*44/12</f>
        <v>0</v>
      </c>
      <c r="AC51" s="22">
        <f t="shared" si="3"/>
        <v>112.60681655101038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25.673333333333346</v>
      </c>
      <c r="N52" s="13">
        <f>IF('Données projet'!$A$36&gt;35,N51+M52-V51,IF(A52&lt;'Données projet'!$A$36,$K$205^A52,IF(A52='Données projet'!$A$36,'Données projet'!$B$36,N51+M52-V51)))</f>
        <v>579.38333333333333</v>
      </c>
      <c r="O52" s="13">
        <f>N52*VLOOKUP('Données projet'!$B$9,Paramètres!$A$1:$I$89,3,0)*VLOOKUP('Données projet'!$B$9,Paramètres!$A$1:$I$89,5,0)</f>
        <v>256.08743333333337</v>
      </c>
      <c r="P52" s="13">
        <f t="shared" si="33"/>
        <v>61.887642300951732</v>
      </c>
      <c r="Q52" s="20">
        <f t="shared" si="53"/>
        <v>553.80659006304643</v>
      </c>
      <c r="R52" s="59">
        <f t="shared" si="0"/>
        <v>847.1399233963798</v>
      </c>
      <c r="S52" s="59">
        <f ca="1">AVERAGE(OFFSET($R$3,0,0,'Données projet'!$E$9+1,1))-AVERAGE(OFFSET($H$3,0,0,'Données projet'!$E$9+1,1))</f>
        <v>327.09084560210488</v>
      </c>
      <c r="T52" s="59">
        <f t="shared" si="34"/>
        <v>432.22711671615133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28.828882970879455</v>
      </c>
      <c r="AA52" s="21">
        <f>EXP(-LN(2)/25)*AA51+(1-EXP(-LN(2)/25))/(LN(2)/25)*Calculateur!V52*Calculateur!X52*VLOOKUP('Données projet'!$B$9,Paramètres!$A$1:$I$89,3,0)*0.475*44/12</f>
        <v>80.926165338627584</v>
      </c>
      <c r="AB52" s="21">
        <f>EXP(-LN(2)/2)*AB51+(1-EXP(-LN(2)/2))/(LN(2)/2)*V52*Y52*VLOOKUP('Données projet'!$B$9,Paramètres!$A$1:$I$89,3,0)*0.475*44/12</f>
        <v>0</v>
      </c>
      <c r="AC52" s="22">
        <f t="shared" si="3"/>
        <v>109.75504830950703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25.673333333333346</v>
      </c>
      <c r="N53" s="13">
        <f>IF('Données projet'!$A$36&gt;35,N52+M53-V52,IF(A53&lt;'Données projet'!$A$36,$K$205^A53,IF(A53='Données projet'!$A$36,'Données projet'!$B$36,N52+M53-V52)))</f>
        <v>605.05666666666662</v>
      </c>
      <c r="O53" s="13">
        <f>N53*VLOOKUP('Données projet'!$B$9,Paramètres!$A$1:$I$89,3,0)*VLOOKUP('Données projet'!$B$9,Paramètres!$A$1:$I$89,5,0)</f>
        <v>267.43504666666666</v>
      </c>
      <c r="P53" s="13">
        <f t="shared" si="33"/>
        <v>64.304619421636403</v>
      </c>
      <c r="Q53" s="20">
        <f t="shared" si="53"/>
        <v>577.77991843712778</v>
      </c>
      <c r="R53" s="59">
        <f t="shared" si="0"/>
        <v>871.11325177046115</v>
      </c>
      <c r="S53" s="59">
        <f ca="1">AVERAGE(OFFSET($R$3,0,0,'Données projet'!$E$9+1,1))-AVERAGE(OFFSET($H$3,0,0,'Données projet'!$E$9+1,1))</f>
        <v>327.09084560210488</v>
      </c>
      <c r="T53" s="59">
        <f t="shared" si="34"/>
        <v>432.22711671615133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28.263566159702858</v>
      </c>
      <c r="AA53" s="21">
        <f>EXP(-LN(2)/25)*AA52+(1-EXP(-LN(2)/25))/(LN(2)/25)*Calculateur!V53*Calculateur!X53*VLOOKUP('Données projet'!$B$9,Paramètres!$A$1:$I$89,3,0)*0.475*44/12</f>
        <v>78.713235091720733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106.97680125142359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25.673333333333346</v>
      </c>
      <c r="N54" s="13">
        <f>IF('Données projet'!$A$36&gt;35,N53+M54-V53,IF(A54&lt;'Données projet'!$A$36,$K$205^A54,IF(A54='Données projet'!$A$36,'Données projet'!$B$36,N53+M54-V53)))</f>
        <v>630.73</v>
      </c>
      <c r="O54" s="13">
        <f>N54*VLOOKUP('Données projet'!$B$9,Paramètres!$A$1:$I$89,3,0)*VLOOKUP('Données projet'!$B$9,Paramètres!$A$1:$I$89,5,0)</f>
        <v>278.78266000000002</v>
      </c>
      <c r="P54" s="13">
        <f t="shared" si="33"/>
        <v>66.709684744211927</v>
      </c>
      <c r="Q54" s="20">
        <f t="shared" si="53"/>
        <v>601.73250042950247</v>
      </c>
      <c r="R54" s="59">
        <f t="shared" si="0"/>
        <v>895.06583376283584</v>
      </c>
      <c r="S54" s="59">
        <f ca="1">AVERAGE(OFFSET($R$3,0,0,'Données projet'!$E$9+1,1))-AVERAGE(OFFSET($H$3,0,0,'Données projet'!$E$9+1,1))</f>
        <v>327.09084560210488</v>
      </c>
      <c r="T54" s="59">
        <f t="shared" si="34"/>
        <v>432.22711671615133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27.709334866384225</v>
      </c>
      <c r="AA54" s="21">
        <f>EXP(-LN(2)/25)*AA53+(1-EXP(-LN(2)/25))/(LN(2)/25)*Calculateur!V54*Calculateur!X54*VLOOKUP('Données projet'!$B$9,Paramètres!$A$1:$I$89,3,0)*0.475*44/12</f>
        <v>76.560817538788498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104.27015240517272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25.673333333333346</v>
      </c>
      <c r="N55" s="13">
        <f>IF('Données projet'!$A$36&gt;35,N54+M55-V54,IF(A55&lt;'Données projet'!$A$36,$K$205^A55,IF(A55='Données projet'!$A$36,'Données projet'!$B$36,N54+M55-V54)))</f>
        <v>656.40333333333342</v>
      </c>
      <c r="O55" s="13">
        <f>N55*VLOOKUP('Données projet'!$B$9,Paramètres!$A$1:$I$89,3,0)*VLOOKUP('Données projet'!$B$9,Paramètres!$A$1:$I$89,5,0)</f>
        <v>290.13027333333343</v>
      </c>
      <c r="P55" s="13">
        <f t="shared" si="33"/>
        <v>69.103378589915536</v>
      </c>
      <c r="Q55" s="20">
        <f t="shared" si="53"/>
        <v>625.66527709965862</v>
      </c>
      <c r="R55" s="59">
        <f t="shared" si="0"/>
        <v>918.99861043299188</v>
      </c>
      <c r="S55" s="59">
        <f ca="1">AVERAGE(OFFSET($R$3,0,0,'Données projet'!$E$9+1,1))-AVERAGE(OFFSET($H$3,0,0,'Données projet'!$E$9+1,1))</f>
        <v>327.09084560210488</v>
      </c>
      <c r="T55" s="59">
        <f t="shared" si="34"/>
        <v>432.22711671615133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27.165971710679862</v>
      </c>
      <c r="AA55" s="21">
        <f>EXP(-LN(2)/25)*AA54+(1-EXP(-LN(2)/25))/(LN(2)/25)*Calculateur!V55*Calculateur!X55*VLOOKUP('Données projet'!$B$9,Paramètres!$A$1:$I$89,3,0)*0.475*44/12</f>
        <v>74.467257957031919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101.63322966771179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25.673333333333346</v>
      </c>
      <c r="N56" s="13">
        <f>IF('Données projet'!$A$36&gt;35,N55+M56-V55,IF(A56&lt;'Données projet'!$A$36,$K$205^A56,IF(A56='Données projet'!$A$36,'Données projet'!$B$36,N55+M56-V55)))</f>
        <v>682.07666666666682</v>
      </c>
      <c r="O56" s="13">
        <f>N56*VLOOKUP('Données projet'!$B$9,Paramètres!$A$1:$I$89,3,0)*VLOOKUP('Données projet'!$B$9,Paramètres!$A$1:$I$89,5,0)</f>
        <v>301.47788666666673</v>
      </c>
      <c r="P56" s="13">
        <f t="shared" si="33"/>
        <v>71.486196620680417</v>
      </c>
      <c r="Q56" s="20">
        <f t="shared" si="53"/>
        <v>649.57911172546289</v>
      </c>
      <c r="R56" s="59">
        <f t="shared" si="0"/>
        <v>942.91244505879627</v>
      </c>
      <c r="S56" s="59">
        <f ca="1">AVERAGE(OFFSET($R$3,0,0,'Données projet'!$E$9+1,1))-AVERAGE(OFFSET($H$3,0,0,'Données projet'!$E$9+1,1))</f>
        <v>327.09084560210488</v>
      </c>
      <c r="T56" s="59">
        <f t="shared" si="34"/>
        <v>432.22711671615133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26.633263575040061</v>
      </c>
      <c r="AA56" s="21">
        <f>EXP(-LN(2)/25)*AA55+(1-EXP(-LN(2)/25))/(LN(2)/25)*Calculateur!V56*Calculateur!X56*VLOOKUP('Données projet'!$B$9,Paramètres!$A$1:$I$89,3,0)*0.475*44/12</f>
        <v>72.430946872133987</v>
      </c>
      <c r="AB56" s="21">
        <f>EXP(-LN(2)/2)*AB55+(1-EXP(-LN(2)/2))/(LN(2)/2)*V56*Y56*VLOOKUP('Données projet'!$B$9,Paramètres!$A$1:$I$89,3,0)*0.475*44/12</f>
        <v>0</v>
      </c>
      <c r="AC56" s="22">
        <f t="shared" si="3"/>
        <v>99.064210447174048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707.75</v>
      </c>
      <c r="L57" s="12">
        <f>VLOOKUP(A57,'Données projet'!$A$35:$I$55,9,0)</f>
        <v>25.673333333333346</v>
      </c>
      <c r="M57" s="12">
        <f t="array" ref="M57">INDEX(L:L,MIN(IF(ISNUMBER(L57:L253),ROW(L57:L253),"")))</f>
        <v>25.673333333333346</v>
      </c>
      <c r="N57" s="13">
        <f>IF('Données projet'!$A$36&gt;35,N56+M57-V56,IF(A57&lt;'Données projet'!$A$36,$K$205^A57,IF(A57='Données projet'!$A$36,'Données projet'!$B$36,N56+M57-V56)))</f>
        <v>707.75000000000023</v>
      </c>
      <c r="O57" s="13">
        <f>N57*VLOOKUP('Données projet'!$B$9,Paramètres!$A$1:$I$89,3,0)*VLOOKUP('Données projet'!$B$9,Paramètres!$A$1:$I$89,5,0)</f>
        <v>312.82550000000015</v>
      </c>
      <c r="P57" s="13">
        <f t="shared" si="33"/>
        <v>73.858595071350535</v>
      </c>
      <c r="Q57" s="20">
        <f t="shared" si="53"/>
        <v>673.47479891593559</v>
      </c>
      <c r="R57" s="59">
        <f t="shared" si="0"/>
        <v>966.80813224926897</v>
      </c>
      <c r="S57" s="59">
        <f ca="1">AVERAGE(OFFSET($R$3,0,0,'Données projet'!$E$9+1,1))-AVERAGE(OFFSET($H$3,0,0,'Données projet'!$E$9+1,1))</f>
        <v>327.09084560210488</v>
      </c>
      <c r="T57" s="59">
        <f t="shared" si="34"/>
        <v>432.22711671615133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707.75</v>
      </c>
      <c r="W57" s="16">
        <f>IF(ISNA(VLOOKUP(A57,'Données projet'!$A$35:$I$55,5,0)),0%,VLOOKUP(A57,'Données projet'!$A$35:$I$55,5,0)*VLOOKUP('Données projet'!$B$9,Paramètres!$A$1:$I$89,7,0))</f>
        <v>0.38500000000000001</v>
      </c>
      <c r="X57" s="16">
        <f>IF(ISNA(VLOOKUP(A57,'Données projet'!$A$35:$I$55,6,0)),0%,VLOOKUP(A57,'Données projet'!$A$35:$I$55,6,0)*VLOOKUP('Données projet'!$B$9,Paramètres!$A$1:$I$89,7,0))</f>
        <v>0.16500000000000001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185.87952930723455</v>
      </c>
      <c r="AA57" s="21">
        <f>EXP(-LN(2)/25)*AA56+(1-EXP(-LN(2)/25))/(LN(2)/25)*Calculateur!V57*Calculateur!X57*VLOOKUP('Données projet'!$B$9,Paramètres!$A$1:$I$89,3,0)*0.475*44/12</f>
        <v>138.65294377053959</v>
      </c>
      <c r="AB57" s="21">
        <f>EXP(-LN(2)/2)*AB56+(1-EXP(-LN(2)/2))/(LN(2)/2)*V57*Y57*VLOOKUP('Données projet'!$B$9,Paramètres!$A$1:$I$89,3,0)*0.475*44/12</f>
        <v>0</v>
      </c>
      <c r="AC57" s="22">
        <f t="shared" si="3"/>
        <v>324.53247307777417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2.2737367544323206E-13</v>
      </c>
      <c r="O58" s="13">
        <f>N58*VLOOKUP('Données projet'!$B$9,Paramètres!$A$1:$I$89,3,0)*VLOOKUP('Données projet'!$B$9,Paramètres!$A$1:$I$89,5,0)</f>
        <v>1.0049916454590858E-13</v>
      </c>
      <c r="P58" s="13">
        <f t="shared" si="33"/>
        <v>1.5089081593838289E-12</v>
      </c>
      <c r="Q58" s="20">
        <f t="shared" si="53"/>
        <v>2.8030510891776262E-12</v>
      </c>
      <c r="R58" s="59">
        <f t="shared" si="0"/>
        <v>293.3333333333361</v>
      </c>
      <c r="S58" s="59">
        <f ca="1">AVERAGE(OFFSET($R$3,0,0,'Données projet'!$E$9+1,1))-AVERAGE(OFFSET($H$3,0,0,'Données projet'!$E$9+1,1))</f>
        <v>327.09084560210488</v>
      </c>
      <c r="T58" s="59">
        <f t="shared" si="34"/>
        <v>432.22711671615133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182.23454511283768</v>
      </c>
      <c r="AA58" s="21">
        <f>EXP(-LN(2)/25)*AA57+(1-EXP(-LN(2)/25))/(LN(2)/25)*Calculateur!V58*Calculateur!X58*VLOOKUP('Données projet'!$B$9,Paramètres!$A$1:$I$89,3,0)*0.475*44/12</f>
        <v>134.86147173169277</v>
      </c>
      <c r="AB58" s="21">
        <f>EXP(-LN(2)/2)*AB57+(1-EXP(-LN(2)/2))/(LN(2)/2)*V58*Y58*VLOOKUP('Données projet'!$B$9,Paramètres!$A$1:$I$89,3,0)*0.475*44/12</f>
        <v>0</v>
      </c>
      <c r="AC58" s="22">
        <f t="shared" si="3"/>
        <v>317.09601684453048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2.2737367544323206E-13</v>
      </c>
      <c r="O59" s="13">
        <f>N59*VLOOKUP('Données projet'!$B$9,Paramètres!$A$1:$I$89,3,0)*VLOOKUP('Données projet'!$B$9,Paramètres!$A$1:$I$89,5,0)</f>
        <v>1.0049916454590858E-13</v>
      </c>
      <c r="P59" s="13">
        <f t="shared" si="33"/>
        <v>1.5089081593838289E-12</v>
      </c>
      <c r="Q59" s="20">
        <f t="shared" si="53"/>
        <v>2.8030510891776262E-12</v>
      </c>
      <c r="R59" s="59">
        <f t="shared" si="0"/>
        <v>293.3333333333361</v>
      </c>
      <c r="S59" s="59">
        <f ca="1">AVERAGE(OFFSET($R$3,0,0,'Données projet'!$E$9+1,1))-AVERAGE(OFFSET($H$3,0,0,'Données projet'!$E$9+1,1))</f>
        <v>327.09084560210488</v>
      </c>
      <c r="T59" s="59">
        <f t="shared" si="34"/>
        <v>432.22711671615133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178.66103683527209</v>
      </c>
      <c r="AA59" s="21">
        <f>EXP(-LN(2)/25)*AA58+(1-EXP(-LN(2)/25))/(LN(2)/25)*Calculateur!V59*Calculateur!X59*VLOOKUP('Données projet'!$B$9,Paramètres!$A$1:$I$89,3,0)*0.475*44/12</f>
        <v>131.17367769513308</v>
      </c>
      <c r="AB59" s="21">
        <f>EXP(-LN(2)/2)*AB58+(1-EXP(-LN(2)/2))/(LN(2)/2)*V59*Y59*VLOOKUP('Données projet'!$B$9,Paramètres!$A$1:$I$89,3,0)*0.475*44/12</f>
        <v>0</v>
      </c>
      <c r="AC59" s="22">
        <f t="shared" si="3"/>
        <v>309.83471453040517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1.0049916454590858E-13</v>
      </c>
      <c r="P60" s="13">
        <f t="shared" si="33"/>
        <v>1.5089081593838289E-12</v>
      </c>
      <c r="Q60" s="20">
        <f t="shared" si="53"/>
        <v>2.8030510891776262E-12</v>
      </c>
      <c r="R60" s="59">
        <f t="shared" si="0"/>
        <v>293.3333333333361</v>
      </c>
      <c r="S60" s="59">
        <f ca="1">AVERAGE(OFFSET($R$3,0,0,'Données projet'!$E$9+1,1))-AVERAGE(OFFSET($H$3,0,0,'Données projet'!$E$9+1,1))</f>
        <v>327.09084560210488</v>
      </c>
      <c r="T60" s="59">
        <f t="shared" si="34"/>
        <v>432.22711671615133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175.15760287540473</v>
      </c>
      <c r="AA60" s="21">
        <f>EXP(-LN(2)/25)*AA59+(1-EXP(-LN(2)/25))/(LN(2)/25)*Calculateur!V60*Calculateur!X60*VLOOKUP('Données projet'!$B$9,Paramètres!$A$1:$I$89,3,0)*0.475*44/12</f>
        <v>127.58672658043575</v>
      </c>
      <c r="AB60" s="21">
        <f>EXP(-LN(2)/2)*AB59+(1-EXP(-LN(2)/2))/(LN(2)/2)*V60*Y60*VLOOKUP('Données projet'!$B$9,Paramètres!$A$1:$I$89,3,0)*0.475*44/12</f>
        <v>0</v>
      </c>
      <c r="AC60" s="22">
        <f t="shared" si="3"/>
        <v>302.7443294558405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1.0049916454590858E-13</v>
      </c>
      <c r="P61" s="13">
        <f t="shared" si="33"/>
        <v>1.5089081593838289E-12</v>
      </c>
      <c r="Q61" s="20">
        <f t="shared" si="53"/>
        <v>2.8030510891776262E-12</v>
      </c>
      <c r="R61" s="59">
        <f t="shared" si="0"/>
        <v>293.3333333333361</v>
      </c>
      <c r="S61" s="59">
        <f ca="1">AVERAGE(OFFSET($R$3,0,0,'Données projet'!$E$9+1,1))-AVERAGE(OFFSET($H$3,0,0,'Données projet'!$E$9+1,1))</f>
        <v>327.09084560210488</v>
      </c>
      <c r="T61" s="59">
        <f t="shared" si="34"/>
        <v>432.22711671615133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171.72286911860667</v>
      </c>
      <c r="AA61" s="21">
        <f>EXP(-LN(2)/25)*AA60+(1-EXP(-LN(2)/25))/(LN(2)/25)*Calculateur!V61*Calculateur!X61*VLOOKUP('Données projet'!$B$9,Paramètres!$A$1:$I$89,3,0)*0.475*44/12</f>
        <v>124.09786083259939</v>
      </c>
      <c r="AB61" s="21">
        <f>EXP(-LN(2)/2)*AB60+(1-EXP(-LN(2)/2))/(LN(2)/2)*V61*Y61*VLOOKUP('Données projet'!$B$9,Paramètres!$A$1:$I$89,3,0)*0.475*44/12</f>
        <v>0</v>
      </c>
      <c r="AC61" s="22">
        <f t="shared" si="3"/>
        <v>295.82072995120609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1.0049916454590858E-13</v>
      </c>
      <c r="P62" s="13">
        <f t="shared" si="33"/>
        <v>1.5089081593838289E-12</v>
      </c>
      <c r="Q62" s="20">
        <f t="shared" si="53"/>
        <v>2.8030510891776262E-12</v>
      </c>
      <c r="R62" s="59">
        <f t="shared" si="0"/>
        <v>293.3333333333361</v>
      </c>
      <c r="S62" s="59">
        <f ca="1">AVERAGE(OFFSET($R$3,0,0,'Données projet'!$E$9+1,1))-AVERAGE(OFFSET($H$3,0,0,'Données projet'!$E$9+1,1))</f>
        <v>327.09084560210488</v>
      </c>
      <c r="T62" s="59">
        <f t="shared" si="34"/>
        <v>432.22711671615133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168.35548839579869</v>
      </c>
      <c r="AA62" s="21">
        <f>EXP(-LN(2)/25)*AA61+(1-EXP(-LN(2)/25))/(LN(2)/25)*Calculateur!V62*Calculateur!X62*VLOOKUP('Données projet'!$B$9,Paramètres!$A$1:$I$89,3,0)*0.475*44/12</f>
        <v>120.7043983021091</v>
      </c>
      <c r="AB62" s="21">
        <f>EXP(-LN(2)/2)*AB61+(1-EXP(-LN(2)/2))/(LN(2)/2)*V62*Y62*VLOOKUP('Données projet'!$B$9,Paramètres!$A$1:$I$89,3,0)*0.475*44/12</f>
        <v>0</v>
      </c>
      <c r="AC62" s="22">
        <f t="shared" si="3"/>
        <v>289.05988669790781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1.0049916454590858E-13</v>
      </c>
      <c r="P63" s="13">
        <f t="shared" si="33"/>
        <v>1.5089081593838289E-12</v>
      </c>
      <c r="Q63" s="20">
        <f t="shared" si="53"/>
        <v>2.8030510891776262E-12</v>
      </c>
      <c r="R63" s="59">
        <f t="shared" si="0"/>
        <v>293.3333333333361</v>
      </c>
      <c r="S63" s="59">
        <f ca="1">AVERAGE(OFFSET($R$3,0,0,'Données projet'!$E$9+1,1))-AVERAGE(OFFSET($H$3,0,0,'Données projet'!$E$9+1,1))</f>
        <v>327.09084560210488</v>
      </c>
      <c r="T63" s="59">
        <f t="shared" si="34"/>
        <v>432.22711671615133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165.05413995506552</v>
      </c>
      <c r="AA63" s="21">
        <f>EXP(-LN(2)/25)*AA62+(1-EXP(-LN(2)/25))/(LN(2)/25)*Calculateur!V63*Calculateur!X63*VLOOKUP('Données projet'!$B$9,Paramètres!$A$1:$I$89,3,0)*0.475*44/12</f>
        <v>117.4037301829695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282.45787013803499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1.0049916454590858E-13</v>
      </c>
      <c r="P64" s="13">
        <f t="shared" si="33"/>
        <v>1.5089081593838289E-12</v>
      </c>
      <c r="Q64" s="20">
        <f t="shared" si="53"/>
        <v>2.8030510891776262E-12</v>
      </c>
      <c r="R64" s="59">
        <f t="shared" si="0"/>
        <v>293.3333333333361</v>
      </c>
      <c r="S64" s="59">
        <f ca="1">AVERAGE(OFFSET($R$3,0,0,'Données projet'!$E$9+1,1))-AVERAGE(OFFSET($H$3,0,0,'Données projet'!$E$9+1,1))</f>
        <v>327.09084560210488</v>
      </c>
      <c r="T64" s="59">
        <f t="shared" si="34"/>
        <v>432.22711671615133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161.81752894363143</v>
      </c>
      <c r="AA64" s="21">
        <f>EXP(-LN(2)/25)*AA63+(1-EXP(-LN(2)/25))/(LN(2)/25)*Calculateur!V64*Calculateur!X64*VLOOKUP('Données projet'!$B$9,Paramètres!$A$1:$I$89,3,0)*0.475*44/12</f>
        <v>114.19331900712235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276.01084795075377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1.0049916454590858E-13</v>
      </c>
      <c r="P65" s="13">
        <f t="shared" si="33"/>
        <v>1.5089081593838289E-12</v>
      </c>
      <c r="Q65" s="20">
        <f t="shared" si="53"/>
        <v>2.8030510891776262E-12</v>
      </c>
      <c r="R65" s="59">
        <f t="shared" si="0"/>
        <v>293.3333333333361</v>
      </c>
      <c r="S65" s="59">
        <f ca="1">AVERAGE(OFFSET($R$3,0,0,'Données projet'!$E$9+1,1))-AVERAGE(OFFSET($H$3,0,0,'Données projet'!$E$9+1,1))</f>
        <v>327.09084560210488</v>
      </c>
      <c r="T65" s="59">
        <f t="shared" si="34"/>
        <v>432.22711671615133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158.64438589999375</v>
      </c>
      <c r="AA65" s="21">
        <f>EXP(-LN(2)/25)*AA64+(1-EXP(-LN(2)/25))/(LN(2)/25)*Calculateur!V65*Calculateur!X65*VLOOKUP('Données projet'!$B$9,Paramètres!$A$1:$I$89,3,0)*0.475*44/12</f>
        <v>111.07069669370694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269.71508259370069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1.0049916454590858E-13</v>
      </c>
      <c r="P66" s="13">
        <f t="shared" si="33"/>
        <v>1.5089081593838289E-12</v>
      </c>
      <c r="Q66" s="20">
        <f t="shared" si="53"/>
        <v>2.8030510891776262E-12</v>
      </c>
      <c r="R66" s="59">
        <f t="shared" si="0"/>
        <v>293.3333333333361</v>
      </c>
      <c r="S66" s="59">
        <f ca="1">AVERAGE(OFFSET($R$3,0,0,'Données projet'!$E$9+1,1))-AVERAGE(OFFSET($H$3,0,0,'Données projet'!$E$9+1,1))</f>
        <v>327.09084560210488</v>
      </c>
      <c r="T66" s="59">
        <f t="shared" si="34"/>
        <v>432.22711671615133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155.53346625601566</v>
      </c>
      <c r="AA66" s="21">
        <f>EXP(-LN(2)/25)*AA65+(1-EXP(-LN(2)/25))/(LN(2)/25)*Calculateur!V66*Calculateur!X66*VLOOKUP('Données projet'!$B$9,Paramètres!$A$1:$I$89,3,0)*0.475*44/12</f>
        <v>108.03346265166344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263.56692890767908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1.0049916454590858E-13</v>
      </c>
      <c r="P67" s="13">
        <f t="shared" si="33"/>
        <v>1.5089081593838289E-12</v>
      </c>
      <c r="Q67" s="20">
        <f t="shared" ref="Q67:Q98" si="54">(O67+P67)*0.475*44/12</f>
        <v>2.8030510891776262E-12</v>
      </c>
      <c r="R67" s="59">
        <f t="shared" ref="R67:R130" si="55">Q67+(I67+J67)*44/12</f>
        <v>293.3333333333361</v>
      </c>
      <c r="S67" s="59">
        <f ca="1">AVERAGE(OFFSET($R$3,0,0,'Données projet'!$E$9+1,1))-AVERAGE(OFFSET($H$3,0,0,'Données projet'!$E$9+1,1))</f>
        <v>327.09084560210488</v>
      </c>
      <c r="T67" s="59">
        <f t="shared" si="34"/>
        <v>432.22711671615133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152.48354984878236</v>
      </c>
      <c r="AA67" s="21">
        <f>EXP(-LN(2)/25)*AA66+(1-EXP(-LN(2)/25))/(LN(2)/25)*Calculateur!V67*Calculateur!X67*VLOOKUP('Données projet'!$B$9,Paramètres!$A$1:$I$89,3,0)*0.475*44/12</f>
        <v>105.07928193422082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257.56283178300316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1.0049916454590858E-13</v>
      </c>
      <c r="P68" s="13">
        <f t="shared" si="33"/>
        <v>1.5089081593838289E-12</v>
      </c>
      <c r="Q68" s="20">
        <f t="shared" si="54"/>
        <v>2.8030510891776262E-12</v>
      </c>
      <c r="R68" s="59">
        <f t="shared" si="55"/>
        <v>293.3333333333361</v>
      </c>
      <c r="S68" s="59">
        <f ca="1">AVERAGE(OFFSET($R$3,0,0,'Données projet'!$E$9+1,1))-AVERAGE(OFFSET($H$3,0,0,'Données projet'!$E$9+1,1))</f>
        <v>327.09084560210488</v>
      </c>
      <c r="T68" s="59">
        <f t="shared" si="34"/>
        <v>432.22711671615133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149.49344044202959</v>
      </c>
      <c r="AA68" s="21">
        <f>EXP(-LN(2)/25)*AA67+(1-EXP(-LN(2)/25))/(LN(2)/25)*Calculateur!V68*Calculateur!X68*VLOOKUP('Données projet'!$B$9,Paramètres!$A$1:$I$89,3,0)*0.475*44/12</f>
        <v>102.20588344385027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251.69932388587986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1.0049916454590858E-13</v>
      </c>
      <c r="P69" s="13">
        <f t="shared" ref="P69:P132" si="87">EXP(-1.0587+0.8836*LN(O69)+0.284)</f>
        <v>1.5089081593838289E-12</v>
      </c>
      <c r="Q69" s="20">
        <f t="shared" si="54"/>
        <v>2.8030510891776262E-12</v>
      </c>
      <c r="R69" s="59">
        <f t="shared" si="55"/>
        <v>293.3333333333361</v>
      </c>
      <c r="S69" s="59">
        <f ca="1">AVERAGE(OFFSET($R$3,0,0,'Données projet'!$E$9+1,1))-AVERAGE(OFFSET($H$3,0,0,'Données projet'!$E$9+1,1))</f>
        <v>327.09084560210488</v>
      </c>
      <c r="T69" s="59">
        <f t="shared" ref="T69:T132" si="88">$T$3</f>
        <v>432.22711671615133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146.5619652569566</v>
      </c>
      <c r="AA69" s="21">
        <f>EXP(-LN(2)/25)*AA68+(1-EXP(-LN(2)/25))/(LN(2)/25)*Calculateur!V69*Calculateur!X69*VLOOKUP('Données projet'!$B$9,Paramètres!$A$1:$I$89,3,0)*0.475*44/12</f>
        <v>99.411058186304373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245.97302344326096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1.0049916454590858E-13</v>
      </c>
      <c r="P70" s="13">
        <f t="shared" si="87"/>
        <v>1.5089081593838289E-12</v>
      </c>
      <c r="Q70" s="20">
        <f t="shared" si="54"/>
        <v>2.8030510891776262E-12</v>
      </c>
      <c r="R70" s="59">
        <f t="shared" si="55"/>
        <v>293.3333333333361</v>
      </c>
      <c r="S70" s="59">
        <f ca="1">AVERAGE(OFFSET($R$3,0,0,'Données projet'!$E$9+1,1))-AVERAGE(OFFSET($H$3,0,0,'Données projet'!$E$9+1,1))</f>
        <v>327.09084560210488</v>
      </c>
      <c r="T70" s="59">
        <f t="shared" si="88"/>
        <v>432.22711671615133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143.68797451223958</v>
      </c>
      <c r="AA70" s="21">
        <f>EXP(-LN(2)/25)*AA69+(1-EXP(-LN(2)/25))/(LN(2)/25)*Calculateur!V70*Calculateur!X70*VLOOKUP('Données projet'!$B$9,Paramètres!$A$1:$I$89,3,0)*0.475*44/12</f>
        <v>96.69265757239954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240.3806320846391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1.0049916454590858E-13</v>
      </c>
      <c r="P71" s="13">
        <f t="shared" si="87"/>
        <v>1.5089081593838289E-12</v>
      </c>
      <c r="Q71" s="20">
        <f t="shared" si="54"/>
        <v>2.8030510891776262E-12</v>
      </c>
      <c r="R71" s="59">
        <f t="shared" si="55"/>
        <v>293.3333333333361</v>
      </c>
      <c r="S71" s="59">
        <f ca="1">AVERAGE(OFFSET($R$3,0,0,'Données projet'!$E$9+1,1))-AVERAGE(OFFSET($H$3,0,0,'Données projet'!$E$9+1,1))</f>
        <v>327.09084560210488</v>
      </c>
      <c r="T71" s="59">
        <f t="shared" si="88"/>
        <v>432.22711671615133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140.87034097306517</v>
      </c>
      <c r="AA71" s="21">
        <f>EXP(-LN(2)/25)*AA70+(1-EXP(-LN(2)/25))/(LN(2)/25)*Calculateur!V71*Calculateur!X71*VLOOKUP('Données projet'!$B$9,Paramètres!$A$1:$I$89,3,0)*0.475*44/12</f>
        <v>94.048591766236413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234.91893273930157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1.0049916454590858E-13</v>
      </c>
      <c r="P72" s="13">
        <f t="shared" si="87"/>
        <v>1.5089081593838289E-12</v>
      </c>
      <c r="Q72" s="20">
        <f t="shared" si="54"/>
        <v>2.8030510891776262E-12</v>
      </c>
      <c r="R72" s="59">
        <f t="shared" si="55"/>
        <v>293.3333333333361</v>
      </c>
      <c r="S72" s="59">
        <f ca="1">AVERAGE(OFFSET($R$3,0,0,'Données projet'!$E$9+1,1))-AVERAGE(OFFSET($H$3,0,0,'Données projet'!$E$9+1,1))</f>
        <v>327.09084560210488</v>
      </c>
      <c r="T72" s="59">
        <f t="shared" si="88"/>
        <v>432.22711671615133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138.10795950900723</v>
      </c>
      <c r="AA72" s="21">
        <f>EXP(-LN(2)/25)*AA71+(1-EXP(-LN(2)/25))/(LN(2)/25)*Calculateur!V72*Calculateur!X72*VLOOKUP('Données projet'!$B$9,Paramètres!$A$1:$I$89,3,0)*0.475*44/12</f>
        <v>91.476828078588184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229.58478758759543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1.0049916454590858E-13</v>
      </c>
      <c r="P73" s="13">
        <f t="shared" si="87"/>
        <v>1.5089081593838289E-12</v>
      </c>
      <c r="Q73" s="20">
        <f t="shared" si="54"/>
        <v>2.8030510891776262E-12</v>
      </c>
      <c r="R73" s="59">
        <f t="shared" si="55"/>
        <v>293.3333333333361</v>
      </c>
      <c r="S73" s="59">
        <f ca="1">AVERAGE(OFFSET($R$3,0,0,'Données projet'!$E$9+1,1))-AVERAGE(OFFSET($H$3,0,0,'Données projet'!$E$9+1,1))</f>
        <v>327.09084560210488</v>
      </c>
      <c r="T73" s="59">
        <f t="shared" si="88"/>
        <v>432.22711671615133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135.39974666057313</v>
      </c>
      <c r="AA73" s="21">
        <f>EXP(-LN(2)/25)*AA72+(1-EXP(-LN(2)/25))/(LN(2)/25)*Calculateur!V73*Calculateur!X73*VLOOKUP('Données projet'!$B$9,Paramètres!$A$1:$I$89,3,0)*0.475*44/12</f>
        <v>88.975389404221872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224.37513606479502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1.0049916454590858E-13</v>
      </c>
      <c r="P74" s="13">
        <f t="shared" si="87"/>
        <v>1.5089081593838289E-12</v>
      </c>
      <c r="Q74" s="20">
        <f t="shared" si="54"/>
        <v>2.8030510891776262E-12</v>
      </c>
      <c r="R74" s="59">
        <f t="shared" si="55"/>
        <v>293.3333333333361</v>
      </c>
      <c r="S74" s="59">
        <f ca="1">AVERAGE(OFFSET($R$3,0,0,'Données projet'!$E$9+1,1))-AVERAGE(OFFSET($H$3,0,0,'Données projet'!$E$9+1,1))</f>
        <v>327.09084560210488</v>
      </c>
      <c r="T74" s="59">
        <f t="shared" si="88"/>
        <v>432.22711671615133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132.7446402142501</v>
      </c>
      <c r="AA74" s="21">
        <f>EXP(-LN(2)/25)*AA73+(1-EXP(-LN(2)/25))/(LN(2)/25)*Calculateur!V74*Calculateur!X74*VLOOKUP('Données projet'!$B$9,Paramètres!$A$1:$I$89,3,0)*0.475*44/12</f>
        <v>86.542352701951046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219.28699291620114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1.0049916454590858E-13</v>
      </c>
      <c r="P75" s="13">
        <f t="shared" si="87"/>
        <v>1.5089081593838289E-12</v>
      </c>
      <c r="Q75" s="20">
        <f t="shared" si="54"/>
        <v>2.8030510891776262E-12</v>
      </c>
      <c r="R75" s="59">
        <f t="shared" si="55"/>
        <v>293.3333333333361</v>
      </c>
      <c r="S75" s="59">
        <f ca="1">AVERAGE(OFFSET($R$3,0,0,'Données projet'!$E$9+1,1))-AVERAGE(OFFSET($H$3,0,0,'Données projet'!$E$9+1,1))</f>
        <v>327.09084560210488</v>
      </c>
      <c r="T75" s="59">
        <f t="shared" si="88"/>
        <v>432.22711671615133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130.14159878588444</v>
      </c>
      <c r="AA75" s="21">
        <f>EXP(-LN(2)/25)*AA74+(1-EXP(-LN(2)/25))/(LN(2)/25)*Calculateur!V75*Calculateur!X75*VLOOKUP('Données projet'!$B$9,Paramètres!$A$1:$I$89,3,0)*0.475*44/12</f>
        <v>84.175847516251665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214.31744630213609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1.0049916454590858E-13</v>
      </c>
      <c r="P76" s="13">
        <f t="shared" si="87"/>
        <v>1.5089081593838289E-12</v>
      </c>
      <c r="Q76" s="20">
        <f t="shared" si="54"/>
        <v>2.8030510891776262E-12</v>
      </c>
      <c r="R76" s="59">
        <f t="shared" si="55"/>
        <v>293.3333333333361</v>
      </c>
      <c r="S76" s="59">
        <f ca="1">AVERAGE(OFFSET($R$3,0,0,'Données projet'!$E$9+1,1))-AVERAGE(OFFSET($H$3,0,0,'Données projet'!$E$9+1,1))</f>
        <v>327.09084560210488</v>
      </c>
      <c r="T76" s="59">
        <f t="shared" si="88"/>
        <v>432.22711671615133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127.58960141223052</v>
      </c>
      <c r="AA76" s="21">
        <f>EXP(-LN(2)/25)*AA75+(1-EXP(-LN(2)/25))/(LN(2)/25)*Calculateur!V76*Calculateur!X76*VLOOKUP('Données projet'!$B$9,Paramètres!$A$1:$I$89,3,0)*0.475*44/12</f>
        <v>81.874054539304325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209.46365595153486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1.0049916454590858E-13</v>
      </c>
      <c r="P77" s="13">
        <f t="shared" si="87"/>
        <v>1.5089081593838289E-12</v>
      </c>
      <c r="Q77" s="20">
        <f t="shared" si="54"/>
        <v>2.8030510891776262E-12</v>
      </c>
      <c r="R77" s="59">
        <f t="shared" si="55"/>
        <v>293.3333333333361</v>
      </c>
      <c r="S77" s="59">
        <f ca="1">AVERAGE(OFFSET($R$3,0,0,'Données projet'!$E$9+1,1))-AVERAGE(OFFSET($H$3,0,0,'Données projet'!$E$9+1,1))</f>
        <v>327.09084560210488</v>
      </c>
      <c r="T77" s="59">
        <f t="shared" si="88"/>
        <v>432.22711671615133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125.08764715050926</v>
      </c>
      <c r="AA77" s="21">
        <f>EXP(-LN(2)/25)*AA76+(1-EXP(-LN(2)/25))/(LN(2)/25)*Calculateur!V77*Calculateur!X77*VLOOKUP('Données projet'!$B$9,Paramètres!$A$1:$I$89,3,0)*0.475*44/12</f>
        <v>79.63520421235765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204.72285136286689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1.0049916454590858E-13</v>
      </c>
      <c r="P78" s="13">
        <f t="shared" si="87"/>
        <v>1.5089081593838289E-12</v>
      </c>
      <c r="Q78" s="20">
        <f t="shared" si="54"/>
        <v>2.8030510891776262E-12</v>
      </c>
      <c r="R78" s="59">
        <f t="shared" si="55"/>
        <v>293.3333333333361</v>
      </c>
      <c r="S78" s="59">
        <f ca="1">AVERAGE(OFFSET($R$3,0,0,'Données projet'!$E$9+1,1))-AVERAGE(OFFSET($H$3,0,0,'Données projet'!$E$9+1,1))</f>
        <v>327.09084560210488</v>
      </c>
      <c r="T78" s="59">
        <f t="shared" si="88"/>
        <v>432.22711671615133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122.63475468581893</v>
      </c>
      <c r="AA78" s="21">
        <f>EXP(-LN(2)/25)*AA77+(1-EXP(-LN(2)/25))/(LN(2)/25)*Calculateur!V78*Calculateur!X78*VLOOKUP('Données projet'!$B$9,Paramètres!$A$1:$I$89,3,0)*0.475*44/12</f>
        <v>77.457575365337348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200.0923300511563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1.0049916454590858E-13</v>
      </c>
      <c r="P79" s="13">
        <f t="shared" si="87"/>
        <v>1.5089081593838289E-12</v>
      </c>
      <c r="Q79" s="20">
        <f t="shared" si="54"/>
        <v>2.8030510891776262E-12</v>
      </c>
      <c r="R79" s="59">
        <f t="shared" si="55"/>
        <v>293.3333333333361</v>
      </c>
      <c r="S79" s="59">
        <f ca="1">AVERAGE(OFFSET($R$3,0,0,'Données projet'!$E$9+1,1))-AVERAGE(OFFSET($H$3,0,0,'Données projet'!$E$9+1,1))</f>
        <v>327.09084560210488</v>
      </c>
      <c r="T79" s="59">
        <f t="shared" si="88"/>
        <v>432.22711671615133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120.22996194624452</v>
      </c>
      <c r="AA79" s="21">
        <f>EXP(-LN(2)/25)*AA78+(1-EXP(-LN(2)/25))/(LN(2)/25)*Calculateur!V79*Calculateur!X79*VLOOKUP('Données projet'!$B$9,Paramètres!$A$1:$I$89,3,0)*0.475*44/12</f>
        <v>75.339493893655344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195.56945583989986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1.0049916454590858E-13</v>
      </c>
      <c r="P80" s="13">
        <f t="shared" si="87"/>
        <v>1.5089081593838289E-12</v>
      </c>
      <c r="Q80" s="20">
        <f t="shared" si="54"/>
        <v>2.8030510891776262E-12</v>
      </c>
      <c r="R80" s="59">
        <f t="shared" si="55"/>
        <v>293.3333333333361</v>
      </c>
      <c r="S80" s="59">
        <f ca="1">AVERAGE(OFFSET($R$3,0,0,'Données projet'!$E$9+1,1))-AVERAGE(OFFSET($H$3,0,0,'Données projet'!$E$9+1,1))</f>
        <v>327.09084560210488</v>
      </c>
      <c r="T80" s="59">
        <f t="shared" si="88"/>
        <v>432.22711671615133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117.87232572551441</v>
      </c>
      <c r="AA80" s="21">
        <f>EXP(-LN(2)/25)*AA79+(1-EXP(-LN(2)/25))/(LN(2)/25)*Calculateur!V80*Calculateur!X80*VLOOKUP('Données projet'!$B$9,Paramètres!$A$1:$I$89,3,0)*0.475*44/12</f>
        <v>73.279331471201544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191.15165719671597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1.0049916454590858E-13</v>
      </c>
      <c r="P81" s="13">
        <f t="shared" si="87"/>
        <v>1.5089081593838289E-12</v>
      </c>
      <c r="Q81" s="20">
        <f t="shared" si="54"/>
        <v>2.8030510891776262E-12</v>
      </c>
      <c r="R81" s="59">
        <f t="shared" si="55"/>
        <v>293.3333333333361</v>
      </c>
      <c r="S81" s="59">
        <f ca="1">AVERAGE(OFFSET($R$3,0,0,'Données projet'!$E$9+1,1))-AVERAGE(OFFSET($H$3,0,0,'Données projet'!$E$9+1,1))</f>
        <v>327.09084560210488</v>
      </c>
      <c r="T81" s="59">
        <f t="shared" si="88"/>
        <v>432.22711671615133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115.56092131305672</v>
      </c>
      <c r="AA81" s="21">
        <f>EXP(-LN(2)/25)*AA80+(1-EXP(-LN(2)/25))/(LN(2)/25)*Calculateur!V81*Calculateur!X81*VLOOKUP('Données projet'!$B$9,Paramètres!$A$1:$I$89,3,0)*0.475*44/12</f>
        <v>71.275504298528972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186.8364256115857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1.0049916454590858E-13</v>
      </c>
      <c r="P82" s="13">
        <f t="shared" si="87"/>
        <v>1.5089081593838289E-12</v>
      </c>
      <c r="Q82" s="20">
        <f t="shared" si="54"/>
        <v>2.8030510891776262E-12</v>
      </c>
      <c r="R82" s="59">
        <f t="shared" si="55"/>
        <v>293.3333333333361</v>
      </c>
      <c r="S82" s="59">
        <f ca="1">AVERAGE(OFFSET($R$3,0,0,'Données projet'!$E$9+1,1))-AVERAGE(OFFSET($H$3,0,0,'Données projet'!$E$9+1,1))</f>
        <v>327.09084560210488</v>
      </c>
      <c r="T82" s="59">
        <f t="shared" si="88"/>
        <v>432.22711671615133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113.29484213130985</v>
      </c>
      <c r="AA82" s="21">
        <f>EXP(-LN(2)/25)*AA81+(1-EXP(-LN(2)/25))/(LN(2)/25)*Calculateur!V82*Calculateur!X82*VLOOKUP('Données projet'!$B$9,Paramètres!$A$1:$I$89,3,0)*0.475*44/12</f>
        <v>69.326471885269825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182.62131401657967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1.0049916454590858E-13</v>
      </c>
      <c r="P83" s="13">
        <f t="shared" si="87"/>
        <v>1.5089081593838289E-12</v>
      </c>
      <c r="Q83" s="20">
        <f t="shared" si="54"/>
        <v>2.8030510891776262E-12</v>
      </c>
      <c r="R83" s="59">
        <f t="shared" si="55"/>
        <v>293.3333333333361</v>
      </c>
      <c r="S83" s="59">
        <f ca="1">AVERAGE(OFFSET($R$3,0,0,'Données projet'!$E$9+1,1))-AVERAGE(OFFSET($H$3,0,0,'Données projet'!$E$9+1,1))</f>
        <v>327.09084560210488</v>
      </c>
      <c r="T83" s="59">
        <f t="shared" si="88"/>
        <v>432.22711671615133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111.07319938014521</v>
      </c>
      <c r="AA83" s="21">
        <f>EXP(-LN(2)/25)*AA82+(1-EXP(-LN(2)/25))/(LN(2)/25)*Calculateur!V83*Calculateur!X83*VLOOKUP('Données projet'!$B$9,Paramètres!$A$1:$I$89,3,0)*0.475*44/12</f>
        <v>67.430735865846415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178.50393524599161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1.0049916454590858E-13</v>
      </c>
      <c r="P84" s="13">
        <f t="shared" si="87"/>
        <v>1.5089081593838289E-12</v>
      </c>
      <c r="Q84" s="20">
        <f t="shared" si="54"/>
        <v>2.8030510891776262E-12</v>
      </c>
      <c r="R84" s="59">
        <f t="shared" si="55"/>
        <v>293.3333333333361</v>
      </c>
      <c r="S84" s="59">
        <f ca="1">AVERAGE(OFFSET($R$3,0,0,'Données projet'!$E$9+1,1))-AVERAGE(OFFSET($H$3,0,0,'Données projet'!$E$9+1,1))</f>
        <v>327.09084560210488</v>
      </c>
      <c r="T84" s="59">
        <f t="shared" si="88"/>
        <v>432.22711671615133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108.89512168826263</v>
      </c>
      <c r="AA84" s="21">
        <f>EXP(-LN(2)/25)*AA83+(1-EXP(-LN(2)/25))/(LN(2)/25)*Calculateur!V84*Calculateur!X84*VLOOKUP('Données projet'!$B$9,Paramètres!$A$1:$I$89,3,0)*0.475*44/12</f>
        <v>65.586838847566554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174.48196053582919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1.0049916454590858E-13</v>
      </c>
      <c r="P85" s="13">
        <f t="shared" si="87"/>
        <v>1.5089081593838289E-12</v>
      </c>
      <c r="Q85" s="20">
        <f t="shared" si="54"/>
        <v>2.8030510891776262E-12</v>
      </c>
      <c r="R85" s="59">
        <f t="shared" si="55"/>
        <v>293.3333333333361</v>
      </c>
      <c r="S85" s="59">
        <f ca="1">AVERAGE(OFFSET($R$3,0,0,'Données projet'!$E$9+1,1))-AVERAGE(OFFSET($H$3,0,0,'Données projet'!$E$9+1,1))</f>
        <v>327.09084560210488</v>
      </c>
      <c r="T85" s="59">
        <f t="shared" si="88"/>
        <v>432.22711671615133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106.75975477142165</v>
      </c>
      <c r="AA85" s="21">
        <f>EXP(-LN(2)/25)*AA84+(1-EXP(-LN(2)/25))/(LN(2)/25)*Calculateur!V85*Calculateur!X85*VLOOKUP('Données projet'!$B$9,Paramètres!$A$1:$I$89,3,0)*0.475*44/12</f>
        <v>63.79336329021789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170.55311806163954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1.0049916454590858E-13</v>
      </c>
      <c r="P86" s="13">
        <f t="shared" si="87"/>
        <v>1.5089081593838289E-12</v>
      </c>
      <c r="Q86" s="20">
        <f t="shared" si="54"/>
        <v>2.8030510891776262E-12</v>
      </c>
      <c r="R86" s="59">
        <f t="shared" si="55"/>
        <v>293.3333333333361</v>
      </c>
      <c r="S86" s="59">
        <f ca="1">AVERAGE(OFFSET($R$3,0,0,'Données projet'!$E$9+1,1))-AVERAGE(OFFSET($H$3,0,0,'Données projet'!$E$9+1,1))</f>
        <v>327.09084560210488</v>
      </c>
      <c r="T86" s="59">
        <f t="shared" si="88"/>
        <v>432.22711671615133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104.66626109737471</v>
      </c>
      <c r="AA86" s="21">
        <f>EXP(-LN(2)/25)*AA85+(1-EXP(-LN(2)/25))/(LN(2)/25)*Calculateur!V86*Calculateur!X86*VLOOKUP('Données projet'!$B$9,Paramètres!$A$1:$I$89,3,0)*0.475*44/12</f>
        <v>62.048930416299712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166.71519151367443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1.0049916454590858E-13</v>
      </c>
      <c r="P87" s="13">
        <f t="shared" si="87"/>
        <v>1.5089081593838289E-12</v>
      </c>
      <c r="Q87" s="20">
        <f t="shared" si="54"/>
        <v>2.8030510891776262E-12</v>
      </c>
      <c r="R87" s="59">
        <f t="shared" si="55"/>
        <v>293.3333333333361</v>
      </c>
      <c r="S87" s="59">
        <f ca="1">AVERAGE(OFFSET($R$3,0,0,'Données projet'!$E$9+1,1))-AVERAGE(OFFSET($H$3,0,0,'Données projet'!$E$9+1,1))</f>
        <v>327.09084560210488</v>
      </c>
      <c r="T87" s="59">
        <f t="shared" si="88"/>
        <v>432.22711671615133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102.61381955737077</v>
      </c>
      <c r="AA87" s="21">
        <f>EXP(-LN(2)/25)*AA86+(1-EXP(-LN(2)/25))/(LN(2)/25)*Calculateur!V87*Calculateur!X87*VLOOKUP('Données projet'!$B$9,Paramètres!$A$1:$I$89,3,0)*0.475*44/12</f>
        <v>60.352199151054563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162.96601870842534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1.0049916454590858E-13</v>
      </c>
      <c r="P88" s="13">
        <f t="shared" si="87"/>
        <v>1.5089081593838289E-12</v>
      </c>
      <c r="Q88" s="20">
        <f t="shared" si="54"/>
        <v>2.8030510891776262E-12</v>
      </c>
      <c r="R88" s="59">
        <f t="shared" si="55"/>
        <v>293.3333333333361</v>
      </c>
      <c r="S88" s="59">
        <f ca="1">AVERAGE(OFFSET($R$3,0,0,'Données projet'!$E$9+1,1))-AVERAGE(OFFSET($H$3,0,0,'Données projet'!$E$9+1,1))</f>
        <v>327.09084560210488</v>
      </c>
      <c r="T88" s="59">
        <f t="shared" si="88"/>
        <v>432.22711671615133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100.60162514410058</v>
      </c>
      <c r="AA88" s="21">
        <f>EXP(-LN(2)/25)*AA87+(1-EXP(-LN(2)/25))/(LN(2)/25)*Calculateur!V88*Calculateur!X88*VLOOKUP('Données projet'!$B$9,Paramètres!$A$1:$I$89,3,0)*0.475*44/12</f>
        <v>58.701865091484763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159.30349023558534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1.0049916454590858E-13</v>
      </c>
      <c r="P89" s="13">
        <f t="shared" si="87"/>
        <v>1.5089081593838289E-12</v>
      </c>
      <c r="Q89" s="20">
        <f t="shared" si="54"/>
        <v>2.8030510891776262E-12</v>
      </c>
      <c r="R89" s="59">
        <f t="shared" si="55"/>
        <v>293.3333333333361</v>
      </c>
      <c r="S89" s="59">
        <f ca="1">AVERAGE(OFFSET($R$3,0,0,'Données projet'!$E$9+1,1))-AVERAGE(OFFSET($H$3,0,0,'Données projet'!$E$9+1,1))</f>
        <v>327.09084560210488</v>
      </c>
      <c r="T89" s="59">
        <f t="shared" si="88"/>
        <v>432.22711671615133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98.62888863595721</v>
      </c>
      <c r="AA89" s="21">
        <f>EXP(-LN(2)/25)*AA88+(1-EXP(-LN(2)/25))/(LN(2)/25)*Calculateur!V89*Calculateur!X89*VLOOKUP('Données projet'!$B$9,Paramètres!$A$1:$I$89,3,0)*0.475*44/12</f>
        <v>57.096659503561192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155.72554813951839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1.0049916454590858E-13</v>
      </c>
      <c r="P90" s="13">
        <f t="shared" si="87"/>
        <v>1.5089081593838289E-12</v>
      </c>
      <c r="Q90" s="20">
        <f t="shared" si="54"/>
        <v>2.8030510891776262E-12</v>
      </c>
      <c r="R90" s="59">
        <f t="shared" si="55"/>
        <v>293.3333333333361</v>
      </c>
      <c r="S90" s="59">
        <f ca="1">AVERAGE(OFFSET($R$3,0,0,'Données projet'!$E$9+1,1))-AVERAGE(OFFSET($H$3,0,0,'Données projet'!$E$9+1,1))</f>
        <v>327.09084560210488</v>
      </c>
      <c r="T90" s="59">
        <f t="shared" si="88"/>
        <v>432.22711671615133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96.694836287488073</v>
      </c>
      <c r="AA90" s="21">
        <f>EXP(-LN(2)/25)*AA89+(1-EXP(-LN(2)/25))/(LN(2)/25)*Calculateur!V90*Calculateur!X90*VLOOKUP('Données projet'!$B$9,Paramètres!$A$1:$I$89,3,0)*0.475*44/12</f>
        <v>55.535348346853482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152.23018463434155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1.0049916454590858E-13</v>
      </c>
      <c r="P91" s="13">
        <f t="shared" si="87"/>
        <v>1.5089081593838289E-12</v>
      </c>
      <c r="Q91" s="20">
        <f t="shared" si="54"/>
        <v>2.8030510891776262E-12</v>
      </c>
      <c r="R91" s="59">
        <f t="shared" si="55"/>
        <v>293.3333333333361</v>
      </c>
      <c r="S91" s="59">
        <f ca="1">AVERAGE(OFFSET($R$3,0,0,'Données projet'!$E$9+1,1))-AVERAGE(OFFSET($H$3,0,0,'Données projet'!$E$9+1,1))</f>
        <v>327.09084560210488</v>
      </c>
      <c r="T91" s="59">
        <f t="shared" si="88"/>
        <v>432.22711671615133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94.798709525916976</v>
      </c>
      <c r="AA91" s="21">
        <f>EXP(-LN(2)/25)*AA90+(1-EXP(-LN(2)/25))/(LN(2)/25)*Calculateur!V91*Calculateur!X91*VLOOKUP('Données projet'!$B$9,Paramètres!$A$1:$I$89,3,0)*0.475*44/12</f>
        <v>54.016731325831735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148.81544085174872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1.0049916454590858E-13</v>
      </c>
      <c r="P92" s="13">
        <f t="shared" si="87"/>
        <v>1.5089081593838289E-12</v>
      </c>
      <c r="Q92" s="20">
        <f t="shared" si="54"/>
        <v>2.8030510891776262E-12</v>
      </c>
      <c r="R92" s="59">
        <f t="shared" si="55"/>
        <v>293.3333333333361</v>
      </c>
      <c r="S92" s="59">
        <f ca="1">AVERAGE(OFFSET($R$3,0,0,'Données projet'!$E$9+1,1))-AVERAGE(OFFSET($H$3,0,0,'Données projet'!$E$9+1,1))</f>
        <v>327.09084560210488</v>
      </c>
      <c r="T92" s="59">
        <f t="shared" si="88"/>
        <v>432.22711671615133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92.939764653617161</v>
      </c>
      <c r="AA92" s="21">
        <f>EXP(-LN(2)/25)*AA91+(1-EXP(-LN(2)/25))/(LN(2)/25)*Calculateur!V92*Calculateur!X92*VLOOKUP('Données projet'!$B$9,Paramètres!$A$1:$I$89,3,0)*0.475*44/12</f>
        <v>52.539640967110422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145.47940562072759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1.0049916454590858E-13</v>
      </c>
      <c r="P93" s="13">
        <f t="shared" si="87"/>
        <v>1.5089081593838289E-12</v>
      </c>
      <c r="Q93" s="20">
        <f t="shared" si="54"/>
        <v>2.8030510891776262E-12</v>
      </c>
      <c r="R93" s="59">
        <f t="shared" si="55"/>
        <v>293.3333333333361</v>
      </c>
      <c r="S93" s="59">
        <f ca="1">AVERAGE(OFFSET($R$3,0,0,'Données projet'!$E$9+1,1))-AVERAGE(OFFSET($H$3,0,0,'Données projet'!$E$9+1,1))</f>
        <v>327.09084560210488</v>
      </c>
      <c r="T93" s="59">
        <f t="shared" si="88"/>
        <v>432.22711671615133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91.117272556418726</v>
      </c>
      <c r="AA93" s="21">
        <f>EXP(-LN(2)/25)*AA92+(1-EXP(-LN(2)/25))/(LN(2)/25)*Calculateur!V93*Calculateur!X93*VLOOKUP('Données projet'!$B$9,Paramètres!$A$1:$I$89,3,0)*0.475*44/12</f>
        <v>51.102941721925148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142.22021427834386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1.0049916454590858E-13</v>
      </c>
      <c r="P94" s="13">
        <f t="shared" si="87"/>
        <v>1.5089081593838289E-12</v>
      </c>
      <c r="Q94" s="20">
        <f t="shared" si="54"/>
        <v>2.8030510891776262E-12</v>
      </c>
      <c r="R94" s="59">
        <f t="shared" si="55"/>
        <v>293.3333333333361</v>
      </c>
      <c r="S94" s="59">
        <f ca="1">AVERAGE(OFFSET($R$3,0,0,'Données projet'!$E$9+1,1))-AVERAGE(OFFSET($H$3,0,0,'Données projet'!$E$9+1,1))</f>
        <v>327.09084560210488</v>
      </c>
      <c r="T94" s="59">
        <f t="shared" si="88"/>
        <v>432.22711671615133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89.330518417635929</v>
      </c>
      <c r="AA94" s="21">
        <f>EXP(-LN(2)/25)*AA93+(1-EXP(-LN(2)/25))/(LN(2)/25)*Calculateur!V94*Calculateur!X94*VLOOKUP('Données projet'!$B$9,Paramètres!$A$1:$I$89,3,0)*0.475*44/12</f>
        <v>49.705529093152201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139.03604751078814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1.0049916454590858E-13</v>
      </c>
      <c r="P95" s="13">
        <f t="shared" si="87"/>
        <v>1.5089081593838289E-12</v>
      </c>
      <c r="Q95" s="20">
        <f t="shared" si="54"/>
        <v>2.8030510891776262E-12</v>
      </c>
      <c r="R95" s="59">
        <f t="shared" si="55"/>
        <v>293.3333333333361</v>
      </c>
      <c r="S95" s="59">
        <f ca="1">AVERAGE(OFFSET($R$3,0,0,'Données projet'!$E$9+1,1))-AVERAGE(OFFSET($H$3,0,0,'Données projet'!$E$9+1,1))</f>
        <v>327.09084560210488</v>
      </c>
      <c r="T95" s="59">
        <f t="shared" si="88"/>
        <v>432.22711671615133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87.578801437702253</v>
      </c>
      <c r="AA95" s="21">
        <f>EXP(-LN(2)/25)*AA94+(1-EXP(-LN(2)/25))/(LN(2)/25)*Calculateur!V95*Calculateur!X95*VLOOKUP('Données projet'!$B$9,Paramètres!$A$1:$I$89,3,0)*0.475*44/12</f>
        <v>48.346328786199784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135.92513022390204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1.0049916454590858E-13</v>
      </c>
      <c r="P96" s="13">
        <f t="shared" si="87"/>
        <v>1.5089081593838289E-12</v>
      </c>
      <c r="Q96" s="20">
        <f t="shared" si="54"/>
        <v>2.8030510891776262E-12</v>
      </c>
      <c r="R96" s="59">
        <f t="shared" si="55"/>
        <v>293.3333333333361</v>
      </c>
      <c r="S96" s="59">
        <f ca="1">AVERAGE(OFFSET($R$3,0,0,'Données projet'!$E$9+1,1))-AVERAGE(OFFSET($H$3,0,0,'Données projet'!$E$9+1,1))</f>
        <v>327.09084560210488</v>
      </c>
      <c r="T96" s="59">
        <f t="shared" si="88"/>
        <v>432.22711671615133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85.86143455930322</v>
      </c>
      <c r="AA96" s="21">
        <f>EXP(-LN(2)/25)*AA95+(1-EXP(-LN(2)/25))/(LN(2)/25)*Calculateur!V96*Calculateur!X96*VLOOKUP('Données projet'!$B$9,Paramètres!$A$1:$I$89,3,0)*0.475*44/12</f>
        <v>47.024295883118221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132.88573044242145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1.0049916454590858E-13</v>
      </c>
      <c r="P97" s="13">
        <f t="shared" si="87"/>
        <v>1.5089081593838289E-12</v>
      </c>
      <c r="Q97" s="20">
        <f t="shared" si="54"/>
        <v>2.8030510891776262E-12</v>
      </c>
      <c r="R97" s="59">
        <f t="shared" si="55"/>
        <v>293.3333333333361</v>
      </c>
      <c r="S97" s="59">
        <f ca="1">AVERAGE(OFFSET($R$3,0,0,'Données projet'!$E$9+1,1))-AVERAGE(OFFSET($H$3,0,0,'Données projet'!$E$9+1,1))</f>
        <v>327.09084560210488</v>
      </c>
      <c r="T97" s="59">
        <f t="shared" si="88"/>
        <v>432.22711671615133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84.17774419789923</v>
      </c>
      <c r="AA97" s="21">
        <f>EXP(-LN(2)/25)*AA96+(1-EXP(-LN(2)/25))/(LN(2)/25)*Calculateur!V97*Calculateur!X97*VLOOKUP('Données projet'!$B$9,Paramètres!$A$1:$I$89,3,0)*0.475*44/12</f>
        <v>45.738414039294106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129.91615823719334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1.0049916454590858E-13</v>
      </c>
      <c r="P98" s="13">
        <f t="shared" si="87"/>
        <v>1.5089081593838289E-12</v>
      </c>
      <c r="Q98" s="20">
        <f t="shared" si="54"/>
        <v>2.8030510891776262E-12</v>
      </c>
      <c r="R98" s="59">
        <f t="shared" si="55"/>
        <v>293.3333333333361</v>
      </c>
      <c r="S98" s="59">
        <f ca="1">AVERAGE(OFFSET($R$3,0,0,'Données projet'!$E$9+1,1))-AVERAGE(OFFSET($H$3,0,0,'Données projet'!$E$9+1,1))</f>
        <v>327.09084560210488</v>
      </c>
      <c r="T98" s="59">
        <f t="shared" si="88"/>
        <v>432.22711671615133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82.527069977532648</v>
      </c>
      <c r="AA98" s="21">
        <f>EXP(-LN(2)/25)*AA97+(1-EXP(-LN(2)/25))/(LN(2)/25)*Calculateur!V98*Calculateur!X98*VLOOKUP('Données projet'!$B$9,Paramètres!$A$1:$I$89,3,0)*0.475*44/12</f>
        <v>44.48769470211095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127.0147646796436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1.0049916454590858E-13</v>
      </c>
      <c r="P99" s="13">
        <f t="shared" si="87"/>
        <v>1.5089081593838289E-12</v>
      </c>
      <c r="Q99" s="20">
        <f t="shared" ref="Q99:Q130" si="107">(O99+P99)*0.475*44/12</f>
        <v>2.8030510891776262E-12</v>
      </c>
      <c r="R99" s="59">
        <f t="shared" si="55"/>
        <v>293.3333333333361</v>
      </c>
      <c r="S99" s="59">
        <f ca="1">AVERAGE(OFFSET($R$3,0,0,'Données projet'!$E$9+1,1))-AVERAGE(OFFSET($H$3,0,0,'Données projet'!$E$9+1,1))</f>
        <v>327.09084560210488</v>
      </c>
      <c r="T99" s="59">
        <f t="shared" si="88"/>
        <v>432.22711671615133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80.908764471815601</v>
      </c>
      <c r="AA99" s="21">
        <f>EXP(-LN(2)/25)*AA98+(1-EXP(-LN(2)/25))/(LN(2)/25)*Calculateur!V99*Calculateur!X99*VLOOKUP('Données projet'!$B$9,Paramètres!$A$1:$I$89,3,0)*0.475*44/12</f>
        <v>43.271176350975537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124.17994082279114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1.0049916454590858E-13</v>
      </c>
      <c r="P100" s="13">
        <f t="shared" si="87"/>
        <v>1.5089081593838289E-12</v>
      </c>
      <c r="Q100" s="20">
        <f t="shared" si="107"/>
        <v>2.8030510891776262E-12</v>
      </c>
      <c r="R100" s="59">
        <f t="shared" si="55"/>
        <v>293.3333333333361</v>
      </c>
      <c r="S100" s="59">
        <f ca="1">AVERAGE(OFFSET($R$3,0,0,'Données projet'!$E$9+1,1))-AVERAGE(OFFSET($H$3,0,0,'Données projet'!$E$9+1,1))</f>
        <v>327.09084560210488</v>
      </c>
      <c r="T100" s="59">
        <f t="shared" si="88"/>
        <v>432.22711671615133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79.322192949996776</v>
      </c>
      <c r="AA100" s="21">
        <f>EXP(-LN(2)/25)*AA99+(1-EXP(-LN(2)/25))/(LN(2)/25)*Calculateur!V100*Calculateur!X100*VLOOKUP('Données projet'!$B$9,Paramètres!$A$1:$I$89,3,0)*0.475*44/12</f>
        <v>42.087923758125847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121.41011670812262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1.0049916454590858E-13</v>
      </c>
      <c r="P101" s="13">
        <f t="shared" si="87"/>
        <v>1.5089081593838289E-12</v>
      </c>
      <c r="Q101" s="20">
        <f t="shared" si="107"/>
        <v>2.8030510891776262E-12</v>
      </c>
      <c r="R101" s="59">
        <f t="shared" si="55"/>
        <v>293.3333333333361</v>
      </c>
      <c r="S101" s="59">
        <f ca="1">AVERAGE(OFFSET($R$3,0,0,'Données projet'!$E$9+1,1))-AVERAGE(OFFSET($H$3,0,0,'Données projet'!$E$9+1,1))</f>
        <v>327.09084560210488</v>
      </c>
      <c r="T101" s="59">
        <f t="shared" si="88"/>
        <v>432.22711671615133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77.766733128007743</v>
      </c>
      <c r="AA101" s="21">
        <f>EXP(-LN(2)/25)*AA100+(1-EXP(-LN(2)/25))/(LN(2)/25)*Calculateur!V101*Calculateur!X101*VLOOKUP('Données projet'!$B$9,Paramètres!$A$1:$I$89,3,0)*0.475*44/12</f>
        <v>40.937027269652177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118.70376039765992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1.0049916454590858E-13</v>
      </c>
      <c r="P102" s="13">
        <f t="shared" si="87"/>
        <v>1.5089081593838289E-12</v>
      </c>
      <c r="Q102" s="20">
        <f t="shared" si="107"/>
        <v>2.8030510891776262E-12</v>
      </c>
      <c r="R102" s="59">
        <f t="shared" si="55"/>
        <v>293.3333333333361</v>
      </c>
      <c r="S102" s="59">
        <f ca="1">AVERAGE(OFFSET($R$3,0,0,'Données projet'!$E$9+1,1))-AVERAGE(OFFSET($H$3,0,0,'Données projet'!$E$9+1,1))</f>
        <v>327.09084560210488</v>
      </c>
      <c r="T102" s="59">
        <f t="shared" si="88"/>
        <v>432.22711671615133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76.241774924391095</v>
      </c>
      <c r="AA102" s="21">
        <f>EXP(-LN(2)/25)*AA101+(1-EXP(-LN(2)/25))/(LN(2)/25)*Calculateur!V102*Calculateur!X102*VLOOKUP('Données projet'!$B$9,Paramètres!$A$1:$I$89,3,0)*0.475*44/12</f>
        <v>39.817602106178839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116.05937703056993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1.0049916454590858E-13</v>
      </c>
      <c r="P103" s="13">
        <f t="shared" si="87"/>
        <v>1.5089081593838289E-12</v>
      </c>
      <c r="Q103" s="20">
        <f t="shared" si="107"/>
        <v>2.8030510891776262E-12</v>
      </c>
      <c r="R103" s="59">
        <f t="shared" si="55"/>
        <v>293.3333333333361</v>
      </c>
      <c r="S103" s="59">
        <f ca="1">AVERAGE(OFFSET($R$3,0,0,'Données projet'!$E$9+1,1))-AVERAGE(OFFSET($H$3,0,0,'Données projet'!$E$9+1,1))</f>
        <v>327.09084560210488</v>
      </c>
      <c r="T103" s="59">
        <f t="shared" si="88"/>
        <v>432.22711671615133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74.746720221014712</v>
      </c>
      <c r="AA103" s="21">
        <f>EXP(-LN(2)/25)*AA102+(1-EXP(-LN(2)/25))/(LN(2)/25)*Calculateur!V103*Calculateur!X103*VLOOKUP('Données projet'!$B$9,Paramètres!$A$1:$I$89,3,0)*0.475*44/12</f>
        <v>38.728787682668688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113.47550790368339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1.0049916454590858E-13</v>
      </c>
      <c r="P104" s="13">
        <f t="shared" si="87"/>
        <v>1.5089081593838289E-12</v>
      </c>
      <c r="Q104" s="20">
        <f t="shared" si="107"/>
        <v>2.8030510891776262E-12</v>
      </c>
      <c r="R104" s="59">
        <f t="shared" si="55"/>
        <v>293.3333333333361</v>
      </c>
      <c r="S104" s="59">
        <f ca="1">AVERAGE(OFFSET($R$3,0,0,'Données projet'!$E$9+1,1))-AVERAGE(OFFSET($H$3,0,0,'Données projet'!$E$9+1,1))</f>
        <v>327.09084560210488</v>
      </c>
      <c r="T104" s="59">
        <f t="shared" si="88"/>
        <v>432.22711671615133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73.280982628478213</v>
      </c>
      <c r="AA104" s="21">
        <f>EXP(-LN(2)/25)*AA103+(1-EXP(-LN(2)/25))/(LN(2)/25)*Calculateur!V104*Calculateur!X104*VLOOKUP('Données projet'!$B$9,Paramètres!$A$1:$I$89,3,0)*0.475*44/12</f>
        <v>37.669746946827686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110.9507295753059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1.0049916454590858E-13</v>
      </c>
      <c r="P105" s="13">
        <f t="shared" si="87"/>
        <v>1.5089081593838289E-12</v>
      </c>
      <c r="Q105" s="20">
        <f t="shared" si="107"/>
        <v>2.8030510891776262E-12</v>
      </c>
      <c r="R105" s="59">
        <f t="shared" si="55"/>
        <v>293.3333333333361</v>
      </c>
      <c r="S105" s="59">
        <f ca="1">AVERAGE(OFFSET($R$3,0,0,'Données projet'!$E$9+1,1))-AVERAGE(OFFSET($H$3,0,0,'Données projet'!$E$9+1,1))</f>
        <v>327.09084560210488</v>
      </c>
      <c r="T105" s="59">
        <f t="shared" si="88"/>
        <v>432.22711671615133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71.843987256119703</v>
      </c>
      <c r="AA105" s="21">
        <f>EXP(-LN(2)/25)*AA104+(1-EXP(-LN(2)/25))/(LN(2)/25)*Calculateur!V105*Calculateur!X105*VLOOKUP('Données projet'!$B$9,Paramètres!$A$1:$I$89,3,0)*0.475*44/12</f>
        <v>36.639665735600786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108.48365299172049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1.0049916454590858E-13</v>
      </c>
      <c r="P106" s="13">
        <f t="shared" si="87"/>
        <v>1.5089081593838289E-12</v>
      </c>
      <c r="Q106" s="20">
        <f t="shared" si="107"/>
        <v>2.8030510891776262E-12</v>
      </c>
      <c r="R106" s="59">
        <f t="shared" si="55"/>
        <v>293.3333333333361</v>
      </c>
      <c r="S106" s="59">
        <f ca="1">AVERAGE(OFFSET($R$3,0,0,'Données projet'!$E$9+1,1))-AVERAGE(OFFSET($H$3,0,0,'Données projet'!$E$9+1,1))</f>
        <v>327.09084560210488</v>
      </c>
      <c r="T106" s="59">
        <f t="shared" si="88"/>
        <v>432.22711671615133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70.435170486532513</v>
      </c>
      <c r="AA106" s="21">
        <f>EXP(-LN(2)/25)*AA105+(1-EXP(-LN(2)/25))/(LN(2)/25)*Calculateur!V106*Calculateur!X106*VLOOKUP('Données projet'!$B$9,Paramètres!$A$1:$I$89,3,0)*0.475*44/12</f>
        <v>35.6377521492645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106.07292263579701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1.0049916454590858E-13</v>
      </c>
      <c r="P107" s="13">
        <f t="shared" si="87"/>
        <v>1.5089081593838289E-12</v>
      </c>
      <c r="Q107" s="20">
        <f t="shared" si="107"/>
        <v>2.8030510891776262E-12</v>
      </c>
      <c r="R107" s="59">
        <f t="shared" si="55"/>
        <v>293.3333333333361</v>
      </c>
      <c r="S107" s="59">
        <f ca="1">AVERAGE(OFFSET($R$3,0,0,'Données projet'!$E$9+1,1))-AVERAGE(OFFSET($H$3,0,0,'Données projet'!$E$9+1,1))</f>
        <v>327.09084560210488</v>
      </c>
      <c r="T107" s="59">
        <f t="shared" si="88"/>
        <v>432.22711671615133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69.053979754503544</v>
      </c>
      <c r="AA107" s="21">
        <f>EXP(-LN(2)/25)*AA106+(1-EXP(-LN(2)/25))/(LN(2)/25)*Calculateur!V107*Calculateur!X107*VLOOKUP('Données projet'!$B$9,Paramètres!$A$1:$I$89,3,0)*0.475*44/12</f>
        <v>34.663235942634927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103.71721569713847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1.0049916454590858E-13</v>
      </c>
      <c r="P108" s="13">
        <f t="shared" si="87"/>
        <v>1.5089081593838289E-12</v>
      </c>
      <c r="Q108" s="20">
        <f t="shared" si="107"/>
        <v>2.8030510891776262E-12</v>
      </c>
      <c r="R108" s="59">
        <f t="shared" si="55"/>
        <v>293.3333333333361</v>
      </c>
      <c r="S108" s="59">
        <f ca="1">AVERAGE(OFFSET($R$3,0,0,'Données projet'!$E$9+1,1))-AVERAGE(OFFSET($H$3,0,0,'Données projet'!$E$9+1,1))</f>
        <v>327.09084560210488</v>
      </c>
      <c r="T108" s="59">
        <f t="shared" si="88"/>
        <v>432.22711671615133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67.699873330286493</v>
      </c>
      <c r="AA108" s="21">
        <f>EXP(-LN(2)/25)*AA107+(1-EXP(-LN(2)/25))/(LN(2)/25)*Calculateur!V108*Calculateur!X108*VLOOKUP('Données projet'!$B$9,Paramètres!$A$1:$I$89,3,0)*0.475*44/12</f>
        <v>33.715367932923222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101.41524126320971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1.0049916454590858E-13</v>
      </c>
      <c r="P109" s="13">
        <f t="shared" si="87"/>
        <v>1.5089081593838289E-12</v>
      </c>
      <c r="Q109" s="20">
        <f t="shared" si="107"/>
        <v>2.8030510891776262E-12</v>
      </c>
      <c r="R109" s="59">
        <f t="shared" si="55"/>
        <v>293.3333333333361</v>
      </c>
      <c r="S109" s="59">
        <f ca="1">AVERAGE(OFFSET($R$3,0,0,'Données projet'!$E$9+1,1))-AVERAGE(OFFSET($H$3,0,0,'Données projet'!$E$9+1,1))</f>
        <v>327.09084560210488</v>
      </c>
      <c r="T109" s="59">
        <f t="shared" si="88"/>
        <v>432.22711671615133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66.372320107124978</v>
      </c>
      <c r="AA109" s="21">
        <f>EXP(-LN(2)/25)*AA108+(1-EXP(-LN(2)/25))/(LN(2)/25)*Calculateur!V109*Calculateur!X109*VLOOKUP('Données projet'!$B$9,Paramètres!$A$1:$I$89,3,0)*0.475*44/12</f>
        <v>32.793419423783291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99.165739530908269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1.0049916454590858E-13</v>
      </c>
      <c r="P110" s="13">
        <f t="shared" si="87"/>
        <v>1.5089081593838289E-12</v>
      </c>
      <c r="Q110" s="20">
        <f t="shared" si="107"/>
        <v>2.8030510891776262E-12</v>
      </c>
      <c r="R110" s="59">
        <f t="shared" si="55"/>
        <v>293.3333333333361</v>
      </c>
      <c r="S110" s="59">
        <f ca="1">AVERAGE(OFFSET($R$3,0,0,'Données projet'!$E$9+1,1))-AVERAGE(OFFSET($H$3,0,0,'Données projet'!$E$9+1,1))</f>
        <v>327.09084560210488</v>
      </c>
      <c r="T110" s="59">
        <f t="shared" si="88"/>
        <v>432.22711671615133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65.070799392942149</v>
      </c>
      <c r="AA110" s="21">
        <f>EXP(-LN(2)/25)*AA109+(1-EXP(-LN(2)/25))/(LN(2)/25)*Calculateur!V110*Calculateur!X110*VLOOKUP('Données projet'!$B$9,Paramètres!$A$1:$I$89,3,0)*0.475*44/12</f>
        <v>31.896681645108959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96.967481038051105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1.0049916454590858E-13</v>
      </c>
      <c r="P111" s="13">
        <f t="shared" si="87"/>
        <v>1.5089081593838289E-12</v>
      </c>
      <c r="Q111" s="20">
        <f t="shared" si="107"/>
        <v>2.8030510891776262E-12</v>
      </c>
      <c r="R111" s="59">
        <f t="shared" si="55"/>
        <v>293.3333333333361</v>
      </c>
      <c r="S111" s="59">
        <f ca="1">AVERAGE(OFFSET($R$3,0,0,'Données projet'!$E$9+1,1))-AVERAGE(OFFSET($H$3,0,0,'Données projet'!$E$9+1,1))</f>
        <v>327.09084560210488</v>
      </c>
      <c r="T111" s="59">
        <f t="shared" si="88"/>
        <v>432.22711671615133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63.794800706115197</v>
      </c>
      <c r="AA111" s="21">
        <f>EXP(-LN(2)/25)*AA110+(1-EXP(-LN(2)/25))/(LN(2)/25)*Calculateur!V111*Calculateur!X111*VLOOKUP('Données projet'!$B$9,Paramètres!$A$1:$I$89,3,0)*0.475*44/12</f>
        <v>31.024465208149866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94.81926591426506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1.0049916454590858E-13</v>
      </c>
      <c r="P112" s="13">
        <f t="shared" si="87"/>
        <v>1.5089081593838289E-12</v>
      </c>
      <c r="Q112" s="20">
        <f t="shared" si="107"/>
        <v>2.8030510891776262E-12</v>
      </c>
      <c r="R112" s="59">
        <f t="shared" si="55"/>
        <v>293.3333333333361</v>
      </c>
      <c r="S112" s="59">
        <f ca="1">AVERAGE(OFFSET($R$3,0,0,'Données projet'!$E$9+1,1))-AVERAGE(OFFSET($H$3,0,0,'Données projet'!$E$9+1,1))</f>
        <v>327.09084560210488</v>
      </c>
      <c r="T112" s="59">
        <f t="shared" si="88"/>
        <v>432.22711671615133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62.543823575254571</v>
      </c>
      <c r="AA112" s="21">
        <f>EXP(-LN(2)/25)*AA111+(1-EXP(-LN(2)/25))/(LN(2)/25)*Calculateur!V112*Calculateur!X112*VLOOKUP('Données projet'!$B$9,Paramètres!$A$1:$I$89,3,0)*0.475*44/12</f>
        <v>30.176099575527289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92.719923150781852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1.0049916454590858E-13</v>
      </c>
      <c r="P113" s="13">
        <f t="shared" si="87"/>
        <v>1.5089081593838289E-12</v>
      </c>
      <c r="Q113" s="20">
        <f t="shared" si="107"/>
        <v>2.8030510891776262E-12</v>
      </c>
      <c r="R113" s="59">
        <f t="shared" si="55"/>
        <v>293.3333333333361</v>
      </c>
      <c r="S113" s="59">
        <f ca="1">AVERAGE(OFFSET($R$3,0,0,'Données projet'!$E$9+1,1))-AVERAGE(OFFSET($H$3,0,0,'Données projet'!$E$9+1,1))</f>
        <v>327.09084560210488</v>
      </c>
      <c r="T113" s="59">
        <f t="shared" si="88"/>
        <v>432.22711671615133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61.31737734290941</v>
      </c>
      <c r="AA113" s="21">
        <f>EXP(-LN(2)/25)*AA112+(1-EXP(-LN(2)/25))/(LN(2)/25)*Calculateur!V113*Calculateur!X113*VLOOKUP('Données projet'!$B$9,Paramètres!$A$1:$I$89,3,0)*0.475*44/12</f>
        <v>29.350932545742388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90.668309888651805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1.0049916454590858E-13</v>
      </c>
      <c r="P114" s="13">
        <f t="shared" si="87"/>
        <v>1.5089081593838289E-12</v>
      </c>
      <c r="Q114" s="20">
        <f t="shared" si="107"/>
        <v>2.8030510891776262E-12</v>
      </c>
      <c r="R114" s="59">
        <f t="shared" si="55"/>
        <v>293.3333333333361</v>
      </c>
      <c r="S114" s="59">
        <f ca="1">AVERAGE(OFFSET($R$3,0,0,'Données projet'!$E$9+1,1))-AVERAGE(OFFSET($H$3,0,0,'Données projet'!$E$9+1,1))</f>
        <v>327.09084560210488</v>
      </c>
      <c r="T114" s="59">
        <f t="shared" si="88"/>
        <v>432.22711671615133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60.114980973122201</v>
      </c>
      <c r="AA114" s="21">
        <f>EXP(-LN(2)/25)*AA113+(1-EXP(-LN(2)/25))/(LN(2)/25)*Calculateur!V114*Calculateur!X114*VLOOKUP('Données projet'!$B$9,Paramètres!$A$1:$I$89,3,0)*0.475*44/12</f>
        <v>28.548329751780603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88.6633107249028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1.0049916454590858E-13</v>
      </c>
      <c r="P115" s="13">
        <f t="shared" si="87"/>
        <v>1.5089081593838289E-12</v>
      </c>
      <c r="Q115" s="20">
        <f t="shared" si="107"/>
        <v>2.8030510891776262E-12</v>
      </c>
      <c r="R115" s="59">
        <f t="shared" si="55"/>
        <v>293.3333333333361</v>
      </c>
      <c r="S115" s="59">
        <f ca="1">AVERAGE(OFFSET($R$3,0,0,'Données projet'!$E$9+1,1))-AVERAGE(OFFSET($H$3,0,0,'Données projet'!$E$9+1,1))</f>
        <v>327.09084560210488</v>
      </c>
      <c r="T115" s="59">
        <f t="shared" si="88"/>
        <v>432.22711671615133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58.936162862757151</v>
      </c>
      <c r="AA115" s="21">
        <f>EXP(-LN(2)/25)*AA114+(1-EXP(-LN(2)/25))/(LN(2)/25)*Calculateur!V115*Calculateur!X115*VLOOKUP('Données projet'!$B$9,Paramètres!$A$1:$I$89,3,0)*0.475*44/12</f>
        <v>27.767674173426748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86.703837036183899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1.0049916454590858E-13</v>
      </c>
      <c r="P116" s="13">
        <f t="shared" si="87"/>
        <v>1.5089081593838289E-12</v>
      </c>
      <c r="Q116" s="20">
        <f t="shared" si="107"/>
        <v>2.8030510891776262E-12</v>
      </c>
      <c r="R116" s="59">
        <f t="shared" si="55"/>
        <v>293.3333333333361</v>
      </c>
      <c r="S116" s="59">
        <f ca="1">AVERAGE(OFFSET($R$3,0,0,'Données projet'!$E$9+1,1))-AVERAGE(OFFSET($H$3,0,0,'Données projet'!$E$9+1,1))</f>
        <v>327.09084560210488</v>
      </c>
      <c r="T116" s="59">
        <f t="shared" si="88"/>
        <v>432.22711671615133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57.780460656528305</v>
      </c>
      <c r="AA116" s="21">
        <f>EXP(-LN(2)/25)*AA115+(1-EXP(-LN(2)/25))/(LN(2)/25)*Calculateur!V116*Calculateur!X116*VLOOKUP('Données projet'!$B$9,Paramètres!$A$1:$I$89,3,0)*0.475*44/12</f>
        <v>27.008365662915871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84.788826319444183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1.0049916454590858E-13</v>
      </c>
      <c r="P117" s="13">
        <f t="shared" si="87"/>
        <v>1.5089081593838289E-12</v>
      </c>
      <c r="Q117" s="20">
        <f t="shared" si="107"/>
        <v>2.8030510891776262E-12</v>
      </c>
      <c r="R117" s="59">
        <f t="shared" si="55"/>
        <v>293.3333333333361</v>
      </c>
      <c r="S117" s="59">
        <f ca="1">AVERAGE(OFFSET($R$3,0,0,'Données projet'!$E$9+1,1))-AVERAGE(OFFSET($H$3,0,0,'Données projet'!$E$9+1,1))</f>
        <v>327.09084560210488</v>
      </c>
      <c r="T117" s="59">
        <f t="shared" si="88"/>
        <v>432.22711671615133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56.647421065654868</v>
      </c>
      <c r="AA117" s="21">
        <f>EXP(-LN(2)/25)*AA116+(1-EXP(-LN(2)/25))/(LN(2)/25)*Calculateur!V117*Calculateur!X117*VLOOKUP('Données projet'!$B$9,Paramètres!$A$1:$I$89,3,0)*0.475*44/12</f>
        <v>26.269820483555215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82.917241549210075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1.0049916454590858E-13</v>
      </c>
      <c r="P118" s="13">
        <f t="shared" si="87"/>
        <v>1.5089081593838289E-12</v>
      </c>
      <c r="Q118" s="20">
        <f t="shared" si="107"/>
        <v>2.8030510891776262E-12</v>
      </c>
      <c r="R118" s="59">
        <f t="shared" si="55"/>
        <v>293.3333333333361</v>
      </c>
      <c r="S118" s="59">
        <f ca="1">AVERAGE(OFFSET($R$3,0,0,'Données projet'!$E$9+1,1))-AVERAGE(OFFSET($H$3,0,0,'Données projet'!$E$9+1,1))</f>
        <v>327.09084560210488</v>
      </c>
      <c r="T118" s="59">
        <f t="shared" si="88"/>
        <v>432.22711671615133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55.536599690072549</v>
      </c>
      <c r="AA118" s="21">
        <f>EXP(-LN(2)/25)*AA117+(1-EXP(-LN(2)/25))/(LN(2)/25)*Calculateur!V118*Calculateur!X118*VLOOKUP('Données projet'!$B$9,Paramètres!$A$1:$I$89,3,0)*0.475*44/12</f>
        <v>25.551470860962578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81.088070551035131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1.0049916454590858E-13</v>
      </c>
      <c r="P119" s="13">
        <f t="shared" si="87"/>
        <v>1.5089081593838289E-12</v>
      </c>
      <c r="Q119" s="20">
        <f t="shared" si="107"/>
        <v>2.8030510891776262E-12</v>
      </c>
      <c r="R119" s="59">
        <f t="shared" si="55"/>
        <v>293.3333333333361</v>
      </c>
      <c r="S119" s="59">
        <f ca="1">AVERAGE(OFFSET($R$3,0,0,'Données projet'!$E$9+1,1))-AVERAGE(OFFSET($H$3,0,0,'Données projet'!$E$9+1,1))</f>
        <v>327.09084560210488</v>
      </c>
      <c r="T119" s="59">
        <f t="shared" si="88"/>
        <v>432.22711671615133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54.44756084413126</v>
      </c>
      <c r="AA119" s="21">
        <f>EXP(-LN(2)/25)*AA118+(1-EXP(-LN(2)/25))/(LN(2)/25)*Calculateur!V119*Calculateur!X119*VLOOKUP('Données projet'!$B$9,Paramètres!$A$1:$I$89,3,0)*0.475*44/12</f>
        <v>24.8527645465761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79.300325390707357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1.0049916454590858E-13</v>
      </c>
      <c r="P120" s="13">
        <f t="shared" si="87"/>
        <v>1.5089081593838289E-12</v>
      </c>
      <c r="Q120" s="20">
        <f t="shared" si="107"/>
        <v>2.8030510891776262E-12</v>
      </c>
      <c r="R120" s="59">
        <f t="shared" si="55"/>
        <v>293.3333333333361</v>
      </c>
      <c r="S120" s="59">
        <f ca="1">AVERAGE(OFFSET($R$3,0,0,'Données projet'!$E$9+1,1))-AVERAGE(OFFSET($H$3,0,0,'Données projet'!$E$9+1,1))</f>
        <v>327.09084560210488</v>
      </c>
      <c r="T120" s="59">
        <f t="shared" si="88"/>
        <v>432.22711671615133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53.37987738571077</v>
      </c>
      <c r="AA120" s="21">
        <f>EXP(-LN(2)/25)*AA119+(1-EXP(-LN(2)/25))/(LN(2)/25)*Calculateur!V120*Calculateur!X120*VLOOKUP('Données projet'!$B$9,Paramètres!$A$1:$I$89,3,0)*0.475*44/12</f>
        <v>24.173164393099892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77.553041778810666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1.0049916454590858E-13</v>
      </c>
      <c r="P121" s="13">
        <f t="shared" si="87"/>
        <v>1.5089081593838289E-12</v>
      </c>
      <c r="Q121" s="20">
        <f t="shared" si="107"/>
        <v>2.8030510891776262E-12</v>
      </c>
      <c r="R121" s="59">
        <f t="shared" si="55"/>
        <v>293.3333333333361</v>
      </c>
      <c r="S121" s="59">
        <f ca="1">AVERAGE(OFFSET($R$3,0,0,'Données projet'!$E$9+1,1))-AVERAGE(OFFSET($H$3,0,0,'Données projet'!$E$9+1,1))</f>
        <v>327.09084560210488</v>
      </c>
      <c r="T121" s="59">
        <f t="shared" si="88"/>
        <v>432.22711671615133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52.333130548687301</v>
      </c>
      <c r="AA121" s="21">
        <f>EXP(-LN(2)/25)*AA120+(1-EXP(-LN(2)/25))/(LN(2)/25)*Calculateur!V121*Calculateur!X121*VLOOKUP('Données projet'!$B$9,Paramètres!$A$1:$I$89,3,0)*0.475*44/12</f>
        <v>23.51214794155911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75.845278490246415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1.0049916454590858E-13</v>
      </c>
      <c r="P122" s="13">
        <f t="shared" si="87"/>
        <v>1.5089081593838289E-12</v>
      </c>
      <c r="Q122" s="20">
        <f t="shared" si="107"/>
        <v>2.8030510891776262E-12</v>
      </c>
      <c r="R122" s="59">
        <f t="shared" si="55"/>
        <v>293.3333333333361</v>
      </c>
      <c r="S122" s="59">
        <f ca="1">AVERAGE(OFFSET($R$3,0,0,'Données projet'!$E$9+1,1))-AVERAGE(OFFSET($H$3,0,0,'Données projet'!$E$9+1,1))</f>
        <v>327.09084560210488</v>
      </c>
      <c r="T122" s="59">
        <f t="shared" si="88"/>
        <v>432.22711671615133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51.306909778685331</v>
      </c>
      <c r="AA122" s="21">
        <f>EXP(-LN(2)/25)*AA121+(1-EXP(-LN(2)/25))/(LN(2)/25)*Calculateur!V122*Calculateur!X122*VLOOKUP('Données projet'!$B$9,Paramètres!$A$1:$I$89,3,0)*0.475*44/12</f>
        <v>22.869207019647053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74.176116798332387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1.0049916454590858E-13</v>
      </c>
      <c r="P123" s="13">
        <f t="shared" si="87"/>
        <v>1.5089081593838289E-12</v>
      </c>
      <c r="Q123" s="20">
        <f t="shared" si="107"/>
        <v>2.8030510891776262E-12</v>
      </c>
      <c r="R123" s="59">
        <f t="shared" si="55"/>
        <v>293.3333333333361</v>
      </c>
      <c r="S123" s="59">
        <f ca="1">AVERAGE(OFFSET($R$3,0,0,'Données projet'!$E$9+1,1))-AVERAGE(OFFSET($H$3,0,0,'Données projet'!$E$9+1,1))</f>
        <v>327.09084560210488</v>
      </c>
      <c r="T123" s="59">
        <f t="shared" si="88"/>
        <v>432.22711671615133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50.300812572050241</v>
      </c>
      <c r="AA123" s="21">
        <f>EXP(-LN(2)/25)*AA122+(1-EXP(-LN(2)/25))/(LN(2)/25)*Calculateur!V123*Calculateur!X123*VLOOKUP('Données projet'!$B$9,Paramètres!$A$1:$I$89,3,0)*0.475*44/12</f>
        <v>22.243847351055475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72.544659923105712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1.0049916454590858E-13</v>
      </c>
      <c r="P124" s="13">
        <f t="shared" si="87"/>
        <v>1.5089081593838289E-12</v>
      </c>
      <c r="Q124" s="20">
        <f t="shared" si="107"/>
        <v>2.8030510891776262E-12</v>
      </c>
      <c r="R124" s="59">
        <f t="shared" si="55"/>
        <v>293.3333333333361</v>
      </c>
      <c r="S124" s="59">
        <f ca="1">AVERAGE(OFFSET($R$3,0,0,'Données projet'!$E$9+1,1))-AVERAGE(OFFSET($H$3,0,0,'Données projet'!$E$9+1,1))</f>
        <v>327.09084560210488</v>
      </c>
      <c r="T124" s="59">
        <f t="shared" si="88"/>
        <v>432.22711671615133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49.314444317978563</v>
      </c>
      <c r="AA124" s="21">
        <f>EXP(-LN(2)/25)*AA123+(1-EXP(-LN(2)/25))/(LN(2)/25)*Calculateur!V124*Calculateur!X124*VLOOKUP('Données projet'!$B$9,Paramètres!$A$1:$I$89,3,0)*0.475*44/12</f>
        <v>21.635588175487769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70.950032493466324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1.0049916454590858E-13</v>
      </c>
      <c r="P125" s="13">
        <f t="shared" si="87"/>
        <v>1.5089081593838289E-12</v>
      </c>
      <c r="Q125" s="20">
        <f t="shared" si="107"/>
        <v>2.8030510891776262E-12</v>
      </c>
      <c r="R125" s="59">
        <f t="shared" si="55"/>
        <v>293.3333333333361</v>
      </c>
      <c r="S125" s="59">
        <f ca="1">AVERAGE(OFFSET($R$3,0,0,'Données projet'!$E$9+1,1))-AVERAGE(OFFSET($H$3,0,0,'Données projet'!$E$9+1,1))</f>
        <v>327.09084560210488</v>
      </c>
      <c r="T125" s="59">
        <f t="shared" si="88"/>
        <v>432.22711671615133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48.347418143744001</v>
      </c>
      <c r="AA125" s="21">
        <f>EXP(-LN(2)/25)*AA124+(1-EXP(-LN(2)/25))/(LN(2)/25)*Calculateur!V125*Calculateur!X125*VLOOKUP('Données projet'!$B$9,Paramètres!$A$1:$I$89,3,0)*0.475*44/12</f>
        <v>21.043961879062923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69.391380022806928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1.0049916454590858E-13</v>
      </c>
      <c r="P126" s="13">
        <f t="shared" si="87"/>
        <v>1.5089081593838289E-12</v>
      </c>
      <c r="Q126" s="20">
        <f t="shared" si="107"/>
        <v>2.8030510891776262E-12</v>
      </c>
      <c r="R126" s="59">
        <f t="shared" si="55"/>
        <v>293.3333333333361</v>
      </c>
      <c r="S126" s="59">
        <f ca="1">AVERAGE(OFFSET($R$3,0,0,'Données projet'!$E$9+1,1))-AVERAGE(OFFSET($H$3,0,0,'Données projet'!$E$9+1,1))</f>
        <v>327.09084560210488</v>
      </c>
      <c r="T126" s="59">
        <f t="shared" si="88"/>
        <v>432.22711671615133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47.399354762958453</v>
      </c>
      <c r="AA126" s="21">
        <f>EXP(-LN(2)/25)*AA125+(1-EXP(-LN(2)/25))/(LN(2)/25)*Calculateur!V126*Calculateur!X126*VLOOKUP('Données projet'!$B$9,Paramètres!$A$1:$I$89,3,0)*0.475*44/12</f>
        <v>20.468513634826088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67.867868397784548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1.0049916454590858E-13</v>
      </c>
      <c r="P127" s="13">
        <f t="shared" si="87"/>
        <v>1.5089081593838289E-12</v>
      </c>
      <c r="Q127" s="20">
        <f t="shared" si="107"/>
        <v>2.8030510891776262E-12</v>
      </c>
      <c r="R127" s="59">
        <f t="shared" si="55"/>
        <v>293.3333333333361</v>
      </c>
      <c r="S127" s="59">
        <f ca="1">AVERAGE(OFFSET($R$3,0,0,'Données projet'!$E$9+1,1))-AVERAGE(OFFSET($H$3,0,0,'Données projet'!$E$9+1,1))</f>
        <v>327.09084560210488</v>
      </c>
      <c r="T127" s="59">
        <f t="shared" si="88"/>
        <v>432.22711671615133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46.469882326808545</v>
      </c>
      <c r="AA127" s="21">
        <f>EXP(-LN(2)/25)*AA126+(1-EXP(-LN(2)/25))/(LN(2)/25)*Calculateur!V127*Calculateur!X127*VLOOKUP('Données projet'!$B$9,Paramètres!$A$1:$I$89,3,0)*0.475*44/12</f>
        <v>19.908801053089419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66.378683379897964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1.0049916454590858E-13</v>
      </c>
      <c r="P128" s="13">
        <f t="shared" si="87"/>
        <v>1.5089081593838289E-12</v>
      </c>
      <c r="Q128" s="20">
        <f t="shared" si="107"/>
        <v>2.8030510891776262E-12</v>
      </c>
      <c r="R128" s="59">
        <f t="shared" si="55"/>
        <v>293.3333333333361</v>
      </c>
      <c r="S128" s="59">
        <f ca="1">AVERAGE(OFFSET($R$3,0,0,'Données projet'!$E$9+1,1))-AVERAGE(OFFSET($H$3,0,0,'Données projet'!$E$9+1,1))</f>
        <v>327.09084560210488</v>
      </c>
      <c r="T128" s="59">
        <f t="shared" si="88"/>
        <v>432.22711671615133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45.558636278209327</v>
      </c>
      <c r="AA128" s="21">
        <f>EXP(-LN(2)/25)*AA127+(1-EXP(-LN(2)/25))/(LN(2)/25)*Calculateur!V128*Calculateur!X128*VLOOKUP('Données projet'!$B$9,Paramètres!$A$1:$I$89,3,0)*0.475*44/12</f>
        <v>19.364393841334344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64.923030119543668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1.0049916454590858E-13</v>
      </c>
      <c r="P129" s="13">
        <f t="shared" si="87"/>
        <v>1.5089081593838289E-12</v>
      </c>
      <c r="Q129" s="20">
        <f t="shared" si="107"/>
        <v>2.8030510891776262E-12</v>
      </c>
      <c r="R129" s="59">
        <f t="shared" si="55"/>
        <v>293.3333333333361</v>
      </c>
      <c r="S129" s="59">
        <f ca="1">AVERAGE(OFFSET($R$3,0,0,'Données projet'!$E$9+1,1))-AVERAGE(OFFSET($H$3,0,0,'Données projet'!$E$9+1,1))</f>
        <v>327.09084560210488</v>
      </c>
      <c r="T129" s="59">
        <f t="shared" si="88"/>
        <v>432.22711671615133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44.665259208817936</v>
      </c>
      <c r="AA129" s="21">
        <f>EXP(-LN(2)/25)*AA128+(1-EXP(-LN(2)/25))/(LN(2)/25)*Calculateur!V129*Calculateur!X129*VLOOKUP('Données projet'!$B$9,Paramètres!$A$1:$I$89,3,0)*0.475*44/12</f>
        <v>18.834873473413843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63.500132682231779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1.0049916454590858E-13</v>
      </c>
      <c r="P130" s="13">
        <f t="shared" si="87"/>
        <v>1.5089081593838289E-12</v>
      </c>
      <c r="Q130" s="20">
        <f t="shared" si="107"/>
        <v>2.8030510891776262E-12</v>
      </c>
      <c r="R130" s="59">
        <f t="shared" si="55"/>
        <v>293.3333333333361</v>
      </c>
      <c r="S130" s="59">
        <f ca="1">AVERAGE(OFFSET($R$3,0,0,'Données projet'!$E$9+1,1))-AVERAGE(OFFSET($H$3,0,0,'Données projet'!$E$9+1,1))</f>
        <v>327.09084560210488</v>
      </c>
      <c r="T130" s="59">
        <f t="shared" si="88"/>
        <v>432.22711671615133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43.789400718851098</v>
      </c>
      <c r="AA130" s="21">
        <f>EXP(-LN(2)/25)*AA129+(1-EXP(-LN(2)/25))/(LN(2)/25)*Calculateur!V130*Calculateur!X130*VLOOKUP('Données projet'!$B$9,Paramètres!$A$1:$I$89,3,0)*0.475*44/12</f>
        <v>18.319832867800393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62.109233586651492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1.0049916454590858E-13</v>
      </c>
      <c r="P131" s="13">
        <f t="shared" si="87"/>
        <v>1.5089081593838289E-12</v>
      </c>
      <c r="Q131" s="20">
        <f t="shared" ref="Q131:Q153" si="108">(O131+P131)*0.475*44/12</f>
        <v>2.8030510891776262E-12</v>
      </c>
      <c r="R131" s="59">
        <f t="shared" ref="R131:R194" si="109">Q131+(I131+J131)*44/12</f>
        <v>293.3333333333361</v>
      </c>
      <c r="S131" s="59">
        <f ca="1">AVERAGE(OFFSET($R$3,0,0,'Données projet'!$E$9+1,1))-AVERAGE(OFFSET($H$3,0,0,'Données projet'!$E$9+1,1))</f>
        <v>327.09084560210488</v>
      </c>
      <c r="T131" s="59">
        <f t="shared" si="88"/>
        <v>432.22711671615133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42.930717279651581</v>
      </c>
      <c r="AA131" s="21">
        <f>EXP(-LN(2)/25)*AA130+(1-EXP(-LN(2)/25))/(LN(2)/25)*Calculateur!V131*Calculateur!X131*VLOOKUP('Données projet'!$B$9,Paramètres!$A$1:$I$89,3,0)*0.475*44/12</f>
        <v>17.81887607463225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60.749593354283832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1.0049916454590858E-13</v>
      </c>
      <c r="P132" s="13">
        <f t="shared" si="87"/>
        <v>1.5089081593838289E-12</v>
      </c>
      <c r="Q132" s="20">
        <f t="shared" si="108"/>
        <v>2.8030510891776262E-12</v>
      </c>
      <c r="R132" s="59">
        <f t="shared" si="109"/>
        <v>293.3333333333361</v>
      </c>
      <c r="S132" s="59">
        <f ca="1">AVERAGE(OFFSET($R$3,0,0,'Données projet'!$E$9+1,1))-AVERAGE(OFFSET($H$3,0,0,'Données projet'!$E$9+1,1))</f>
        <v>327.09084560210488</v>
      </c>
      <c r="T132" s="59">
        <f t="shared" si="88"/>
        <v>432.22711671615133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42.088872098949587</v>
      </c>
      <c r="AA132" s="21">
        <f>EXP(-LN(2)/25)*AA131+(1-EXP(-LN(2)/25))/(LN(2)/25)*Calculateur!V132*Calculateur!X132*VLOOKUP('Données projet'!$B$9,Paramètres!$A$1:$I$89,3,0)*0.475*44/12</f>
        <v>17.331617971317463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59.42049007026705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1.0049916454590858E-13</v>
      </c>
      <c r="P133" s="13">
        <f t="shared" ref="P133:P196" si="141">EXP(-1.0587+0.8836*LN(O133)+0.284)</f>
        <v>1.5089081593838289E-12</v>
      </c>
      <c r="Q133" s="20">
        <f t="shared" si="108"/>
        <v>2.8030510891776262E-12</v>
      </c>
      <c r="R133" s="59">
        <f t="shared" si="109"/>
        <v>293.3333333333361</v>
      </c>
      <c r="S133" s="59">
        <f ca="1">AVERAGE(OFFSET($R$3,0,0,'Données projet'!$E$9+1,1))-AVERAGE(OFFSET($H$3,0,0,'Données projet'!$E$9+1,1))</f>
        <v>327.09084560210488</v>
      </c>
      <c r="T133" s="59">
        <f t="shared" ref="T133:T196" si="142">$T$3</f>
        <v>432.22711671615133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41.263534988766295</v>
      </c>
      <c r="AA133" s="21">
        <f>EXP(-LN(2)/25)*AA132+(1-EXP(-LN(2)/25))/(LN(2)/25)*Calculateur!V133*Calculateur!X133*VLOOKUP('Données projet'!$B$9,Paramètres!$A$1:$I$89,3,0)*0.475*44/12</f>
        <v>16.857683966461611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58.121218955227903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1.0049916454590858E-13</v>
      </c>
      <c r="P134" s="13">
        <f t="shared" si="141"/>
        <v>1.5089081593838289E-12</v>
      </c>
      <c r="Q134" s="20">
        <f t="shared" si="108"/>
        <v>2.8030510891776262E-12</v>
      </c>
      <c r="R134" s="59">
        <f t="shared" si="109"/>
        <v>293.3333333333361</v>
      </c>
      <c r="S134" s="59">
        <f ca="1">AVERAGE(OFFSET($R$3,0,0,'Données projet'!$E$9+1,1))-AVERAGE(OFFSET($H$3,0,0,'Données projet'!$E$9+1,1))</f>
        <v>327.09084560210488</v>
      </c>
      <c r="T134" s="59">
        <f t="shared" si="142"/>
        <v>432.22711671615133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40.454382235907772</v>
      </c>
      <c r="AA134" s="21">
        <f>EXP(-LN(2)/25)*AA133+(1-EXP(-LN(2)/25))/(LN(2)/25)*Calculateur!V134*Calculateur!X134*VLOOKUP('Données projet'!$B$9,Paramètres!$A$1:$I$89,3,0)*0.475*44/12</f>
        <v>16.396709711891646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56.851091947799418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1.0049916454590858E-13</v>
      </c>
      <c r="P135" s="13">
        <f t="shared" si="141"/>
        <v>1.5089081593838289E-12</v>
      </c>
      <c r="Q135" s="20">
        <f t="shared" si="108"/>
        <v>2.8030510891776262E-12</v>
      </c>
      <c r="R135" s="59">
        <f t="shared" si="109"/>
        <v>293.3333333333361</v>
      </c>
      <c r="S135" s="59">
        <f ca="1">AVERAGE(OFFSET($R$3,0,0,'Données projet'!$E$9+1,1))-AVERAGE(OFFSET($H$3,0,0,'Données projet'!$E$9+1,1))</f>
        <v>327.09084560210488</v>
      </c>
      <c r="T135" s="59">
        <f t="shared" si="142"/>
        <v>432.22711671615133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39.661096474998359</v>
      </c>
      <c r="AA135" s="21">
        <f>EXP(-LN(2)/25)*AA134+(1-EXP(-LN(2)/25))/(LN(2)/25)*Calculateur!V135*Calculateur!X135*VLOOKUP('Données projet'!$B$9,Paramètres!$A$1:$I$89,3,0)*0.475*44/12</f>
        <v>15.94834082255448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55.609437297552837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1.0049916454590858E-13</v>
      </c>
      <c r="P136" s="13">
        <f t="shared" si="141"/>
        <v>1.5089081593838289E-12</v>
      </c>
      <c r="Q136" s="20">
        <f t="shared" si="108"/>
        <v>2.8030510891776262E-12</v>
      </c>
      <c r="R136" s="59">
        <f t="shared" si="109"/>
        <v>293.3333333333361</v>
      </c>
      <c r="S136" s="59">
        <f ca="1">AVERAGE(OFFSET($R$3,0,0,'Données projet'!$E$9+1,1))-AVERAGE(OFFSET($H$3,0,0,'Données projet'!$E$9+1,1))</f>
        <v>327.09084560210488</v>
      </c>
      <c r="T136" s="59">
        <f t="shared" si="142"/>
        <v>432.22711671615133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38.883366564003843</v>
      </c>
      <c r="AA136" s="21">
        <f>EXP(-LN(2)/25)*AA135+(1-EXP(-LN(2)/25))/(LN(2)/25)*Calculateur!V136*Calculateur!X136*VLOOKUP('Données projet'!$B$9,Paramètres!$A$1:$I$89,3,0)*0.475*44/12</f>
        <v>15.512232604074933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54.395599168078775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1.0049916454590858E-13</v>
      </c>
      <c r="P137" s="13">
        <f t="shared" si="141"/>
        <v>1.5089081593838289E-12</v>
      </c>
      <c r="Q137" s="20">
        <f t="shared" si="108"/>
        <v>2.8030510891776262E-12</v>
      </c>
      <c r="R137" s="59">
        <f t="shared" si="109"/>
        <v>293.3333333333361</v>
      </c>
      <c r="S137" s="59">
        <f ca="1">AVERAGE(OFFSET($R$3,0,0,'Données projet'!$E$9+1,1))-AVERAGE(OFFSET($H$3,0,0,'Données projet'!$E$9+1,1))</f>
        <v>327.09084560210488</v>
      </c>
      <c r="T137" s="59">
        <f t="shared" si="142"/>
        <v>432.22711671615133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38.120887462195519</v>
      </c>
      <c r="AA137" s="21">
        <f>EXP(-LN(2)/25)*AA136+(1-EXP(-LN(2)/25))/(LN(2)/25)*Calculateur!V137*Calculateur!X137*VLOOKUP('Données projet'!$B$9,Paramètres!$A$1:$I$89,3,0)*0.475*44/12</f>
        <v>15.088049787763644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53.208937249959163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1.0049916454590858E-13</v>
      </c>
      <c r="P138" s="13">
        <f t="shared" si="141"/>
        <v>1.5089081593838289E-12</v>
      </c>
      <c r="Q138" s="20">
        <f t="shared" si="108"/>
        <v>2.8030510891776262E-12</v>
      </c>
      <c r="R138" s="59">
        <f t="shared" si="109"/>
        <v>293.3333333333361</v>
      </c>
      <c r="S138" s="59">
        <f ca="1">AVERAGE(OFFSET($R$3,0,0,'Données projet'!$E$9+1,1))-AVERAGE(OFFSET($H$3,0,0,'Données projet'!$E$9+1,1))</f>
        <v>327.09084560210488</v>
      </c>
      <c r="T138" s="59">
        <f t="shared" si="142"/>
        <v>432.22711671615133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37.373360110507328</v>
      </c>
      <c r="AA138" s="21">
        <f>EXP(-LN(2)/25)*AA137+(1-EXP(-LN(2)/25))/(LN(2)/25)*Calculateur!V138*Calculateur!X138*VLOOKUP('Données projet'!$B$9,Paramètres!$A$1:$I$89,3,0)*0.475*44/12</f>
        <v>14.675466272871194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52.048826383378525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1.0049916454590858E-13</v>
      </c>
      <c r="P139" s="13">
        <f t="shared" si="141"/>
        <v>1.5089081593838289E-12</v>
      </c>
      <c r="Q139" s="20">
        <f t="shared" si="108"/>
        <v>2.8030510891776262E-12</v>
      </c>
      <c r="R139" s="59">
        <f t="shared" si="109"/>
        <v>293.3333333333361</v>
      </c>
      <c r="S139" s="59">
        <f ca="1">AVERAGE(OFFSET($R$3,0,0,'Données projet'!$E$9+1,1))-AVERAGE(OFFSET($H$3,0,0,'Données projet'!$E$9+1,1))</f>
        <v>327.09084560210488</v>
      </c>
      <c r="T139" s="59">
        <f t="shared" si="142"/>
        <v>432.22711671615133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36.640491314239078</v>
      </c>
      <c r="AA139" s="21">
        <f>EXP(-LN(2)/25)*AA138+(1-EXP(-LN(2)/25))/(LN(2)/25)*Calculateur!V139*Calculateur!X139*VLOOKUP('Données projet'!$B$9,Paramètres!$A$1:$I$89,3,0)*0.475*44/12</f>
        <v>14.274164875890301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50.914656190129378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1.0049916454590858E-13</v>
      </c>
      <c r="P140" s="13">
        <f t="shared" si="141"/>
        <v>1.5089081593838289E-12</v>
      </c>
      <c r="Q140" s="20">
        <f t="shared" si="108"/>
        <v>2.8030510891776262E-12</v>
      </c>
      <c r="R140" s="59">
        <f t="shared" si="109"/>
        <v>293.3333333333361</v>
      </c>
      <c r="S140" s="59">
        <f ca="1">AVERAGE(OFFSET($R$3,0,0,'Données projet'!$E$9+1,1))-AVERAGE(OFFSET($H$3,0,0,'Données projet'!$E$9+1,1))</f>
        <v>327.09084560210488</v>
      </c>
      <c r="T140" s="59">
        <f t="shared" si="142"/>
        <v>432.22711671615133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35.921993628059823</v>
      </c>
      <c r="AA140" s="21">
        <f>EXP(-LN(2)/25)*AA139+(1-EXP(-LN(2)/25))/(LN(2)/25)*Calculateur!V140*Calculateur!X140*VLOOKUP('Données projet'!$B$9,Paramètres!$A$1:$I$89,3,0)*0.475*44/12</f>
        <v>13.883837086713374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49.805830714773194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1.0049916454590858E-13</v>
      </c>
      <c r="P141" s="13">
        <f t="shared" si="141"/>
        <v>1.5089081593838289E-12</v>
      </c>
      <c r="Q141" s="20">
        <f t="shared" si="108"/>
        <v>2.8030510891776262E-12</v>
      </c>
      <c r="R141" s="59">
        <f t="shared" si="109"/>
        <v>293.3333333333361</v>
      </c>
      <c r="S141" s="59">
        <f ca="1">AVERAGE(OFFSET($R$3,0,0,'Données projet'!$E$9+1,1))-AVERAGE(OFFSET($H$3,0,0,'Données projet'!$E$9+1,1))</f>
        <v>327.09084560210488</v>
      </c>
      <c r="T141" s="59">
        <f t="shared" si="142"/>
        <v>432.22711671615133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35.217585243266228</v>
      </c>
      <c r="AA141" s="21">
        <f>EXP(-LN(2)/25)*AA140+(1-EXP(-LN(2)/25))/(LN(2)/25)*Calculateur!V141*Calculateur!X141*VLOOKUP('Données projet'!$B$9,Paramètres!$A$1:$I$89,3,0)*0.475*44/12</f>
        <v>13.504182831457936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48.721768074724167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1.0049916454590858E-13</v>
      </c>
      <c r="P142" s="13">
        <f t="shared" si="141"/>
        <v>1.5089081593838289E-12</v>
      </c>
      <c r="Q142" s="20">
        <f t="shared" si="108"/>
        <v>2.8030510891776262E-12</v>
      </c>
      <c r="R142" s="59">
        <f t="shared" si="109"/>
        <v>293.3333333333361</v>
      </c>
      <c r="S142" s="59">
        <f ca="1">AVERAGE(OFFSET($R$3,0,0,'Données projet'!$E$9+1,1))-AVERAGE(OFFSET($H$3,0,0,'Données projet'!$E$9+1,1))</f>
        <v>327.09084560210488</v>
      </c>
      <c r="T142" s="59">
        <f t="shared" si="142"/>
        <v>432.22711671615133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34.526989877251744</v>
      </c>
      <c r="AA142" s="21">
        <f>EXP(-LN(2)/25)*AA141+(1-EXP(-LN(2)/25))/(LN(2)/25)*Calculateur!V142*Calculateur!X142*VLOOKUP('Données projet'!$B$9,Paramètres!$A$1:$I$89,3,0)*0.475*44/12</f>
        <v>13.134910241777607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47.661900119029355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1.0049916454590858E-13</v>
      </c>
      <c r="P143" s="13">
        <f t="shared" si="141"/>
        <v>1.5089081593838289E-12</v>
      </c>
      <c r="Q143" s="20">
        <f t="shared" si="108"/>
        <v>2.8030510891776262E-12</v>
      </c>
      <c r="R143" s="59">
        <f t="shared" si="109"/>
        <v>293.3333333333361</v>
      </c>
      <c r="S143" s="59">
        <f ca="1">AVERAGE(OFFSET($R$3,0,0,'Données projet'!$E$9+1,1))-AVERAGE(OFFSET($H$3,0,0,'Données projet'!$E$9+1,1))</f>
        <v>327.09084560210488</v>
      </c>
      <c r="T143" s="59">
        <f t="shared" si="142"/>
        <v>432.22711671615133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33.849936665143218</v>
      </c>
      <c r="AA143" s="21">
        <f>EXP(-LN(2)/25)*AA142+(1-EXP(-LN(2)/25))/(LN(2)/25)*Calculateur!V143*Calculateur!X143*VLOOKUP('Données projet'!$B$9,Paramètres!$A$1:$I$89,3,0)*0.475*44/12</f>
        <v>12.775735430481289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46.625672095624509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1.0049916454590858E-13</v>
      </c>
      <c r="P144" s="13">
        <f t="shared" si="141"/>
        <v>1.5089081593838289E-12</v>
      </c>
      <c r="Q144" s="20">
        <f t="shared" si="108"/>
        <v>2.8030510891776262E-12</v>
      </c>
      <c r="R144" s="59">
        <f t="shared" si="109"/>
        <v>293.3333333333361</v>
      </c>
      <c r="S144" s="59">
        <f ca="1">AVERAGE(OFFSET($R$3,0,0,'Données projet'!$E$9+1,1))-AVERAGE(OFFSET($H$3,0,0,'Données projet'!$E$9+1,1))</f>
        <v>327.09084560210488</v>
      </c>
      <c r="T144" s="59">
        <f t="shared" si="142"/>
        <v>432.22711671615133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33.18616005356246</v>
      </c>
      <c r="AA144" s="21">
        <f>EXP(-LN(2)/25)*AA143+(1-EXP(-LN(2)/25))/(LN(2)/25)*Calculateur!V144*Calculateur!X144*VLOOKUP('Données projet'!$B$9,Paramètres!$A$1:$I$89,3,0)*0.475*44/12</f>
        <v>12.42638227328805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45.612542326850509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1.0049916454590858E-13</v>
      </c>
      <c r="P145" s="13">
        <f t="shared" si="141"/>
        <v>1.5089081593838289E-12</v>
      </c>
      <c r="Q145" s="20">
        <f t="shared" si="108"/>
        <v>2.8030510891776262E-12</v>
      </c>
      <c r="R145" s="59">
        <f t="shared" si="109"/>
        <v>293.3333333333361</v>
      </c>
      <c r="S145" s="59">
        <f ca="1">AVERAGE(OFFSET($R$3,0,0,'Données projet'!$E$9+1,1))-AVERAGE(OFFSET($H$3,0,0,'Données projet'!$E$9+1,1))</f>
        <v>327.09084560210488</v>
      </c>
      <c r="T145" s="59">
        <f t="shared" si="142"/>
        <v>432.22711671615133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32.535399696471046</v>
      </c>
      <c r="AA145" s="21">
        <f>EXP(-LN(2)/25)*AA144+(1-EXP(-LN(2)/25))/(LN(2)/25)*Calculateur!V145*Calculateur!X145*VLOOKUP('Données projet'!$B$9,Paramètres!$A$1:$I$89,3,0)*0.475*44/12</f>
        <v>12.086582196549946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44.621981893020994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1.0049916454590858E-13</v>
      </c>
      <c r="P146" s="13">
        <f t="shared" si="141"/>
        <v>1.5089081593838289E-12</v>
      </c>
      <c r="Q146" s="20">
        <f t="shared" si="108"/>
        <v>2.8030510891776262E-12</v>
      </c>
      <c r="R146" s="59">
        <f t="shared" si="109"/>
        <v>293.3333333333361</v>
      </c>
      <c r="S146" s="59">
        <f ca="1">AVERAGE(OFFSET($R$3,0,0,'Données projet'!$E$9+1,1))-AVERAGE(OFFSET($H$3,0,0,'Données projet'!$E$9+1,1))</f>
        <v>327.09084560210488</v>
      </c>
      <c r="T146" s="59">
        <f t="shared" si="142"/>
        <v>432.22711671615133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31.89740035305757</v>
      </c>
      <c r="AA146" s="21">
        <f>EXP(-LN(2)/25)*AA145+(1-EXP(-LN(2)/25))/(LN(2)/25)*Calculateur!V146*Calculateur!X146*VLOOKUP('Données projet'!$B$9,Paramètres!$A$1:$I$89,3,0)*0.475*44/12</f>
        <v>11.756073970779555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43.653474323837123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1.0049916454590858E-13</v>
      </c>
      <c r="P147" s="13">
        <f t="shared" si="141"/>
        <v>1.5089081593838289E-12</v>
      </c>
      <c r="Q147" s="20">
        <f t="shared" si="108"/>
        <v>2.8030510891776262E-12</v>
      </c>
      <c r="R147" s="59">
        <f t="shared" si="109"/>
        <v>293.3333333333361</v>
      </c>
      <c r="S147" s="59">
        <f ca="1">AVERAGE(OFFSET($R$3,0,0,'Données projet'!$E$9+1,1))-AVERAGE(OFFSET($H$3,0,0,'Données projet'!$E$9+1,1))</f>
        <v>327.09084560210488</v>
      </c>
      <c r="T147" s="59">
        <f t="shared" si="142"/>
        <v>432.22711671615133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31.271911787627257</v>
      </c>
      <c r="AA147" s="21">
        <f>EXP(-LN(2)/25)*AA146+(1-EXP(-LN(2)/25))/(LN(2)/25)*Calculateur!V147*Calculateur!X147*VLOOKUP('Données projet'!$B$9,Paramètres!$A$1:$I$89,3,0)*0.475*44/12</f>
        <v>11.434603509823527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42.706515297450785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1.0049916454590858E-13</v>
      </c>
      <c r="P148" s="13">
        <f t="shared" si="141"/>
        <v>1.5089081593838289E-12</v>
      </c>
      <c r="Q148" s="20">
        <f t="shared" si="108"/>
        <v>2.8030510891776262E-12</v>
      </c>
      <c r="R148" s="59">
        <f t="shared" si="109"/>
        <v>293.3333333333361</v>
      </c>
      <c r="S148" s="59">
        <f ca="1">AVERAGE(OFFSET($R$3,0,0,'Données projet'!$E$9+1,1))-AVERAGE(OFFSET($H$3,0,0,'Données projet'!$E$9+1,1))</f>
        <v>327.09084560210488</v>
      </c>
      <c r="T148" s="59">
        <f t="shared" si="142"/>
        <v>432.22711671615133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30.658688671454676</v>
      </c>
      <c r="AA148" s="21">
        <f>EXP(-LN(2)/25)*AA147+(1-EXP(-LN(2)/25))/(LN(2)/25)*Calculateur!V148*Calculateur!X148*VLOOKUP('Données projet'!$B$9,Paramètres!$A$1:$I$89,3,0)*0.475*44/12</f>
        <v>11.121923675527738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41.780612346982416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1.0049916454590858E-13</v>
      </c>
      <c r="P149" s="13">
        <f t="shared" si="141"/>
        <v>1.5089081593838289E-12</v>
      </c>
      <c r="Q149" s="20">
        <f t="shared" si="108"/>
        <v>2.8030510891776262E-12</v>
      </c>
      <c r="R149" s="59">
        <f t="shared" si="109"/>
        <v>293.3333333333361</v>
      </c>
      <c r="S149" s="59">
        <f ca="1">AVERAGE(OFFSET($R$3,0,0,'Données projet'!$E$9+1,1))-AVERAGE(OFFSET($H$3,0,0,'Données projet'!$E$9+1,1))</f>
        <v>327.09084560210488</v>
      </c>
      <c r="T149" s="59">
        <f t="shared" si="142"/>
        <v>432.22711671615133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30.057490486561072</v>
      </c>
      <c r="AA149" s="21">
        <f>EXP(-LN(2)/25)*AA148+(1-EXP(-LN(2)/25))/(LN(2)/25)*Calculateur!V149*Calculateur!X149*VLOOKUP('Données projet'!$B$9,Paramètres!$A$1:$I$89,3,0)*0.475*44/12</f>
        <v>10.817794087743884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40.875284574304956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1.0049916454590858E-13</v>
      </c>
      <c r="P150" s="13">
        <f t="shared" si="141"/>
        <v>1.5089081593838289E-12</v>
      </c>
      <c r="Q150" s="20">
        <f t="shared" si="108"/>
        <v>2.8030510891776262E-12</v>
      </c>
      <c r="R150" s="59">
        <f t="shared" si="109"/>
        <v>293.3333333333361</v>
      </c>
      <c r="S150" s="59">
        <f ca="1">AVERAGE(OFFSET($R$3,0,0,'Données projet'!$E$9+1,1))-AVERAGE(OFFSET($H$3,0,0,'Données projet'!$E$9+1,1))</f>
        <v>327.09084560210488</v>
      </c>
      <c r="T150" s="59">
        <f t="shared" si="142"/>
        <v>432.22711671615133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29.468081431378547</v>
      </c>
      <c r="AA150" s="21">
        <f>EXP(-LN(2)/25)*AA149+(1-EXP(-LN(2)/25))/(LN(2)/25)*Calculateur!V150*Calculateur!X150*VLOOKUP('Données projet'!$B$9,Paramètres!$A$1:$I$89,3,0)*0.475*44/12</f>
        <v>10.521980939531462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39.99006237091001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1.0049916454590858E-13</v>
      </c>
      <c r="P151" s="13">
        <f t="shared" si="141"/>
        <v>1.5089081593838289E-12</v>
      </c>
      <c r="Q151" s="20">
        <f t="shared" si="108"/>
        <v>2.8030510891776262E-12</v>
      </c>
      <c r="R151" s="59">
        <f t="shared" si="109"/>
        <v>293.3333333333361</v>
      </c>
      <c r="S151" s="59">
        <f ca="1">AVERAGE(OFFSET($R$3,0,0,'Données projet'!$E$9+1,1))-AVERAGE(OFFSET($H$3,0,0,'Données projet'!$E$9+1,1))</f>
        <v>327.09084560210488</v>
      </c>
      <c r="T151" s="59">
        <f t="shared" si="142"/>
        <v>432.22711671615133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28.890230328264124</v>
      </c>
      <c r="AA151" s="21">
        <f>EXP(-LN(2)/25)*AA150+(1-EXP(-LN(2)/25))/(LN(2)/25)*Calculateur!V151*Calculateur!X151*VLOOKUP('Données projet'!$B$9,Paramètres!$A$1:$I$89,3,0)*0.475*44/12</f>
        <v>10.234256817413044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39.124487145677165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1.0049916454590858E-13</v>
      </c>
      <c r="P152" s="13">
        <f t="shared" si="141"/>
        <v>1.5089081593838289E-12</v>
      </c>
      <c r="Q152" s="20">
        <f t="shared" si="108"/>
        <v>2.8030510891776262E-12</v>
      </c>
      <c r="R152" s="59">
        <f t="shared" si="109"/>
        <v>293.3333333333361</v>
      </c>
      <c r="S152" s="59">
        <f ca="1">AVERAGE(OFFSET($R$3,0,0,'Données projet'!$E$9+1,1))-AVERAGE(OFFSET($H$3,0,0,'Données projet'!$E$9+1,1))</f>
        <v>327.09084560210488</v>
      </c>
      <c r="T152" s="59">
        <f t="shared" si="142"/>
        <v>432.22711671615133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28.323710532827405</v>
      </c>
      <c r="AA152" s="21">
        <f>EXP(-LN(2)/25)*AA151+(1-EXP(-LN(2)/25))/(LN(2)/25)*Calculateur!V152*Calculateur!X152*VLOOKUP('Données projet'!$B$9,Paramètres!$A$1:$I$89,3,0)*0.475*44/12</f>
        <v>9.9544005265447097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38.278111059372115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1.0049916454590858E-13</v>
      </c>
      <c r="P153" s="13">
        <f t="shared" si="141"/>
        <v>1.5089081593838289E-12</v>
      </c>
      <c r="Q153" s="20">
        <f t="shared" si="108"/>
        <v>2.8030510891776262E-12</v>
      </c>
      <c r="R153" s="59">
        <f t="shared" si="109"/>
        <v>293.3333333333361</v>
      </c>
      <c r="S153" s="59">
        <f ca="1">AVERAGE(OFFSET($R$3,0,0,'Données projet'!$E$9+1,1))-AVERAGE(OFFSET($H$3,0,0,'Données projet'!$E$9+1,1))</f>
        <v>327.09084560210488</v>
      </c>
      <c r="T153" s="59">
        <f t="shared" si="142"/>
        <v>432.22711671615133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27.768299845036246</v>
      </c>
      <c r="AA153" s="21">
        <f>EXP(-LN(2)/25)*AA152+(1-EXP(-LN(2)/25))/(LN(2)/25)*Calculateur!V153*Calculateur!X153*VLOOKUP('Données projet'!$B$9,Paramètres!$A$1:$I$89,3,0)*0.475*44/12</f>
        <v>9.6821969206671721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37.45049676570342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1.0049916454590858E-13</v>
      </c>
      <c r="P154" s="13">
        <f t="shared" si="141"/>
        <v>1.5089081593838289E-12</v>
      </c>
      <c r="Q154" s="20">
        <f t="shared" ref="Q154:Q203" si="162">(O154+P154)*0.475*44/12</f>
        <v>2.8030510891776262E-12</v>
      </c>
      <c r="R154" s="59">
        <f t="shared" si="109"/>
        <v>293.3333333333361</v>
      </c>
      <c r="S154" s="59">
        <f ca="1">AVERAGE(OFFSET($R$3,0,0,'Données projet'!$E$9+1,1))-AVERAGE(OFFSET($H$3,0,0,'Données projet'!$E$9+1,1))</f>
        <v>327.09084560210488</v>
      </c>
      <c r="T154" s="59">
        <f t="shared" si="142"/>
        <v>432.22711671615133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27.223780422065602</v>
      </c>
      <c r="AA154" s="21">
        <f>EXP(-LN(2)/25)*AA153+(1-EXP(-LN(2)/25))/(LN(2)/25)*Calculateur!V154*Calculateur!X154*VLOOKUP('Données projet'!$B$9,Paramètres!$A$1:$I$89,3,0)*0.475*44/12</f>
        <v>9.4174367367069216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36.64121715877252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1.0049916454590858E-13</v>
      </c>
      <c r="P155" s="13">
        <f t="shared" si="141"/>
        <v>1.5089081593838289E-12</v>
      </c>
      <c r="Q155" s="20">
        <f t="shared" si="162"/>
        <v>2.8030510891776262E-12</v>
      </c>
      <c r="R155" s="59">
        <f t="shared" si="109"/>
        <v>293.3333333333361</v>
      </c>
      <c r="S155" s="59">
        <f ca="1">AVERAGE(OFFSET($R$3,0,0,'Données projet'!$E$9+1,1))-AVERAGE(OFFSET($H$3,0,0,'Données projet'!$E$9+1,1))</f>
        <v>327.09084560210488</v>
      </c>
      <c r="T155" s="59">
        <f t="shared" si="142"/>
        <v>432.22711671615133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26.689938692855357</v>
      </c>
      <c r="AA155" s="21">
        <f>EXP(-LN(2)/25)*AA154+(1-EXP(-LN(2)/25))/(LN(2)/25)*Calculateur!V155*Calculateur!X155*VLOOKUP('Données projet'!$B$9,Paramètres!$A$1:$I$89,3,0)*0.475*44/12</f>
        <v>9.1599164339001966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35.849855126755557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1.0049916454590858E-13</v>
      </c>
      <c r="P156" s="13">
        <f t="shared" si="141"/>
        <v>1.5089081593838289E-12</v>
      </c>
      <c r="Q156" s="20">
        <f t="shared" si="162"/>
        <v>2.8030510891776262E-12</v>
      </c>
      <c r="R156" s="59">
        <f t="shared" si="109"/>
        <v>293.3333333333361</v>
      </c>
      <c r="S156" s="59">
        <f ca="1">AVERAGE(OFFSET($R$3,0,0,'Données projet'!$E$9+1,1))-AVERAGE(OFFSET($H$3,0,0,'Données projet'!$E$9+1,1))</f>
        <v>327.09084560210488</v>
      </c>
      <c r="T156" s="59">
        <f t="shared" si="142"/>
        <v>432.22711671615133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26.166565274343622</v>
      </c>
      <c r="AA156" s="21">
        <f>EXP(-LN(2)/25)*AA155+(1-EXP(-LN(2)/25))/(LN(2)/25)*Calculateur!V156*Calculateur!X156*VLOOKUP('Données projet'!$B$9,Paramètres!$A$1:$I$89,3,0)*0.475*44/12</f>
        <v>8.909438037316125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35.076003311659747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1.0049916454590858E-13</v>
      </c>
      <c r="P157" s="13">
        <f t="shared" si="141"/>
        <v>1.5089081593838289E-12</v>
      </c>
      <c r="Q157" s="20">
        <f t="shared" si="162"/>
        <v>2.8030510891776262E-12</v>
      </c>
      <c r="R157" s="59">
        <f t="shared" si="109"/>
        <v>293.3333333333361</v>
      </c>
      <c r="S157" s="59">
        <f ca="1">AVERAGE(OFFSET($R$3,0,0,'Données projet'!$E$9+1,1))-AVERAGE(OFFSET($H$3,0,0,'Données projet'!$E$9+1,1))</f>
        <v>327.09084560210488</v>
      </c>
      <c r="T157" s="59">
        <f t="shared" si="142"/>
        <v>432.22711671615133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25.65345488934264</v>
      </c>
      <c r="AA157" s="21">
        <f>EXP(-LN(2)/25)*AA156+(1-EXP(-LN(2)/25))/(LN(2)/25)*Calculateur!V157*Calculateur!X157*VLOOKUP('Données projet'!$B$9,Paramètres!$A$1:$I$89,3,0)*0.475*44/12</f>
        <v>8.6658089856587317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34.319263875001369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1.0049916454590858E-13</v>
      </c>
      <c r="P158" s="13">
        <f t="shared" si="141"/>
        <v>1.5089081593838289E-12</v>
      </c>
      <c r="Q158" s="20">
        <f t="shared" si="162"/>
        <v>2.8030510891776262E-12</v>
      </c>
      <c r="R158" s="59">
        <f t="shared" si="109"/>
        <v>293.3333333333361</v>
      </c>
      <c r="S158" s="59">
        <f ca="1">AVERAGE(OFFSET($R$3,0,0,'Données projet'!$E$9+1,1))-AVERAGE(OFFSET($H$3,0,0,'Données projet'!$E$9+1,1))</f>
        <v>327.09084560210488</v>
      </c>
      <c r="T158" s="59">
        <f t="shared" si="142"/>
        <v>432.22711671615133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25.150406286025095</v>
      </c>
      <c r="AA158" s="21">
        <f>EXP(-LN(2)/25)*AA157+(1-EXP(-LN(2)/25))/(LN(2)/25)*Calculateur!V158*Calculateur!X158*VLOOKUP('Données projet'!$B$9,Paramètres!$A$1:$I$89,3,0)*0.475*44/12</f>
        <v>8.4288419832308055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33.579248269255899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1.0049916454590858E-13</v>
      </c>
      <c r="P159" s="13">
        <f t="shared" si="141"/>
        <v>1.5089081593838289E-12</v>
      </c>
      <c r="Q159" s="20">
        <f t="shared" si="162"/>
        <v>2.8030510891776262E-12</v>
      </c>
      <c r="R159" s="59">
        <f t="shared" si="109"/>
        <v>293.3333333333361</v>
      </c>
      <c r="S159" s="59">
        <f ca="1">AVERAGE(OFFSET($R$3,0,0,'Données projet'!$E$9+1,1))-AVERAGE(OFFSET($H$3,0,0,'Données projet'!$E$9+1,1))</f>
        <v>327.09084560210488</v>
      </c>
      <c r="T159" s="59">
        <f t="shared" si="142"/>
        <v>432.22711671615133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24.657222158989256</v>
      </c>
      <c r="AA159" s="21">
        <f>EXP(-LN(2)/25)*AA158+(1-EXP(-LN(2)/25))/(LN(2)/25)*Calculateur!V159*Calculateur!X159*VLOOKUP('Données projet'!$B$9,Paramètres!$A$1:$I$89,3,0)*0.475*44/12</f>
        <v>8.1983548559458228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32.855577014935079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1.0049916454590858E-13</v>
      </c>
      <c r="P160" s="13">
        <f t="shared" si="141"/>
        <v>1.5089081593838289E-12</v>
      </c>
      <c r="Q160" s="20">
        <f t="shared" si="162"/>
        <v>2.8030510891776262E-12</v>
      </c>
      <c r="R160" s="59">
        <f t="shared" si="109"/>
        <v>293.3333333333361</v>
      </c>
      <c r="S160" s="59">
        <f ca="1">AVERAGE(OFFSET($R$3,0,0,'Données projet'!$E$9+1,1))-AVERAGE(OFFSET($H$3,0,0,'Données projet'!$E$9+1,1))</f>
        <v>327.09084560210488</v>
      </c>
      <c r="T160" s="59">
        <f t="shared" si="142"/>
        <v>432.22711671615133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24.173709071871976</v>
      </c>
      <c r="AA160" s="21">
        <f>EXP(-LN(2)/25)*AA159+(1-EXP(-LN(2)/25))/(LN(2)/25)*Calculateur!V160*Calculateur!X160*VLOOKUP('Données projet'!$B$9,Paramètres!$A$1:$I$89,3,0)*0.475*44/12</f>
        <v>7.9741704112772398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32.147879483149218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1.0049916454590858E-13</v>
      </c>
      <c r="P161" s="13">
        <f t="shared" si="141"/>
        <v>1.5089081593838289E-12</v>
      </c>
      <c r="Q161" s="20">
        <f t="shared" si="162"/>
        <v>2.8030510891776262E-12</v>
      </c>
      <c r="R161" s="59">
        <f t="shared" si="109"/>
        <v>293.3333333333361</v>
      </c>
      <c r="S161" s="59">
        <f ca="1">AVERAGE(OFFSET($R$3,0,0,'Données projet'!$E$9+1,1))-AVERAGE(OFFSET($H$3,0,0,'Données projet'!$E$9+1,1))</f>
        <v>327.09084560210488</v>
      </c>
      <c r="T161" s="59">
        <f t="shared" si="142"/>
        <v>432.22711671615133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23.699677381479201</v>
      </c>
      <c r="AA161" s="21">
        <f>EXP(-LN(2)/25)*AA160+(1-EXP(-LN(2)/25))/(LN(2)/25)*Calculateur!V161*Calculateur!X161*VLOOKUP('Données projet'!$B$9,Paramètres!$A$1:$I$89,3,0)*0.475*44/12</f>
        <v>7.7561163020374666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31.455793683516667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1.0049916454590858E-13</v>
      </c>
      <c r="P162" s="13">
        <f t="shared" si="141"/>
        <v>1.5089081593838289E-12</v>
      </c>
      <c r="Q162" s="20">
        <f t="shared" si="162"/>
        <v>2.8030510891776262E-12</v>
      </c>
      <c r="R162" s="59">
        <f t="shared" si="109"/>
        <v>293.3333333333361</v>
      </c>
      <c r="S162" s="59">
        <f ca="1">AVERAGE(OFFSET($R$3,0,0,'Données projet'!$E$9+1,1))-AVERAGE(OFFSET($H$3,0,0,'Données projet'!$E$9+1,1))</f>
        <v>327.09084560210488</v>
      </c>
      <c r="T162" s="59">
        <f t="shared" si="142"/>
        <v>432.22711671615133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23.234941163404248</v>
      </c>
      <c r="AA162" s="21">
        <f>EXP(-LN(2)/25)*AA161+(1-EXP(-LN(2)/25))/(LN(2)/25)*Calculateur!V162*Calculateur!X162*VLOOKUP('Données projet'!$B$9,Paramètres!$A$1:$I$89,3,0)*0.475*44/12</f>
        <v>7.5440248938818222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30.77896605728607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1.0049916454590858E-13</v>
      </c>
      <c r="P163" s="13">
        <f t="shared" si="141"/>
        <v>1.5089081593838289E-12</v>
      </c>
      <c r="Q163" s="20">
        <f t="shared" si="162"/>
        <v>2.8030510891776262E-12</v>
      </c>
      <c r="R163" s="59">
        <f t="shared" si="109"/>
        <v>293.3333333333361</v>
      </c>
      <c r="S163" s="59">
        <f ca="1">AVERAGE(OFFSET($R$3,0,0,'Données projet'!$E$9+1,1))-AVERAGE(OFFSET($H$3,0,0,'Données projet'!$E$9+1,1))</f>
        <v>327.09084560210488</v>
      </c>
      <c r="T163" s="59">
        <f t="shared" si="142"/>
        <v>432.22711671615133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22.779318139104639</v>
      </c>
      <c r="AA163" s="21">
        <f>EXP(-LN(2)/25)*AA162+(1-EXP(-LN(2)/25))/(LN(2)/25)*Calculateur!V163*Calculateur!X163*VLOOKUP('Données projet'!$B$9,Paramètres!$A$1:$I$89,3,0)*0.475*44/12</f>
        <v>7.3377331364355971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30.117051275540234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1.0049916454590858E-13</v>
      </c>
      <c r="P164" s="13">
        <f t="shared" si="141"/>
        <v>1.5089081593838289E-12</v>
      </c>
      <c r="Q164" s="20">
        <f t="shared" si="162"/>
        <v>2.8030510891776262E-12</v>
      </c>
      <c r="R164" s="59">
        <f t="shared" si="109"/>
        <v>293.3333333333361</v>
      </c>
      <c r="S164" s="59">
        <f ca="1">AVERAGE(OFFSET($R$3,0,0,'Données projet'!$E$9+1,1))-AVERAGE(OFFSET($H$3,0,0,'Données projet'!$E$9+1,1))</f>
        <v>327.09084560210488</v>
      </c>
      <c r="T164" s="59">
        <f t="shared" si="142"/>
        <v>432.22711671615133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22.332629604408943</v>
      </c>
      <c r="AA164" s="21">
        <f>EXP(-LN(2)/25)*AA163+(1-EXP(-LN(2)/25))/(LN(2)/25)*Calculateur!V164*Calculateur!X164*VLOOKUP('Données projet'!$B$9,Paramètres!$A$1:$I$89,3,0)*0.475*44/12</f>
        <v>7.1370824379451507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29.469712042354093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1.0049916454590858E-13</v>
      </c>
      <c r="P165" s="13">
        <f t="shared" si="141"/>
        <v>1.5089081593838289E-12</v>
      </c>
      <c r="Q165" s="20">
        <f t="shared" si="162"/>
        <v>2.8030510891776262E-12</v>
      </c>
      <c r="R165" s="59">
        <f t="shared" si="109"/>
        <v>293.3333333333361</v>
      </c>
      <c r="S165" s="59">
        <f ca="1">AVERAGE(OFFSET($R$3,0,0,'Données projet'!$E$9+1,1))-AVERAGE(OFFSET($H$3,0,0,'Données projet'!$E$9+1,1))</f>
        <v>327.09084560210488</v>
      </c>
      <c r="T165" s="59">
        <f t="shared" si="142"/>
        <v>432.22711671615133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21.894700359425524</v>
      </c>
      <c r="AA165" s="21">
        <f>EXP(-LN(2)/25)*AA164+(1-EXP(-LN(2)/25))/(LN(2)/25)*Calculateur!V165*Calculateur!X165*VLOOKUP('Données projet'!$B$9,Paramètres!$A$1:$I$89,3,0)*0.475*44/12</f>
        <v>6.941918543356687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28.836618902782213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1.0049916454590858E-13</v>
      </c>
      <c r="P166" s="13">
        <f t="shared" si="141"/>
        <v>1.5089081593838289E-12</v>
      </c>
      <c r="Q166" s="20">
        <f t="shared" si="162"/>
        <v>2.8030510891776262E-12</v>
      </c>
      <c r="R166" s="59">
        <f t="shared" si="109"/>
        <v>293.3333333333361</v>
      </c>
      <c r="S166" s="59">
        <f ca="1">AVERAGE(OFFSET($R$3,0,0,'Données projet'!$E$9+1,1))-AVERAGE(OFFSET($H$3,0,0,'Données projet'!$E$9+1,1))</f>
        <v>327.09084560210488</v>
      </c>
      <c r="T166" s="59">
        <f t="shared" si="142"/>
        <v>432.22711671615133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21.465358639825766</v>
      </c>
      <c r="AA166" s="21">
        <f>EXP(-LN(2)/25)*AA165+(1-EXP(-LN(2)/25))/(LN(2)/25)*Calculateur!V166*Calculateur!X166*VLOOKUP('Données projet'!$B$9,Paramètres!$A$1:$I$89,3,0)*0.475*44/12</f>
        <v>6.7520914157289678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28.217450055554735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1.0049916454590858E-13</v>
      </c>
      <c r="P167" s="13">
        <f t="shared" si="141"/>
        <v>1.5089081593838289E-12</v>
      </c>
      <c r="Q167" s="20">
        <f t="shared" si="162"/>
        <v>2.8030510891776262E-12</v>
      </c>
      <c r="R167" s="59">
        <f t="shared" si="109"/>
        <v>293.3333333333361</v>
      </c>
      <c r="S167" s="59">
        <f ca="1">AVERAGE(OFFSET($R$3,0,0,'Données projet'!$E$9+1,1))-AVERAGE(OFFSET($H$3,0,0,'Données projet'!$E$9+1,1))</f>
        <v>327.09084560210488</v>
      </c>
      <c r="T167" s="59">
        <f t="shared" si="142"/>
        <v>432.22711671615133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21.044436049474768</v>
      </c>
      <c r="AA167" s="21">
        <f>EXP(-LN(2)/25)*AA166+(1-EXP(-LN(2)/25))/(LN(2)/25)*Calculateur!V167*Calculateur!X167*VLOOKUP('Données projet'!$B$9,Paramètres!$A$1:$I$89,3,0)*0.475*44/12</f>
        <v>6.5674551208888037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27.61189117036357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1.0049916454590858E-13</v>
      </c>
      <c r="P168" s="13">
        <f t="shared" si="141"/>
        <v>1.5089081593838289E-12</v>
      </c>
      <c r="Q168" s="20">
        <f t="shared" si="162"/>
        <v>2.8030510891776262E-12</v>
      </c>
      <c r="R168" s="59">
        <f t="shared" si="109"/>
        <v>293.3333333333361</v>
      </c>
      <c r="S168" s="59">
        <f ca="1">AVERAGE(OFFSET($R$3,0,0,'Données projet'!$E$9+1,1))-AVERAGE(OFFSET($H$3,0,0,'Données projet'!$E$9+1,1))</f>
        <v>327.09084560210488</v>
      </c>
      <c r="T168" s="59">
        <f t="shared" si="142"/>
        <v>432.22711671615133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20.631767494383123</v>
      </c>
      <c r="AA168" s="21">
        <f>EXP(-LN(2)/25)*AA167+(1-EXP(-LN(2)/25))/(LN(2)/25)*Calculateur!V168*Calculateur!X168*VLOOKUP('Données projet'!$B$9,Paramètres!$A$1:$I$89,3,0)*0.475*44/12</f>
        <v>6.3878677152406445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27.019635209623768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1.0049916454590858E-13</v>
      </c>
      <c r="P169" s="13">
        <f t="shared" si="141"/>
        <v>1.5089081593838289E-12</v>
      </c>
      <c r="Q169" s="20">
        <f t="shared" si="162"/>
        <v>2.8030510891776262E-12</v>
      </c>
      <c r="R169" s="59">
        <f t="shared" si="109"/>
        <v>293.3333333333361</v>
      </c>
      <c r="S169" s="59">
        <f ca="1">AVERAGE(OFFSET($R$3,0,0,'Données projet'!$E$9+1,1))-AVERAGE(OFFSET($H$3,0,0,'Données projet'!$E$9+1,1))</f>
        <v>327.09084560210488</v>
      </c>
      <c r="T169" s="59">
        <f t="shared" si="142"/>
        <v>432.22711671615133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20.227191117953861</v>
      </c>
      <c r="AA169" s="21">
        <f>EXP(-LN(2)/25)*AA168+(1-EXP(-LN(2)/25))/(LN(2)/25)*Calculateur!V169*Calculateur!X169*VLOOKUP('Données projet'!$B$9,Paramètres!$A$1:$I$89,3,0)*0.475*44/12</f>
        <v>6.2131911366440251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26.440382254597885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1.0049916454590858E-13</v>
      </c>
      <c r="P170" s="13">
        <f t="shared" si="141"/>
        <v>1.5089081593838289E-12</v>
      </c>
      <c r="Q170" s="20">
        <f t="shared" si="162"/>
        <v>2.8030510891776262E-12</v>
      </c>
      <c r="R170" s="59">
        <f t="shared" si="109"/>
        <v>293.3333333333361</v>
      </c>
      <c r="S170" s="59">
        <f ca="1">AVERAGE(OFFSET($R$3,0,0,'Données projet'!$E$9+1,1))-AVERAGE(OFFSET($H$3,0,0,'Données projet'!$E$9+1,1))</f>
        <v>327.09084560210488</v>
      </c>
      <c r="T170" s="59">
        <f t="shared" si="142"/>
        <v>432.22711671615133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19.830548237499155</v>
      </c>
      <c r="AA170" s="21">
        <f>EXP(-LN(2)/25)*AA169+(1-EXP(-LN(2)/25))/(LN(2)/25)*Calculateur!V170*Calculateur!X170*VLOOKUP('Données projet'!$B$9,Paramètres!$A$1:$I$89,3,0)*0.475*44/12</f>
        <v>6.043291098274973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25.873839335774129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1.0049916454590858E-13</v>
      </c>
      <c r="P171" s="13">
        <f t="shared" si="141"/>
        <v>1.5089081593838289E-12</v>
      </c>
      <c r="Q171" s="20">
        <f t="shared" si="162"/>
        <v>2.8030510891776262E-12</v>
      </c>
      <c r="R171" s="59">
        <f t="shared" si="109"/>
        <v>293.3333333333361</v>
      </c>
      <c r="S171" s="59">
        <f ca="1">AVERAGE(OFFSET($R$3,0,0,'Données projet'!$E$9+1,1))-AVERAGE(OFFSET($H$3,0,0,'Données projet'!$E$9+1,1))</f>
        <v>327.09084560210488</v>
      </c>
      <c r="T171" s="59">
        <f t="shared" si="142"/>
        <v>432.22711671615133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19.441683282001897</v>
      </c>
      <c r="AA171" s="21">
        <f>EXP(-LN(2)/25)*AA170+(1-EXP(-LN(2)/25))/(LN(2)/25)*Calculateur!V171*Calculateur!X171*VLOOKUP('Données projet'!$B$9,Paramètres!$A$1:$I$89,3,0)*0.475*44/12</f>
        <v>5.8780369853897776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25.319720267391673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1.0049916454590858E-13</v>
      </c>
      <c r="P172" s="13">
        <f t="shared" si="141"/>
        <v>1.5089081593838289E-12</v>
      </c>
      <c r="Q172" s="20">
        <f t="shared" si="162"/>
        <v>2.8030510891776262E-12</v>
      </c>
      <c r="R172" s="59">
        <f t="shared" si="109"/>
        <v>293.3333333333361</v>
      </c>
      <c r="S172" s="59">
        <f ca="1">AVERAGE(OFFSET($R$3,0,0,'Données projet'!$E$9+1,1))-AVERAGE(OFFSET($H$3,0,0,'Données projet'!$E$9+1,1))</f>
        <v>327.09084560210488</v>
      </c>
      <c r="T172" s="59">
        <f t="shared" si="142"/>
        <v>432.22711671615133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19.060443731097735</v>
      </c>
      <c r="AA172" s="21">
        <f>EXP(-LN(2)/25)*AA171+(1-EXP(-LN(2)/25))/(LN(2)/25)*Calculateur!V172*Calculateur!X172*VLOOKUP('Données projet'!$B$9,Paramètres!$A$1:$I$89,3,0)*0.475*44/12</f>
        <v>5.7173017549117633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24.777745486009497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1.0049916454590858E-13</v>
      </c>
      <c r="P173" s="13">
        <f t="shared" si="141"/>
        <v>1.5089081593838289E-12</v>
      </c>
      <c r="Q173" s="20">
        <f t="shared" si="162"/>
        <v>2.8030510891776262E-12</v>
      </c>
      <c r="R173" s="59">
        <f t="shared" si="109"/>
        <v>293.3333333333361</v>
      </c>
      <c r="S173" s="59">
        <f ca="1">AVERAGE(OFFSET($R$3,0,0,'Données projet'!$E$9+1,1))-AVERAGE(OFFSET($H$3,0,0,'Données projet'!$E$9+1,1))</f>
        <v>327.09084560210488</v>
      </c>
      <c r="T173" s="59">
        <f t="shared" si="142"/>
        <v>432.22711671615133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18.686680055253639</v>
      </c>
      <c r="AA173" s="21">
        <f>EXP(-LN(2)/25)*AA172+(1-EXP(-LN(2)/25))/(LN(2)/25)*Calculateur!V173*Calculateur!X173*VLOOKUP('Données projet'!$B$9,Paramètres!$A$1:$I$89,3,0)*0.475*44/12</f>
        <v>5.5609618377638688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24.247641893017509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1.0049916454590858E-13</v>
      </c>
      <c r="P174" s="13">
        <f t="shared" si="141"/>
        <v>1.5089081593838289E-12</v>
      </c>
      <c r="Q174" s="20">
        <f t="shared" si="162"/>
        <v>2.8030510891776262E-12</v>
      </c>
      <c r="R174" s="59">
        <f t="shared" si="109"/>
        <v>293.3333333333361</v>
      </c>
      <c r="S174" s="59">
        <f ca="1">AVERAGE(OFFSET($R$3,0,0,'Données projet'!$E$9+1,1))-AVERAGE(OFFSET($H$3,0,0,'Données projet'!$E$9+1,1))</f>
        <v>327.09084560210488</v>
      </c>
      <c r="T174" s="59">
        <f t="shared" si="142"/>
        <v>432.22711671615133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18.320245657119514</v>
      </c>
      <c r="AA174" s="21">
        <f>EXP(-LN(2)/25)*AA173+(1-EXP(-LN(2)/25))/(LN(2)/25)*Calculateur!V174*Calculateur!X174*VLOOKUP('Données projet'!$B$9,Paramètres!$A$1:$I$89,3,0)*0.475*44/12</f>
        <v>5.4088970438719421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23.729142700991456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1.0049916454590858E-13</v>
      </c>
      <c r="P175" s="13">
        <f t="shared" si="141"/>
        <v>1.5089081593838289E-12</v>
      </c>
      <c r="Q175" s="20">
        <f t="shared" si="162"/>
        <v>2.8030510891776262E-12</v>
      </c>
      <c r="R175" s="59">
        <f t="shared" si="109"/>
        <v>293.3333333333361</v>
      </c>
      <c r="S175" s="59">
        <f ca="1">AVERAGE(OFFSET($R$3,0,0,'Données projet'!$E$9+1,1))-AVERAGE(OFFSET($H$3,0,0,'Données projet'!$E$9+1,1))</f>
        <v>327.09084560210488</v>
      </c>
      <c r="T175" s="59">
        <f t="shared" si="142"/>
        <v>432.22711671615133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17.960996814029887</v>
      </c>
      <c r="AA175" s="21">
        <f>EXP(-LN(2)/25)*AA174+(1-EXP(-LN(2)/25))/(LN(2)/25)*Calculateur!V175*Calculateur!X175*VLOOKUP('Données projet'!$B$9,Paramètres!$A$1:$I$89,3,0)*0.475*44/12</f>
        <v>5.2609904697657308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23.221987283795617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1.0049916454590858E-13</v>
      </c>
      <c r="P176" s="13">
        <f t="shared" si="141"/>
        <v>1.5089081593838289E-12</v>
      </c>
      <c r="Q176" s="20">
        <f t="shared" si="162"/>
        <v>2.8030510891776262E-12</v>
      </c>
      <c r="R176" s="59">
        <f t="shared" si="109"/>
        <v>293.3333333333361</v>
      </c>
      <c r="S176" s="59">
        <f ca="1">AVERAGE(OFFSET($R$3,0,0,'Données projet'!$E$9+1,1))-AVERAGE(OFFSET($H$3,0,0,'Données projet'!$E$9+1,1))</f>
        <v>327.09084560210488</v>
      </c>
      <c r="T176" s="59">
        <f t="shared" si="142"/>
        <v>432.22711671615133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17.608792621633089</v>
      </c>
      <c r="AA176" s="21">
        <f>EXP(-LN(2)/25)*AA175+(1-EXP(-LN(2)/25))/(LN(2)/25)*Calculateur!V176*Calculateur!X176*VLOOKUP('Données projet'!$B$9,Paramètres!$A$1:$I$89,3,0)*0.475*44/12</f>
        <v>5.1171284087065221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22.725921030339613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1.0049916454590858E-13</v>
      </c>
      <c r="P177" s="13">
        <f t="shared" si="141"/>
        <v>1.5089081593838289E-12</v>
      </c>
      <c r="Q177" s="20">
        <f t="shared" si="162"/>
        <v>2.8030510891776262E-12</v>
      </c>
      <c r="R177" s="59">
        <f t="shared" si="109"/>
        <v>293.3333333333361</v>
      </c>
      <c r="S177" s="59">
        <f ca="1">AVERAGE(OFFSET($R$3,0,0,'Données projet'!$E$9+1,1))-AVERAGE(OFFSET($H$3,0,0,'Données projet'!$E$9+1,1))</f>
        <v>327.09084560210488</v>
      </c>
      <c r="T177" s="59">
        <f t="shared" si="142"/>
        <v>432.22711671615133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17.263494938625847</v>
      </c>
      <c r="AA177" s="21">
        <f>EXP(-LN(2)/25)*AA176+(1-EXP(-LN(2)/25))/(LN(2)/25)*Calculateur!V177*Calculateur!X177*VLOOKUP('Données projet'!$B$9,Paramètres!$A$1:$I$89,3,0)*0.475*44/12</f>
        <v>4.9772002632723549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22.240695201898202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1.0049916454590858E-13</v>
      </c>
      <c r="P178" s="13">
        <f t="shared" si="141"/>
        <v>1.5089081593838289E-12</v>
      </c>
      <c r="Q178" s="20">
        <f t="shared" si="162"/>
        <v>2.8030510891776262E-12</v>
      </c>
      <c r="R178" s="59">
        <f t="shared" si="109"/>
        <v>293.3333333333361</v>
      </c>
      <c r="S178" s="59">
        <f ca="1">AVERAGE(OFFSET($R$3,0,0,'Données projet'!$E$9+1,1))-AVERAGE(OFFSET($H$3,0,0,'Données projet'!$E$9+1,1))</f>
        <v>327.09084560210488</v>
      </c>
      <c r="T178" s="59">
        <f t="shared" si="142"/>
        <v>432.22711671615133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16.924968332571584</v>
      </c>
      <c r="AA178" s="21">
        <f>EXP(-LN(2)/25)*AA177+(1-EXP(-LN(2)/25))/(LN(2)/25)*Calculateur!V178*Calculateur!X178*VLOOKUP('Données projet'!$B$9,Paramètres!$A$1:$I$89,3,0)*0.475*44/12</f>
        <v>4.841098460333586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21.766066792905171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1.0049916454590858E-13</v>
      </c>
      <c r="P179" s="13">
        <f t="shared" si="141"/>
        <v>1.5089081593838289E-12</v>
      </c>
      <c r="Q179" s="20">
        <f t="shared" si="162"/>
        <v>2.8030510891776262E-12</v>
      </c>
      <c r="R179" s="59">
        <f t="shared" si="109"/>
        <v>293.3333333333361</v>
      </c>
      <c r="S179" s="59">
        <f ca="1">AVERAGE(OFFSET($R$3,0,0,'Données projet'!$E$9+1,1))-AVERAGE(OFFSET($H$3,0,0,'Données projet'!$E$9+1,1))</f>
        <v>327.09084560210488</v>
      </c>
      <c r="T179" s="59">
        <f t="shared" si="142"/>
        <v>432.22711671615133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16.593080026781205</v>
      </c>
      <c r="AA179" s="21">
        <f>EXP(-LN(2)/25)*AA178+(1-EXP(-LN(2)/25))/(LN(2)/25)*Calculateur!V179*Calculateur!X179*VLOOKUP('Données projet'!$B$9,Paramètres!$A$1:$I$89,3,0)*0.475*44/12</f>
        <v>4.7087183683534608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21.301798395134668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1.0049916454590858E-13</v>
      </c>
      <c r="P180" s="13">
        <f t="shared" si="141"/>
        <v>1.5089081593838289E-12</v>
      </c>
      <c r="Q180" s="20">
        <f t="shared" si="162"/>
        <v>2.8030510891776262E-12</v>
      </c>
      <c r="R180" s="59">
        <f t="shared" si="109"/>
        <v>293.3333333333361</v>
      </c>
      <c r="S180" s="59">
        <f ca="1">AVERAGE(OFFSET($R$3,0,0,'Données projet'!$E$9+1,1))-AVERAGE(OFFSET($H$3,0,0,'Données projet'!$E$9+1,1))</f>
        <v>327.09084560210488</v>
      </c>
      <c r="T180" s="59">
        <f t="shared" si="142"/>
        <v>432.22711671615133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16.267699848235498</v>
      </c>
      <c r="AA180" s="21">
        <f>EXP(-LN(2)/25)*AA179+(1-EXP(-LN(2)/25))/(LN(2)/25)*Calculateur!V180*Calculateur!X180*VLOOKUP('Données projet'!$B$9,Paramètres!$A$1:$I$89,3,0)*0.475*44/12</f>
        <v>4.5799582169500983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20.847658065185598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1.0049916454590858E-13</v>
      </c>
      <c r="P181" s="13">
        <f t="shared" si="141"/>
        <v>1.5089081593838289E-12</v>
      </c>
      <c r="Q181" s="20">
        <f t="shared" si="162"/>
        <v>2.8030510891776262E-12</v>
      </c>
      <c r="R181" s="59">
        <f t="shared" si="109"/>
        <v>293.3333333333361</v>
      </c>
      <c r="S181" s="59">
        <f ca="1">AVERAGE(OFFSET($R$3,0,0,'Données projet'!$E$9+1,1))-AVERAGE(OFFSET($H$3,0,0,'Données projet'!$E$9+1,1))</f>
        <v>327.09084560210488</v>
      </c>
      <c r="T181" s="59">
        <f t="shared" si="142"/>
        <v>432.22711671615133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15.94870017652876</v>
      </c>
      <c r="AA181" s="21">
        <f>EXP(-LN(2)/25)*AA180+(1-EXP(-LN(2)/25))/(LN(2)/25)*Calculateur!V181*Calculateur!X181*VLOOKUP('Données projet'!$B$9,Paramètres!$A$1:$I$89,3,0)*0.475*44/12</f>
        <v>4.4547190186580625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20.403419195186821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1.0049916454590858E-13</v>
      </c>
      <c r="P182" s="13">
        <f t="shared" si="141"/>
        <v>1.5089081593838289E-12</v>
      </c>
      <c r="Q182" s="20">
        <f t="shared" si="162"/>
        <v>2.8030510891776262E-12</v>
      </c>
      <c r="R182" s="59">
        <f t="shared" si="109"/>
        <v>293.3333333333361</v>
      </c>
      <c r="S182" s="59">
        <f ca="1">AVERAGE(OFFSET($R$3,0,0,'Données projet'!$E$9+1,1))-AVERAGE(OFFSET($H$3,0,0,'Données projet'!$E$9+1,1))</f>
        <v>327.09084560210488</v>
      </c>
      <c r="T182" s="59">
        <f t="shared" si="142"/>
        <v>432.22711671615133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15.635955893813604</v>
      </c>
      <c r="AA182" s="21">
        <f>EXP(-LN(2)/25)*AA181+(1-EXP(-LN(2)/25))/(LN(2)/25)*Calculateur!V182*Calculateur!X182*VLOOKUP('Données projet'!$B$9,Paramètres!$A$1:$I$89,3,0)*0.475*44/12</f>
        <v>4.3329044928293659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19.968860386642969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1.0049916454590858E-13</v>
      </c>
      <c r="P183" s="13">
        <f t="shared" si="141"/>
        <v>1.5089081593838289E-12</v>
      </c>
      <c r="Q183" s="20">
        <f t="shared" si="162"/>
        <v>2.8030510891776262E-12</v>
      </c>
      <c r="R183" s="59">
        <f t="shared" si="109"/>
        <v>293.3333333333361</v>
      </c>
      <c r="S183" s="59">
        <f ca="1">AVERAGE(OFFSET($R$3,0,0,'Données projet'!$E$9+1,1))-AVERAGE(OFFSET($H$3,0,0,'Données projet'!$E$9+1,1))</f>
        <v>327.09084560210488</v>
      </c>
      <c r="T183" s="59">
        <f t="shared" si="142"/>
        <v>432.22711671615133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15.329344335727315</v>
      </c>
      <c r="AA183" s="21">
        <f>EXP(-LN(2)/25)*AA182+(1-EXP(-LN(2)/25))/(LN(2)/25)*Calculateur!V183*Calculateur!X183*VLOOKUP('Données projet'!$B$9,Paramètres!$A$1:$I$89,3,0)*0.475*44/12</f>
        <v>4.2144209916154027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19.543765327342719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1.0049916454590858E-13</v>
      </c>
      <c r="P184" s="13">
        <f t="shared" si="141"/>
        <v>1.5089081593838289E-12</v>
      </c>
      <c r="Q184" s="20">
        <f t="shared" si="162"/>
        <v>2.8030510891776262E-12</v>
      </c>
      <c r="R184" s="59">
        <f t="shared" si="109"/>
        <v>293.3333333333361</v>
      </c>
      <c r="S184" s="59">
        <f ca="1">AVERAGE(OFFSET($R$3,0,0,'Données projet'!$E$9+1,1))-AVERAGE(OFFSET($H$3,0,0,'Données projet'!$E$9+1,1))</f>
        <v>327.09084560210488</v>
      </c>
      <c r="T184" s="59">
        <f t="shared" si="142"/>
        <v>432.22711671615133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15.028745243280515</v>
      </c>
      <c r="AA184" s="21">
        <f>EXP(-LN(2)/25)*AA183+(1-EXP(-LN(2)/25))/(LN(2)/25)*Calculateur!V184*Calculateur!X184*VLOOKUP('Données projet'!$B$9,Paramètres!$A$1:$I$89,3,0)*0.475*44/12</f>
        <v>4.0991774279729114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19.127922671253426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1.0049916454590858E-13</v>
      </c>
      <c r="P185" s="13">
        <f t="shared" si="141"/>
        <v>1.5089081593838289E-12</v>
      </c>
      <c r="Q185" s="20">
        <f t="shared" si="162"/>
        <v>2.8030510891776262E-12</v>
      </c>
      <c r="R185" s="59">
        <f t="shared" si="109"/>
        <v>293.3333333333361</v>
      </c>
      <c r="S185" s="59">
        <f ca="1">AVERAGE(OFFSET($R$3,0,0,'Données projet'!$E$9+1,1))-AVERAGE(OFFSET($H$3,0,0,'Données projet'!$E$9+1,1))</f>
        <v>327.09084560210488</v>
      </c>
      <c r="T185" s="59">
        <f t="shared" si="142"/>
        <v>432.22711671615133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14.734040715689252</v>
      </c>
      <c r="AA185" s="21">
        <f>EXP(-LN(2)/25)*AA184+(1-EXP(-LN(2)/25))/(LN(2)/25)*Calculateur!V185*Calculateur!X185*VLOOKUP('Données projet'!$B$9,Paramètres!$A$1:$I$89,3,0)*0.475*44/12</f>
        <v>3.9870852056386199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18.721125921327872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1.0049916454590858E-13</v>
      </c>
      <c r="P186" s="13">
        <f t="shared" si="141"/>
        <v>1.5089081593838289E-12</v>
      </c>
      <c r="Q186" s="20">
        <f t="shared" si="162"/>
        <v>2.8030510891776262E-12</v>
      </c>
      <c r="R186" s="59">
        <f t="shared" si="109"/>
        <v>293.3333333333361</v>
      </c>
      <c r="S186" s="59">
        <f ca="1">AVERAGE(OFFSET($R$3,0,0,'Données projet'!$E$9+1,1))-AVERAGE(OFFSET($H$3,0,0,'Données projet'!$E$9+1,1))</f>
        <v>327.09084560210488</v>
      </c>
      <c r="T186" s="59">
        <f t="shared" si="142"/>
        <v>432.22711671615133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14.445115164132043</v>
      </c>
      <c r="AA186" s="21">
        <f>EXP(-LN(2)/25)*AA185+(1-EXP(-LN(2)/25))/(LN(2)/25)*Calculateur!V186*Calculateur!X186*VLOOKUP('Données projet'!$B$9,Paramètres!$A$1:$I$89,3,0)*0.475*44/12</f>
        <v>3.8780581510187333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18.323173315150775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1.0049916454590858E-13</v>
      </c>
      <c r="P187" s="13">
        <f t="shared" si="141"/>
        <v>1.5089081593838289E-12</v>
      </c>
      <c r="Q187" s="20">
        <f t="shared" si="162"/>
        <v>2.8030510891776262E-12</v>
      </c>
      <c r="R187" s="59">
        <f t="shared" si="109"/>
        <v>293.3333333333361</v>
      </c>
      <c r="S187" s="59">
        <f ca="1">AVERAGE(OFFSET($R$3,0,0,'Données projet'!$E$9+1,1))-AVERAGE(OFFSET($H$3,0,0,'Données projet'!$E$9+1,1))</f>
        <v>327.09084560210488</v>
      </c>
      <c r="T187" s="59">
        <f t="shared" si="142"/>
        <v>432.22711671615133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14.161855266413683</v>
      </c>
      <c r="AA187" s="21">
        <f>EXP(-LN(2)/25)*AA186+(1-EXP(-LN(2)/25))/(LN(2)/25)*Calculateur!V187*Calculateur!X187*VLOOKUP('Données projet'!$B$9,Paramètres!$A$1:$I$89,3,0)*0.475*44/12</f>
        <v>3.7720124469409111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17.933867713354594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1.0049916454590858E-13</v>
      </c>
      <c r="P188" s="13">
        <f t="shared" si="141"/>
        <v>1.5089081593838289E-12</v>
      </c>
      <c r="Q188" s="20">
        <f t="shared" si="162"/>
        <v>2.8030510891776262E-12</v>
      </c>
      <c r="R188" s="59">
        <f t="shared" si="109"/>
        <v>293.3333333333361</v>
      </c>
      <c r="S188" s="59">
        <f ca="1">AVERAGE(OFFSET($R$3,0,0,'Données projet'!$E$9+1,1))-AVERAGE(OFFSET($H$3,0,0,'Données projet'!$E$9+1,1))</f>
        <v>327.09084560210488</v>
      </c>
      <c r="T188" s="59">
        <f t="shared" si="142"/>
        <v>432.22711671615133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13.884149922518104</v>
      </c>
      <c r="AA188" s="21">
        <f>EXP(-LN(2)/25)*AA187+(1-EXP(-LN(2)/25))/(LN(2)/25)*Calculateur!V188*Calculateur!X188*VLOOKUP('Données projet'!$B$9,Paramètres!$A$1:$I$89,3,0)*0.475*44/12</f>
        <v>3.6688665682177986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17.553016490735903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1.0049916454590858E-13</v>
      </c>
      <c r="P189" s="13">
        <f t="shared" si="141"/>
        <v>1.5089081593838289E-12</v>
      </c>
      <c r="Q189" s="20">
        <f t="shared" si="162"/>
        <v>2.8030510891776262E-12</v>
      </c>
      <c r="R189" s="59">
        <f t="shared" si="109"/>
        <v>293.3333333333361</v>
      </c>
      <c r="S189" s="59">
        <f ca="1">AVERAGE(OFFSET($R$3,0,0,'Données projet'!$E$9+1,1))-AVERAGE(OFFSET($H$3,0,0,'Données projet'!$E$9+1,1))</f>
        <v>327.09084560210488</v>
      </c>
      <c r="T189" s="59">
        <f t="shared" si="142"/>
        <v>432.22711671615133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13.611890211032781</v>
      </c>
      <c r="AA189" s="21">
        <f>EXP(-LN(2)/25)*AA188+(1-EXP(-LN(2)/25))/(LN(2)/25)*Calculateur!V189*Calculateur!X189*VLOOKUP('Données projet'!$B$9,Paramètres!$A$1:$I$89,3,0)*0.475*44/12</f>
        <v>3.5685412189725754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17.180431430005356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1.0049916454590858E-13</v>
      </c>
      <c r="P190" s="13">
        <f t="shared" si="141"/>
        <v>1.5089081593838289E-12</v>
      </c>
      <c r="Q190" s="20">
        <f t="shared" si="162"/>
        <v>2.8030510891776262E-12</v>
      </c>
      <c r="R190" s="59">
        <f t="shared" si="109"/>
        <v>293.3333333333361</v>
      </c>
      <c r="S190" s="59">
        <f ca="1">AVERAGE(OFFSET($R$3,0,0,'Données projet'!$E$9+1,1))-AVERAGE(OFFSET($H$3,0,0,'Données projet'!$E$9+1,1))</f>
        <v>327.09084560210488</v>
      </c>
      <c r="T190" s="59">
        <f t="shared" si="142"/>
        <v>432.22711671615133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13.344969346427661</v>
      </c>
      <c r="AA190" s="21">
        <f>EXP(-LN(2)/25)*AA189+(1-EXP(-LN(2)/25))/(LN(2)/25)*Calculateur!V190*Calculateur!X190*VLOOKUP('Données projet'!$B$9,Paramètres!$A$1:$I$89,3,0)*0.475*44/12</f>
        <v>3.4709592716783435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16.815928618106003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1.0049916454590858E-13</v>
      </c>
      <c r="P191" s="13">
        <f t="shared" si="141"/>
        <v>1.5089081593838289E-12</v>
      </c>
      <c r="Q191" s="20">
        <f t="shared" si="162"/>
        <v>2.8030510891776262E-12</v>
      </c>
      <c r="R191" s="59">
        <f t="shared" si="109"/>
        <v>293.3333333333361</v>
      </c>
      <c r="S191" s="59">
        <f ca="1">AVERAGE(OFFSET($R$3,0,0,'Données projet'!$E$9+1,1))-AVERAGE(OFFSET($H$3,0,0,'Données projet'!$E$9+1,1))</f>
        <v>327.09084560210488</v>
      </c>
      <c r="T191" s="59">
        <f t="shared" si="142"/>
        <v>432.22711671615133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13.083282637171793</v>
      </c>
      <c r="AA191" s="21">
        <f>EXP(-LN(2)/25)*AA190+(1-EXP(-LN(2)/25))/(LN(2)/25)*Calculateur!V191*Calculateur!X191*VLOOKUP('Données projet'!$B$9,Paramètres!$A$1:$I$89,3,0)*0.475*44/12</f>
        <v>3.3760457078644839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16.459328345036276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1.0049916454590858E-13</v>
      </c>
      <c r="P192" s="13">
        <f t="shared" si="141"/>
        <v>1.5089081593838289E-12</v>
      </c>
      <c r="Q192" s="20">
        <f t="shared" si="162"/>
        <v>2.8030510891776262E-12</v>
      </c>
      <c r="R192" s="59">
        <f t="shared" si="109"/>
        <v>293.3333333333361</v>
      </c>
      <c r="S192" s="59">
        <f ca="1">AVERAGE(OFFSET($R$3,0,0,'Données projet'!$E$9+1,1))-AVERAGE(OFFSET($H$3,0,0,'Données projet'!$E$9+1,1))</f>
        <v>327.09084560210488</v>
      </c>
      <c r="T192" s="59">
        <f t="shared" si="142"/>
        <v>432.22711671615133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12.826727444671302</v>
      </c>
      <c r="AA192" s="21">
        <f>EXP(-LN(2)/25)*AA191+(1-EXP(-LN(2)/25))/(LN(2)/25)*Calculateur!V192*Calculateur!X192*VLOOKUP('Données projet'!$B$9,Paramètres!$A$1:$I$89,3,0)*0.475*44/12</f>
        <v>3.2837275604444018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16.110455005115703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1.0049916454590858E-13</v>
      </c>
      <c r="P193" s="13">
        <f t="shared" si="141"/>
        <v>1.5089081593838289E-12</v>
      </c>
      <c r="Q193" s="20">
        <f t="shared" si="162"/>
        <v>2.8030510891776262E-12</v>
      </c>
      <c r="R193" s="59">
        <f t="shared" si="109"/>
        <v>293.3333333333361</v>
      </c>
      <c r="S193" s="59">
        <f ca="1">AVERAGE(OFFSET($R$3,0,0,'Données projet'!$E$9+1,1))-AVERAGE(OFFSET($H$3,0,0,'Données projet'!$E$9+1,1))</f>
        <v>327.09084560210488</v>
      </c>
      <c r="T193" s="59">
        <f t="shared" si="142"/>
        <v>432.22711671615133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12.57520314301253</v>
      </c>
      <c r="AA193" s="21">
        <f>EXP(-LN(2)/25)*AA192+(1-EXP(-LN(2)/25))/(LN(2)/25)*Calculateur!V193*Calculateur!X193*VLOOKUP('Données projet'!$B$9,Paramètres!$A$1:$I$89,3,0)*0.475*44/12</f>
        <v>3.1939338576203222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15.769137000632853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1.0049916454590858E-13</v>
      </c>
      <c r="P194" s="13">
        <f t="shared" si="141"/>
        <v>1.5089081593838289E-12</v>
      </c>
      <c r="Q194" s="20">
        <f t="shared" si="162"/>
        <v>2.8030510891776262E-12</v>
      </c>
      <c r="R194" s="59">
        <f t="shared" si="109"/>
        <v>293.3333333333361</v>
      </c>
      <c r="S194" s="59">
        <f ca="1">AVERAGE(OFFSET($R$3,0,0,'Données projet'!$E$9+1,1))-AVERAGE(OFFSET($H$3,0,0,'Données projet'!$E$9+1,1))</f>
        <v>327.09084560210488</v>
      </c>
      <c r="T194" s="59">
        <f t="shared" si="142"/>
        <v>432.22711671615133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12.32861107949461</v>
      </c>
      <c r="AA194" s="21">
        <f>EXP(-LN(2)/25)*AA193+(1-EXP(-LN(2)/25))/(LN(2)/25)*Calculateur!V194*Calculateur!X194*VLOOKUP('Données projet'!$B$9,Paramètres!$A$1:$I$89,3,0)*0.475*44/12</f>
        <v>3.1065955683220126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15.435206647816623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1.0049916454590858E-13</v>
      </c>
      <c r="P195" s="13">
        <f t="shared" si="141"/>
        <v>1.5089081593838289E-12</v>
      </c>
      <c r="Q195" s="20">
        <f t="shared" si="162"/>
        <v>2.8030510891776262E-12</v>
      </c>
      <c r="R195" s="59">
        <f t="shared" ref="R195:R203" si="191">Q195+(I195+J195)*44/12</f>
        <v>293.3333333333361</v>
      </c>
      <c r="S195" s="59">
        <f ca="1">AVERAGE(OFFSET($R$3,0,0,'Données projet'!$E$9+1,1))-AVERAGE(OFFSET($H$3,0,0,'Données projet'!$E$9+1,1))</f>
        <v>327.09084560210488</v>
      </c>
      <c r="T195" s="59">
        <f t="shared" si="142"/>
        <v>432.22711671615133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12.08685453593597</v>
      </c>
      <c r="AA195" s="21">
        <f>EXP(-LN(2)/25)*AA194+(1-EXP(-LN(2)/25))/(LN(2)/25)*Calculateur!V195*Calculateur!X195*VLOOKUP('Données projet'!$B$9,Paramètres!$A$1:$I$89,3,0)*0.475*44/12</f>
        <v>3.0216455491374865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15.108500085073457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1.0049916454590858E-13</v>
      </c>
      <c r="P196" s="13">
        <f t="shared" si="141"/>
        <v>1.5089081593838289E-12</v>
      </c>
      <c r="Q196" s="20">
        <f t="shared" si="162"/>
        <v>2.8030510891776262E-12</v>
      </c>
      <c r="R196" s="59">
        <f t="shared" si="191"/>
        <v>293.3333333333361</v>
      </c>
      <c r="S196" s="59">
        <f ca="1">AVERAGE(OFFSET($R$3,0,0,'Données projet'!$E$9+1,1))-AVERAGE(OFFSET($H$3,0,0,'Données projet'!$E$9+1,1))</f>
        <v>327.09084560210488</v>
      </c>
      <c r="T196" s="59">
        <f t="shared" si="142"/>
        <v>432.22711671615133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11.849838690739583</v>
      </c>
      <c r="AA196" s="21">
        <f>EXP(-LN(2)/25)*AA195+(1-EXP(-LN(2)/25))/(LN(2)/25)*Calculateur!V196*Calculateur!X196*VLOOKUP('Données projet'!$B$9,Paramètres!$A$1:$I$89,3,0)*0.475*44/12</f>
        <v>2.9390184926948888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14.788857183434471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1.0049916454590858E-13</v>
      </c>
      <c r="P197" s="13">
        <f t="shared" ref="P197:P203" si="203">EXP(-1.0587+0.8836*LN(O197)+0.284)</f>
        <v>1.5089081593838289E-12</v>
      </c>
      <c r="Q197" s="20">
        <f t="shared" si="162"/>
        <v>2.8030510891776262E-12</v>
      </c>
      <c r="R197" s="59">
        <f t="shared" si="191"/>
        <v>293.3333333333361</v>
      </c>
      <c r="S197" s="59">
        <f ca="1">AVERAGE(OFFSET($R$3,0,0,'Données projet'!$E$9+1,1))-AVERAGE(OFFSET($H$3,0,0,'Données projet'!$E$9+1,1))</f>
        <v>327.09084560210488</v>
      </c>
      <c r="T197" s="59">
        <f t="shared" ref="T197:T203" si="204">$T$3</f>
        <v>432.22711671615133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11.617470581702106</v>
      </c>
      <c r="AA197" s="21">
        <f>EXP(-LN(2)/25)*AA196+(1-EXP(-LN(2)/25))/(LN(2)/25)*Calculateur!V197*Calculateur!X197*VLOOKUP('Données projet'!$B$9,Paramètres!$A$1:$I$89,3,0)*0.475*44/12</f>
        <v>2.8586508774558816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14.476121459157987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1.0049916454590858E-13</v>
      </c>
      <c r="P198" s="13">
        <f t="shared" si="203"/>
        <v>1.5089081593838289E-12</v>
      </c>
      <c r="Q198" s="20">
        <f t="shared" si="162"/>
        <v>2.8030510891776262E-12</v>
      </c>
      <c r="R198" s="59">
        <f t="shared" si="191"/>
        <v>293.3333333333361</v>
      </c>
      <c r="S198" s="59">
        <f ca="1">AVERAGE(OFFSET($R$3,0,0,'Données projet'!$E$9+1,1))-AVERAGE(OFFSET($H$3,0,0,'Données projet'!$E$9+1,1))</f>
        <v>327.09084560210488</v>
      </c>
      <c r="T198" s="59">
        <f t="shared" si="204"/>
        <v>432.22711671615133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11.389659069552302</v>
      </c>
      <c r="AA198" s="21">
        <f>EXP(-LN(2)/25)*AA197+(1-EXP(-LN(2)/25))/(LN(2)/25)*Calculateur!V198*Calculateur!X198*VLOOKUP('Données projet'!$B$9,Paramètres!$A$1:$I$89,3,0)*0.475*44/12</f>
        <v>2.7804809188819344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14.170139988434236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1.0049916454590858E-13</v>
      </c>
      <c r="P199" s="13">
        <f t="shared" si="203"/>
        <v>1.5089081593838289E-12</v>
      </c>
      <c r="Q199" s="20">
        <f t="shared" si="162"/>
        <v>2.8030510891776262E-12</v>
      </c>
      <c r="R199" s="59">
        <f t="shared" si="191"/>
        <v>293.3333333333361</v>
      </c>
      <c r="S199" s="59">
        <f ca="1">AVERAGE(OFFSET($R$3,0,0,'Données projet'!$E$9+1,1))-AVERAGE(OFFSET($H$3,0,0,'Données projet'!$E$9+1,1))</f>
        <v>327.09084560210488</v>
      </c>
      <c r="T199" s="59">
        <f t="shared" si="204"/>
        <v>432.22711671615133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11.166314802204454</v>
      </c>
      <c r="AA199" s="21">
        <f>EXP(-LN(2)/25)*AA198+(1-EXP(-LN(2)/25))/(LN(2)/25)*Calculateur!V199*Calculateur!X199*VLOOKUP('Données projet'!$B$9,Paramètres!$A$1:$I$89,3,0)*0.475*44/12</f>
        <v>2.7044485219359711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13.870763324140425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1.0049916454590858E-13</v>
      </c>
      <c r="P200" s="13">
        <f t="shared" si="203"/>
        <v>1.5089081593838289E-12</v>
      </c>
      <c r="Q200" s="20">
        <f t="shared" si="162"/>
        <v>2.8030510891776262E-12</v>
      </c>
      <c r="R200" s="59">
        <f t="shared" si="191"/>
        <v>293.3333333333361</v>
      </c>
      <c r="S200" s="59">
        <f ca="1">AVERAGE(OFFSET($R$3,0,0,'Données projet'!$E$9+1,1))-AVERAGE(OFFSET($H$3,0,0,'Données projet'!$E$9+1,1))</f>
        <v>327.09084560210488</v>
      </c>
      <c r="T200" s="59">
        <f t="shared" si="204"/>
        <v>432.22711671615133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10.947350179712744</v>
      </c>
      <c r="AA200" s="21">
        <f>EXP(-LN(2)/25)*AA199+(1-EXP(-LN(2)/25))/(LN(2)/25)*Calculateur!V200*Calculateur!X200*VLOOKUP('Données projet'!$B$9,Paramètres!$A$1:$I$89,3,0)*0.475*44/12</f>
        <v>2.6304952348828654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13.577845414595609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1.0049916454590858E-13</v>
      </c>
      <c r="P201" s="13">
        <f t="shared" si="203"/>
        <v>1.5089081593838289E-12</v>
      </c>
      <c r="Q201" s="20">
        <f t="shared" si="162"/>
        <v>2.8030510891776262E-12</v>
      </c>
      <c r="R201" s="59">
        <f t="shared" si="191"/>
        <v>293.3333333333361</v>
      </c>
      <c r="S201" s="59">
        <f ca="1">AVERAGE(OFFSET($R$3,0,0,'Données projet'!$E$9+1,1))-AVERAGE(OFFSET($H$3,0,0,'Données projet'!$E$9+1,1))</f>
        <v>327.09084560210488</v>
      </c>
      <c r="T201" s="59">
        <f t="shared" si="204"/>
        <v>432.22711671615133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10.732679319912865</v>
      </c>
      <c r="AA201" s="21">
        <f>EXP(-LN(2)/25)*AA200+(1-EXP(-LN(2)/25))/(LN(2)/25)*Calculateur!V201*Calculateur!X201*VLOOKUP('Données projet'!$B$9,Paramètres!$A$1:$I$89,3,0)*0.475*44/12</f>
        <v>2.558564204353261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13.291243524266125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1.0049916454590858E-13</v>
      </c>
      <c r="P202" s="13">
        <f t="shared" si="203"/>
        <v>1.5089081593838289E-12</v>
      </c>
      <c r="Q202" s="20">
        <f t="shared" si="162"/>
        <v>2.8030510891776262E-12</v>
      </c>
      <c r="R202" s="59">
        <f t="shared" si="191"/>
        <v>293.3333333333361</v>
      </c>
      <c r="S202" s="59">
        <f ca="1">AVERAGE(OFFSET($R$3,0,0,'Données projet'!$E$9+1,1))-AVERAGE(OFFSET($H$3,0,0,'Données projet'!$E$9+1,1))</f>
        <v>327.09084560210488</v>
      </c>
      <c r="T202" s="59">
        <f t="shared" si="204"/>
        <v>432.22711671615133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10.522218024737366</v>
      </c>
      <c r="AA202" s="21">
        <f>EXP(-LN(2)/25)*AA201+(1-EXP(-LN(2)/25))/(LN(2)/25)*Calculateur!V202*Calculateur!X202*VLOOKUP('Données projet'!$B$9,Paramètres!$A$1:$I$89,3,0)*0.475*44/12</f>
        <v>2.4886001316361774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13.010818156373544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1.0049916454590858E-13</v>
      </c>
      <c r="P203" s="13">
        <f t="shared" si="203"/>
        <v>1.5089081593838289E-12</v>
      </c>
      <c r="Q203" s="20">
        <f t="shared" si="162"/>
        <v>2.8030510891776262E-12</v>
      </c>
      <c r="R203" s="59">
        <f t="shared" si="191"/>
        <v>293.3333333333361</v>
      </c>
      <c r="S203" s="59">
        <f ca="1">AVERAGE(OFFSET($R$3,0,0,'Données projet'!$E$9+1,1))-AVERAGE(OFFSET($H$3,0,0,'Données projet'!$E$9+1,1))</f>
        <v>327.09084560210488</v>
      </c>
      <c r="T203" s="59">
        <f t="shared" si="204"/>
        <v>432.22711671615133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10.315883747191545</v>
      </c>
      <c r="AA203" s="21">
        <f>EXP(-LN(2)/25)*AA202+(1-EXP(-LN(2)/25))/(LN(2)/25)*Calculateur!V203*Calculateur!X203*VLOOKUP('Données projet'!$B$9,Paramètres!$A$1:$I$89,3,0)*0.475*44/12</f>
        <v>2.420549230166793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12.736432977358339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1.3431115227802051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Séquoia toujours vert</v>
      </c>
      <c r="B6" s="146">
        <f>'Données projet'!D9</f>
        <v>3.44</v>
      </c>
      <c r="C6" s="147">
        <f ca="1">IF(OR('Données projet'!B9="",'Données projet'!C9="",'Données projet'!C9=0%),0,Calculateur!S3)</f>
        <v>327.09084560210488</v>
      </c>
      <c r="D6" s="147">
        <f>IF(OR('Données projet'!B9="",'Données projet'!C9="",'Données projet'!C9=0%),0,Calculateur!T3)</f>
        <v>432.22711671615133</v>
      </c>
      <c r="E6" s="147">
        <f ca="1">MIN(C6,D6)</f>
        <v>327.09084560210488</v>
      </c>
      <c r="F6" s="147">
        <f ca="1">E6*B6</f>
        <v>1125.1925088712408</v>
      </c>
      <c r="G6" s="147">
        <f ca="1">F6*(100%-'Données projet'!$C$24)*(100%-'Données projet'!$C$25)*(100%-'Données projet'!$C$26)*(100%-'Données projet'!$C$27)</f>
        <v>911.40593218570507</v>
      </c>
      <c r="H6" s="148">
        <f>IF(OR('Données projet'!B9="",'Données projet'!C9="",'Données projet'!C9=0%),0,AVERAGE(Calculateur!$AC$3:$AC$33)*B6)</f>
        <v>44.218585546746368</v>
      </c>
      <c r="I6" s="149">
        <f>H6*(100%-'Données projet'!$C$24)*(100%-'Données projet'!$C$25)*(100%-'Données projet'!$C$26)*(100%-'Données projet'!$C$27)</f>
        <v>35.817054292864562</v>
      </c>
      <c r="J6" s="150">
        <f>IF(OR('Données projet'!B9="",'Données projet'!C9="",'Données projet'!C9=0%),0,SUM(Calculateur!$V$3:$V$33)*VLOOKUP('Données projet'!$B$9,Paramètres!$A$1:$I$89,9,0)*B6)</f>
        <v>306.46065600000003</v>
      </c>
      <c r="K6" s="151">
        <f>J6*(100%-'Données projet'!$C$24)*(100%-'Données projet'!$C$25)*(100%-'Données projet'!$C$26)*(100%-'Données projet'!$C$27)</f>
        <v>248.23313136000004</v>
      </c>
      <c r="L6" s="152">
        <f ca="1">G6+I6+K6</f>
        <v>1195.4561178385698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1125.1925088712408</v>
      </c>
      <c r="G16" s="166">
        <f t="shared" ca="1" si="3"/>
        <v>911.40593218570507</v>
      </c>
      <c r="H16" s="167">
        <f t="shared" si="3"/>
        <v>44.218585546746368</v>
      </c>
      <c r="I16" s="167">
        <f t="shared" si="3"/>
        <v>35.817054292864562</v>
      </c>
      <c r="J16" s="168">
        <f t="shared" si="3"/>
        <v>306.46065600000003</v>
      </c>
      <c r="K16" s="168">
        <f t="shared" si="3"/>
        <v>248.23313136000004</v>
      </c>
      <c r="L16" s="169">
        <f t="shared" ca="1" si="3"/>
        <v>1195.4561178385698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Séquoia toujours vert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80" zoomScaleNormal="80" workbookViewId="0">
      <selection activeCell="A21" sqref="A2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Séquoia toujours vert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930.61985713985609</v>
      </c>
      <c r="U10" s="178">
        <f>'Données projet'!D9</f>
        <v>3.44</v>
      </c>
      <c r="V10" s="177">
        <f>U10*T10</f>
        <v>3201.332308561105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Séquoia toujours vert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1.45*1250</f>
        <v>1812.5</v>
      </c>
      <c r="F17" s="230"/>
      <c r="G17" s="303"/>
      <c r="I17" s="1" t="s">
        <v>326</v>
      </c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I18" s="1" t="s">
        <v>325</v>
      </c>
      <c r="J18" s="202"/>
      <c r="K18" s="208"/>
      <c r="L18" s="260" t="s">
        <v>255</v>
      </c>
      <c r="M18" s="262"/>
      <c r="N18" s="192">
        <v>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>
        <f>0.15*1250*1.45</f>
        <v>271.875</v>
      </c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f>(800+0.08*11414)/'Données projet'!C5+60+600+700+270</f>
        <v>2128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20+270+320</f>
        <v>610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>20+270</f>
        <v>290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18</v>
      </c>
      <c r="B23" s="181">
        <f>'Données projet'!D36</f>
        <v>74.819999999999993</v>
      </c>
      <c r="C23" s="193">
        <v>5</v>
      </c>
      <c r="D23" s="182">
        <f>B23*C23</f>
        <v>374.09999999999997</v>
      </c>
      <c r="E23" s="193"/>
      <c r="F23" s="230"/>
      <c r="H23" s="190">
        <v>4</v>
      </c>
      <c r="I23" s="191">
        <v>20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-7684.9335147936163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24</v>
      </c>
      <c r="B24" s="181">
        <f>'Données projet'!D37</f>
        <v>51.39</v>
      </c>
      <c r="C24" s="193">
        <v>5</v>
      </c>
      <c r="D24" s="182">
        <f t="shared" ref="D24:D42" si="2">B24*C24</f>
        <v>256.95</v>
      </c>
      <c r="E24" s="193"/>
      <c r="F24" s="233"/>
      <c r="H24" s="190">
        <v>5</v>
      </c>
      <c r="I24" s="191">
        <v>20</v>
      </c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80.97</v>
      </c>
      <c r="C25" s="193">
        <v>5</v>
      </c>
      <c r="D25" s="182">
        <f t="shared" si="2"/>
        <v>404.85</v>
      </c>
      <c r="E25" s="193"/>
      <c r="F25" s="233"/>
      <c r="H25" s="190">
        <v>6</v>
      </c>
      <c r="I25" s="191">
        <v>20</v>
      </c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299">
        <f ca="1">T23-T24</f>
        <v>-7684.9335147936163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36</v>
      </c>
      <c r="B26" s="181">
        <f>'Données projet'!D39</f>
        <v>85.88</v>
      </c>
      <c r="C26" s="193">
        <v>5</v>
      </c>
      <c r="D26" s="182">
        <f t="shared" si="2"/>
        <v>429.4</v>
      </c>
      <c r="E26" s="193"/>
      <c r="F26" s="233"/>
      <c r="G26" s="229"/>
      <c r="H26" s="190">
        <v>7</v>
      </c>
      <c r="I26" s="191">
        <v>20</v>
      </c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42</v>
      </c>
      <c r="B27" s="181">
        <f>'Données projet'!D40</f>
        <v>91.25</v>
      </c>
      <c r="C27" s="193">
        <v>22.5</v>
      </c>
      <c r="D27" s="182">
        <f t="shared" si="2"/>
        <v>2053.125</v>
      </c>
      <c r="E27" s="193"/>
      <c r="F27" s="233"/>
      <c r="G27" s="229"/>
      <c r="H27" s="190">
        <v>8</v>
      </c>
      <c r="I27" s="191">
        <v>20</v>
      </c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48</v>
      </c>
      <c r="B28" s="181">
        <f>'Données projet'!D41</f>
        <v>101.34</v>
      </c>
      <c r="C28" s="193">
        <v>22.5</v>
      </c>
      <c r="D28" s="182">
        <f t="shared" si="2"/>
        <v>2280.15</v>
      </c>
      <c r="E28" s="193"/>
      <c r="F28" s="233"/>
      <c r="G28" s="205"/>
      <c r="H28" s="190">
        <v>9</v>
      </c>
      <c r="I28" s="191">
        <v>20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54</v>
      </c>
      <c r="B29" s="181">
        <f>'Données projet'!D42</f>
        <v>707.75</v>
      </c>
      <c r="C29" s="193">
        <v>29.5</v>
      </c>
      <c r="D29" s="182">
        <f t="shared" si="2"/>
        <v>20878.625</v>
      </c>
      <c r="E29" s="193"/>
      <c r="F29" s="233"/>
      <c r="G29" s="203"/>
      <c r="H29" s="190">
        <v>10</v>
      </c>
      <c r="I29" s="191">
        <v>20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0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>
        <v>11</v>
      </c>
      <c r="I30" s="191">
        <v>20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12</v>
      </c>
      <c r="I31" s="191">
        <v>20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13</v>
      </c>
      <c r="I32" s="191">
        <v>20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14</v>
      </c>
      <c r="I33" s="191">
        <v>20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15</v>
      </c>
      <c r="I34" s="191">
        <v>20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16</v>
      </c>
      <c r="I35" s="191">
        <v>20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17</v>
      </c>
      <c r="I36" s="191">
        <v>20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18</v>
      </c>
      <c r="I37" s="191">
        <v>20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19</v>
      </c>
      <c r="I38" s="191">
        <v>20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20</v>
      </c>
      <c r="I39" s="191">
        <v>20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21</v>
      </c>
      <c r="I40" s="191">
        <v>20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22</v>
      </c>
      <c r="I41" s="191">
        <v>20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23</v>
      </c>
      <c r="I42" s="191">
        <v>20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24</v>
      </c>
      <c r="I43" s="191">
        <v>20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25</v>
      </c>
      <c r="I44" s="191">
        <v>20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>
        <v>26</v>
      </c>
      <c r="I45" s="191">
        <v>20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27</v>
      </c>
      <c r="I46" s="191">
        <v>20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28</v>
      </c>
      <c r="I47" s="191">
        <v>20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>
        <v>29</v>
      </c>
      <c r="I48" s="191">
        <v>20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30</v>
      </c>
      <c r="I49" s="191">
        <v>20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31</v>
      </c>
      <c r="I50" s="191">
        <v>20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32</v>
      </c>
      <c r="I51" s="191">
        <v>20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33</v>
      </c>
      <c r="I52" s="191">
        <v>20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34</v>
      </c>
      <c r="I53" s="191">
        <v>20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>
        <v>35</v>
      </c>
      <c r="I54" s="191">
        <v>20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>
        <v>36</v>
      </c>
      <c r="I55" s="191">
        <v>20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>
        <v>37</v>
      </c>
      <c r="I56" s="191">
        <v>20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>
        <v>38</v>
      </c>
      <c r="I57" s="191">
        <v>20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>
        <v>39</v>
      </c>
      <c r="I58" s="191">
        <v>20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>
        <v>40</v>
      </c>
      <c r="I59" s="191">
        <v>20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>
        <v>41</v>
      </c>
      <c r="I60" s="191">
        <v>20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>
        <v>42</v>
      </c>
      <c r="I61" s="191">
        <v>20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>
        <v>43</v>
      </c>
      <c r="I62" s="191">
        <v>20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>
        <v>44</v>
      </c>
      <c r="I63" s="191">
        <v>20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45</v>
      </c>
      <c r="I64" s="191">
        <v>20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46</v>
      </c>
      <c r="I65" s="191">
        <v>20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47</v>
      </c>
      <c r="I66" s="191">
        <v>20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48</v>
      </c>
      <c r="I67" s="191">
        <v>20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49</v>
      </c>
      <c r="I68" s="191">
        <v>20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50</v>
      </c>
      <c r="I69" s="191">
        <v>20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51</v>
      </c>
      <c r="I70" s="191">
        <v>20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52</v>
      </c>
      <c r="I71" s="191">
        <v>20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20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20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>
        <v>55</v>
      </c>
      <c r="I74" s="191">
        <v>20</v>
      </c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>
        <v>56</v>
      </c>
      <c r="I75" s="191">
        <v>20</v>
      </c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>
        <v>57</v>
      </c>
      <c r="I76" s="191">
        <v>20</v>
      </c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>
        <v>58</v>
      </c>
      <c r="I77" s="191">
        <v>20</v>
      </c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59</v>
      </c>
      <c r="I78" s="191">
        <v>20</v>
      </c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>
        <v>60</v>
      </c>
      <c r="I79" s="191">
        <v>20</v>
      </c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D577F764384C9CF62BBF77A2DD5E" ma:contentTypeVersion="17" ma:contentTypeDescription="Crée un document." ma:contentTypeScope="" ma:versionID="3bd3d46e7d1c2b124539364519b822a4">
  <xsd:schema xmlns:xsd="http://www.w3.org/2001/XMLSchema" xmlns:xs="http://www.w3.org/2001/XMLSchema" xmlns:p="http://schemas.microsoft.com/office/2006/metadata/properties" xmlns:ns2="4a0a9159-faee-4929-bc18-6e0874945fe3" xmlns:ns3="37d24cdf-bbc6-4946-8747-982d14624cd4" targetNamespace="http://schemas.microsoft.com/office/2006/metadata/properties" ma:root="true" ma:fieldsID="9b027e34df67e7c08c2f98aeacc90b63" ns2:_="" ns3:_="">
    <xsd:import namespace="4a0a9159-faee-4929-bc18-6e0874945fe3"/>
    <xsd:import namespace="37d24cdf-bbc6-4946-8747-982d14624c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a9159-faee-4929-bc18-6e0874945f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9e1dfad2-4076-4263-af11-b79681bead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d24cdf-bbc6-4946-8747-982d14624cd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9e3389e-b7fc-4128-8a2b-a49d0477bdc5}" ma:internalName="TaxCatchAll" ma:showField="CatchAllData" ma:web="37d24cdf-bbc6-4946-8747-982d14624c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d24cdf-bbc6-4946-8747-982d14624cd4" xsi:nil="true"/>
    <lcf76f155ced4ddcb4097134ff3c332f xmlns="4a0a9159-faee-4929-bc18-6e0874945fe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D09-8926-41FA-9B15-AABE4971C5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0a9159-faee-4929-bc18-6e0874945fe3"/>
    <ds:schemaRef ds:uri="37d24cdf-bbc6-4946-8747-982d14624c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8F28AA-24C9-4D1A-B276-45CFB6B287CF}">
  <ds:schemaRefs>
    <ds:schemaRef ds:uri="http://purl.org/dc/elements/1.1/"/>
    <ds:schemaRef ds:uri="http://schemas.openxmlformats.org/package/2006/metadata/core-properties"/>
    <ds:schemaRef ds:uri="37d24cdf-bbc6-4946-8747-982d14624cd4"/>
    <ds:schemaRef ds:uri="http://purl.org/dc/terms/"/>
    <ds:schemaRef ds:uri="http://schemas.microsoft.com/office/2006/metadata/properties"/>
    <ds:schemaRef ds:uri="http://schemas.microsoft.com/office/2006/documentManagement/types"/>
    <ds:schemaRef ds:uri="4a0a9159-faee-4929-bc18-6e0874945fe3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2E27AED-16A6-4CF6-90FC-252DCE755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Augustin Le Corre</cp:lastModifiedBy>
  <dcterms:created xsi:type="dcterms:W3CDTF">2021-02-01T08:22:39Z</dcterms:created>
  <dcterms:modified xsi:type="dcterms:W3CDTF">2023-10-27T13:52:37Z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0x0101009032D577F764384C9CF62BBF77A2DD5E</vt:lpwstr>
  </property>
  <property fmtid="{D5CDD505-2E9C-101B-9397-08002B2CF9AE}" pid="3" name="MediaServiceImageTags">
    <vt:lpwstr/>
  </property>
</Properties>
</file>