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operativecarbone17.sharepoint.com/sites/CooperativeCarbone/Documents partages/NOUVELLE RACINE - CONTRIBUTION CARBONE/PROJETS/LBC - Forestier/2023 Rioux/"/>
    </mc:Choice>
  </mc:AlternateContent>
  <xr:revisionPtr revIDLastSave="60" documentId="13_ncr:1_{E585B872-4C54-4D4E-B6D1-DD13511BEB16}" xr6:coauthVersionLast="47" xr6:coauthVersionMax="47" xr10:uidLastSave="{5CFDC761-0153-4C24-B79B-041D117B7E3E}"/>
  <bookViews>
    <workbookView xWindow="-12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0" i="6" l="1"/>
  <c r="I21" i="6"/>
  <c r="I20" i="6"/>
  <c r="E79" i="6"/>
  <c r="E48" i="6"/>
  <c r="E17" i="6"/>
  <c r="I23" i="6" l="1"/>
  <c r="I22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FS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I38" i="2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EB57" i="2" s="1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FS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FS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B179" i="2" l="1"/>
  <c r="EV179" i="2"/>
  <c r="EA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83" i="2" l="1" a="1"/>
  <c r="BC83" i="2" s="1"/>
  <c r="BC82" i="2" a="1"/>
  <c r="BC82" i="2" s="1"/>
  <c r="BC164" i="2" a="1"/>
  <c r="BC164" i="2" s="1"/>
  <c r="BC151" i="2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HG203" i="2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FR203" i="2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CN203" i="2" s="1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122" i="2" l="1"/>
  <c r="CD60" i="2"/>
  <c r="CD27" i="2"/>
  <c r="CD152" i="2"/>
  <c r="CD51" i="2"/>
  <c r="CD65" i="2"/>
  <c r="CD159" i="2"/>
  <c r="CD104" i="2"/>
  <c r="CD176" i="2"/>
  <c r="CD167" i="2"/>
  <c r="CD139" i="2"/>
  <c r="CD63" i="2"/>
  <c r="CD62" i="2"/>
  <c r="CD71" i="2"/>
  <c r="CD31" i="2"/>
  <c r="CD56" i="2"/>
  <c r="CD198" i="2"/>
  <c r="CD97" i="2"/>
  <c r="CD25" i="2"/>
  <c r="CD112" i="2"/>
  <c r="CD184" i="2"/>
  <c r="CD143" i="2"/>
  <c r="CD197" i="2"/>
  <c r="CD44" i="2"/>
  <c r="CD70" i="2"/>
  <c r="CD114" i="2"/>
  <c r="CD18" i="2"/>
  <c r="CD86" i="2"/>
  <c r="CD174" i="2"/>
  <c r="CD42" i="2"/>
  <c r="CD43" i="2"/>
  <c r="CD46" i="2"/>
  <c r="CD110" i="2"/>
  <c r="CD61" i="2"/>
  <c r="CD72" i="2"/>
  <c r="CD57" i="2"/>
  <c r="CD126" i="2"/>
  <c r="CD24" i="2"/>
  <c r="CD117" i="2"/>
  <c r="CD187" i="2"/>
  <c r="CD141" i="2"/>
  <c r="CD40" i="2"/>
  <c r="CD181" i="2"/>
  <c r="CD68" i="2"/>
  <c r="CD128" i="2"/>
  <c r="CD203" i="2"/>
  <c r="CD118" i="2"/>
  <c r="CD98" i="2"/>
  <c r="CD17" i="2"/>
  <c r="CD177" i="2"/>
  <c r="CD115" i="2"/>
  <c r="CD88" i="2"/>
  <c r="CD202" i="2"/>
  <c r="CD53" i="2"/>
  <c r="CD74" i="2"/>
  <c r="CD92" i="2"/>
  <c r="CD151" i="2"/>
  <c r="CD8" i="2"/>
  <c r="CD166" i="2"/>
  <c r="CD80" i="2"/>
  <c r="CD82" i="2"/>
  <c r="CD30" i="2"/>
  <c r="CD155" i="2"/>
  <c r="CD107" i="2"/>
  <c r="CD183" i="2"/>
  <c r="CD105" i="2"/>
  <c r="CD162" i="2"/>
  <c r="CD165" i="2"/>
  <c r="CD140" i="2"/>
  <c r="CD101" i="2"/>
  <c r="CD48" i="2"/>
  <c r="CD84" i="2"/>
  <c r="CD193" i="2"/>
  <c r="CD125" i="2"/>
  <c r="CD35" i="2"/>
  <c r="CD147" i="2"/>
  <c r="CD142" i="2"/>
  <c r="CD58" i="2"/>
  <c r="CD78" i="2"/>
  <c r="CD37" i="2"/>
  <c r="CD59" i="2"/>
  <c r="CD87" i="2"/>
  <c r="CD121" i="2"/>
  <c r="CD200" i="2"/>
  <c r="CD103" i="2"/>
  <c r="CD45" i="2"/>
  <c r="CD196" i="2"/>
  <c r="CD67" i="2"/>
  <c r="CD168" i="2"/>
  <c r="CD189" i="2"/>
  <c r="CD133" i="2"/>
  <c r="CD3" i="2"/>
  <c r="C9" i="4" s="1"/>
  <c r="E9" i="4" s="1"/>
  <c r="F9" i="4" s="1"/>
  <c r="G9" i="4" s="1"/>
  <c r="L9" i="4" s="1"/>
  <c r="CD160" i="2"/>
  <c r="CD36" i="2"/>
  <c r="CD153" i="2"/>
  <c r="CD50" i="2"/>
  <c r="CD6" i="2"/>
  <c r="CD131" i="2"/>
  <c r="CD76" i="2"/>
  <c r="CD41" i="2"/>
  <c r="CD85" i="2"/>
  <c r="CD170" i="2"/>
  <c r="CD9" i="2"/>
  <c r="CD15" i="2"/>
  <c r="CD54" i="2"/>
  <c r="CD11" i="2"/>
  <c r="CD49" i="2"/>
  <c r="CD191" i="2"/>
  <c r="CD96" i="2"/>
  <c r="CD79" i="2"/>
  <c r="CD69" i="2"/>
  <c r="CD94" i="2"/>
  <c r="CD109" i="2"/>
  <c r="CD186" i="2"/>
  <c r="CD194" i="2"/>
  <c r="CD5" i="2"/>
  <c r="CD34" i="2"/>
  <c r="CD130" i="2"/>
  <c r="CD199" i="2"/>
  <c r="CD52" i="2"/>
  <c r="CD137" i="2"/>
  <c r="CD175" i="2"/>
  <c r="CD182" i="2"/>
  <c r="CD99" i="2"/>
  <c r="CD64" i="2"/>
  <c r="CD10" i="2"/>
  <c r="CD19" i="2"/>
  <c r="CD148" i="2"/>
  <c r="CD7" i="2"/>
  <c r="CD146" i="2"/>
  <c r="CD95" i="2"/>
  <c r="CD16" i="2"/>
  <c r="CD29" i="2"/>
  <c r="CD123" i="2"/>
  <c r="CD172" i="2"/>
  <c r="CD21" i="2"/>
  <c r="CD14" i="2"/>
  <c r="CD66" i="2"/>
  <c r="CD102" i="2"/>
  <c r="CD108" i="2"/>
  <c r="CD39" i="2"/>
  <c r="CD132" i="2"/>
  <c r="CD83" i="2"/>
  <c r="CD129" i="2"/>
  <c r="CD150" i="2"/>
  <c r="CD169" i="2"/>
  <c r="CD20" i="2"/>
  <c r="CD157" i="2"/>
  <c r="CD180" i="2"/>
  <c r="CD154" i="2"/>
  <c r="CD158" i="2"/>
  <c r="CD144" i="2"/>
  <c r="CD89" i="2"/>
  <c r="CD93" i="2"/>
  <c r="CD135" i="2"/>
  <c r="CD127" i="2"/>
  <c r="CD190" i="2"/>
  <c r="CD100" i="2"/>
  <c r="CD113" i="2"/>
  <c r="CD134" i="2"/>
  <c r="CD81" i="2"/>
  <c r="CD163" i="2"/>
  <c r="CD138" i="2"/>
  <c r="CD55" i="2"/>
  <c r="CD28" i="2"/>
  <c r="CD164" i="2"/>
  <c r="CD119" i="2"/>
  <c r="CD23" i="2"/>
  <c r="CD173" i="2"/>
  <c r="CD188" i="2"/>
  <c r="CD136" i="2"/>
  <c r="CD124" i="2"/>
  <c r="CD77" i="2"/>
  <c r="CD179" i="2"/>
  <c r="CD4" i="2"/>
  <c r="CD32" i="2"/>
  <c r="CD116" i="2"/>
  <c r="CD47" i="2"/>
  <c r="CD12" i="2"/>
  <c r="CD120" i="2"/>
  <c r="CD111" i="2"/>
  <c r="CD73" i="2"/>
  <c r="CD156" i="2"/>
  <c r="CD106" i="2"/>
  <c r="CD201" i="2"/>
  <c r="CD149" i="2"/>
  <c r="CD178" i="2"/>
  <c r="CD33" i="2"/>
  <c r="CD195" i="2"/>
  <c r="CD90" i="2"/>
  <c r="CD185" i="2"/>
  <c r="CD38" i="2"/>
  <c r="CD13" i="2"/>
  <c r="CD75" i="2"/>
  <c r="CD192" i="2"/>
  <c r="CD26" i="2"/>
  <c r="CD22" i="2"/>
  <c r="CD145" i="2"/>
  <c r="CD171" i="2"/>
  <c r="CD161" i="2"/>
  <c r="CD9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82" i="2"/>
  <c r="BI39" i="2"/>
  <c r="BI188" i="2"/>
  <c r="BI134" i="2"/>
  <c r="BI42" i="2"/>
  <c r="BI200" i="2"/>
  <c r="BI16" i="2"/>
  <c r="BI149" i="2"/>
  <c r="BI197" i="2"/>
  <c r="BI113" i="2"/>
  <c r="BI20" i="2"/>
  <c r="BI181" i="2"/>
  <c r="BI3" i="2"/>
  <c r="C8" i="4" s="1"/>
  <c r="E8" i="4" s="1"/>
  <c r="F8" i="4" s="1"/>
  <c r="G8" i="4" s="1"/>
  <c r="L8" i="4" s="1"/>
  <c r="BI83" i="2"/>
  <c r="BI43" i="2"/>
  <c r="BI46" i="2"/>
  <c r="BI135" i="2"/>
  <c r="BI162" i="2"/>
  <c r="BI8" i="2"/>
  <c r="BI112" i="2"/>
  <c r="BI21" i="2"/>
  <c r="BI122" i="2"/>
  <c r="BI54" i="2"/>
  <c r="BI68" i="2"/>
  <c r="BI105" i="2"/>
  <c r="BI184" i="2"/>
  <c r="BI117" i="2"/>
  <c r="BI57" i="2"/>
  <c r="BI89" i="2"/>
  <c r="BI133" i="2"/>
  <c r="BI86" i="2"/>
  <c r="BI38" i="2"/>
  <c r="BI15" i="2"/>
  <c r="BI171" i="2"/>
  <c r="BI119" i="2"/>
  <c r="BI172" i="2"/>
  <c r="BI92" i="2"/>
  <c r="BI187" i="2"/>
  <c r="BI193" i="2"/>
  <c r="BI128" i="2"/>
  <c r="BI110" i="2"/>
  <c r="BI74" i="2"/>
  <c r="BI166" i="2"/>
  <c r="BI64" i="2"/>
  <c r="BI31" i="2"/>
  <c r="BI132" i="2"/>
  <c r="BI185" i="2"/>
  <c r="BI156" i="2"/>
  <c r="BI115" i="2"/>
  <c r="BI176" i="2"/>
  <c r="BI60" i="2"/>
  <c r="BI22" i="2"/>
  <c r="BI189" i="2"/>
  <c r="BI136" i="2"/>
  <c r="BI25" i="2"/>
  <c r="BI167" i="2"/>
  <c r="BI80" i="2"/>
  <c r="BI55" i="2"/>
  <c r="BI71" i="2"/>
  <c r="BI94" i="2"/>
  <c r="BI138" i="2"/>
  <c r="BI198" i="2"/>
  <c r="BI125" i="2"/>
  <c r="BI12" i="2"/>
  <c r="BI52" i="2"/>
  <c r="BI158" i="2"/>
  <c r="BI91" i="2"/>
  <c r="BI45" i="2"/>
  <c r="BI6" i="2"/>
  <c r="BI191" i="2"/>
  <c r="BI108" i="2"/>
  <c r="BI155" i="2"/>
  <c r="BI11" i="2"/>
  <c r="BI67" i="2"/>
  <c r="BI32" i="2"/>
  <c r="BI129" i="2"/>
  <c r="BI160" i="2"/>
  <c r="BI23" i="2"/>
  <c r="BI10" i="2"/>
  <c r="BI130" i="2"/>
  <c r="BI116" i="2"/>
  <c r="BI73" i="2"/>
  <c r="BI199" i="2"/>
  <c r="BI143" i="2"/>
  <c r="BI98" i="2"/>
  <c r="BI77" i="2"/>
  <c r="BI169" i="2"/>
  <c r="BI27" i="2"/>
  <c r="BI26" i="2"/>
  <c r="BI127" i="2"/>
  <c r="BI111" i="2"/>
  <c r="BI179" i="2"/>
  <c r="BI75" i="2"/>
  <c r="BI88" i="2"/>
  <c r="BI141" i="2"/>
  <c r="BI159" i="2"/>
  <c r="BI196" i="2"/>
  <c r="BI147" i="2"/>
  <c r="BI51" i="2"/>
  <c r="BI202" i="2"/>
  <c r="BI144" i="2"/>
  <c r="BI102" i="2"/>
  <c r="BI34" i="2"/>
  <c r="BI168" i="2"/>
  <c r="BI195" i="2"/>
  <c r="BI66" i="2"/>
  <c r="BI154" i="2"/>
  <c r="BI192" i="2"/>
  <c r="BI56" i="2"/>
  <c r="BI70" i="2"/>
  <c r="BI123" i="2"/>
  <c r="BI14" i="2"/>
  <c r="BI28" i="2"/>
  <c r="BI81" i="2"/>
  <c r="BI170" i="2"/>
  <c r="BI9" i="2"/>
  <c r="BI131" i="2"/>
  <c r="BI69" i="2"/>
  <c r="BI61" i="2"/>
  <c r="BI93" i="2"/>
  <c r="BI13" i="2"/>
  <c r="BI106" i="2"/>
  <c r="BI87" i="2"/>
  <c r="BI183" i="2"/>
  <c r="BI79" i="2"/>
  <c r="BI78" i="2"/>
  <c r="BI109" i="2"/>
  <c r="BI150" i="2"/>
  <c r="BI151" i="2"/>
  <c r="BI126" i="2"/>
  <c r="BI153" i="2"/>
  <c r="BI180" i="2"/>
  <c r="BI103" i="2"/>
  <c r="BI44" i="2"/>
  <c r="BI5" i="2"/>
  <c r="BI29" i="2"/>
  <c r="BI120" i="2"/>
  <c r="BI76" i="2"/>
  <c r="BI37" i="2"/>
  <c r="BI84" i="2"/>
  <c r="BI82" i="2"/>
  <c r="BI175" i="2"/>
  <c r="BI118" i="2"/>
  <c r="BI72" i="2"/>
  <c r="BI121" i="2"/>
  <c r="BI63" i="2"/>
  <c r="BI59" i="2"/>
  <c r="BI65" i="2"/>
  <c r="BI18" i="2"/>
  <c r="BI24" i="2"/>
  <c r="BI139" i="2"/>
  <c r="BI49" i="2"/>
  <c r="BI101" i="2"/>
  <c r="BI4" i="2"/>
  <c r="BI178" i="2"/>
  <c r="BI36" i="2"/>
  <c r="BI53" i="2"/>
  <c r="BI152" i="2"/>
  <c r="BI114" i="2"/>
  <c r="BI104" i="2"/>
  <c r="BI7" i="2"/>
  <c r="BI99" i="2"/>
  <c r="BI163" i="2"/>
  <c r="BI146" i="2"/>
  <c r="BI85" i="2"/>
  <c r="BI50" i="2"/>
  <c r="BI161" i="2"/>
  <c r="BI35" i="2"/>
  <c r="BI100" i="2"/>
  <c r="BI145" i="2"/>
  <c r="BI148" i="2"/>
  <c r="BI165" i="2"/>
  <c r="BI62" i="2"/>
  <c r="BI17" i="2"/>
  <c r="BI203" i="2"/>
  <c r="BI95" i="2"/>
  <c r="BI173" i="2"/>
  <c r="BI30" i="2"/>
  <c r="BI174" i="2"/>
  <c r="BI194" i="2"/>
  <c r="BI164" i="2"/>
  <c r="BI186" i="2"/>
  <c r="BI137" i="2"/>
  <c r="BI97" i="2"/>
  <c r="BI190" i="2"/>
  <c r="BI90" i="2"/>
  <c r="BI19" i="2"/>
  <c r="BI41" i="2"/>
  <c r="BI140" i="2"/>
  <c r="BI96" i="2"/>
  <c r="BI201" i="2"/>
  <c r="BI142" i="2"/>
  <c r="BI40" i="2"/>
  <c r="BI124" i="2"/>
  <c r="BI177" i="2"/>
  <c r="BI157" i="2"/>
  <c r="BI48" i="2"/>
  <c r="BI33" i="2"/>
  <c r="BI58" i="2"/>
  <c r="BI107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tc={67C97E33-AC6E-42D7-A0A3-B4748D7A0F0C}</author>
    <author>tc={811CA285-D918-41CF-8984-DE28B0FE56CC}</author>
    <author>tc={7A4EAA57-8980-4A8E-BD8F-48423D91ACDA}</author>
    <author>tc={A3E4C072-D13C-4201-B0F3-FDAE9EB8CA26}</author>
    <author>tc={F591A136-E7BD-4B08-9975-0D13D5BD6580}</author>
  </authors>
  <commentList>
    <comment ref="E17" authorId="0" shapeId="0" xr:uid="{67C97E33-AC6E-42D7-A0A3-B4748D7A0F0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Cout réel devis</t>
      </text>
    </comment>
    <comment ref="I20" authorId="1" shapeId="0" xr:uid="{811CA285-D918-41CF-8984-DE28B0FE56C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Cout réel devis</t>
      </text>
    </comment>
    <comment ref="E48" authorId="2" shapeId="0" xr:uid="{7A4EAA57-8980-4A8E-BD8F-48423D91ACD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Cout réel devis</t>
      </text>
    </comment>
    <comment ref="E79" authorId="3" shapeId="0" xr:uid="{A3E4C072-D13C-4201-B0F3-FDAE9EB8CA2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Cout réel devis</t>
      </text>
    </comment>
    <comment ref="E110" authorId="4" shapeId="0" xr:uid="{F591A136-E7BD-4B08-9975-0D13D5BD658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Cout réel devis</t>
      </text>
    </comment>
  </commentList>
</comments>
</file>

<file path=xl/sharedStrings.xml><?xml version="1.0" encoding="utf-8"?>
<sst xmlns="http://schemas.openxmlformats.org/spreadsheetml/2006/main" count="1173" uniqueCount="324">
  <si>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</si>
  <si>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</si>
  <si>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</si>
  <si>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</si>
  <si>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</si>
  <si>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</si>
  <si>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</si>
  <si>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</si>
  <si>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</si>
  <si>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</si>
  <si>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</si>
  <si>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</si>
  <si>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</si>
  <si>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</si>
  <si>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</si>
  <si>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</si>
  <si>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sessile</t>
  </si>
  <si>
    <t>NB : La durée de révolution doit être identique à la dernière année indiquée dans la table de production renseignée en dessous</t>
  </si>
  <si>
    <t>Essence 2</t>
  </si>
  <si>
    <t>Chêne pubescent</t>
  </si>
  <si>
    <t>Essence 3</t>
  </si>
  <si>
    <t>Chêne chevelu</t>
  </si>
  <si>
    <t>Essence 4</t>
  </si>
  <si>
    <t>Cormier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</si>
  <si>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</si>
  <si>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</si>
  <si>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</si>
  <si>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</si>
  <si>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</si>
  <si>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</si>
  <si>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</si>
  <si>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</si>
  <si>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</si>
  <si>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</si>
  <si>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</si>
  <si>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</si>
  <si>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</si>
  <si>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</si>
  <si>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</si>
  <si>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</si>
  <si>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</si>
  <si>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</si>
  <si>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</si>
  <si>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</si>
  <si>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</si>
  <si>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</si>
  <si>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</si>
  <si>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</si>
  <si>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</si>
  <si>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</si>
  <si>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</si>
  <si>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</si>
  <si>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</si>
  <si>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</si>
  <si>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</si>
  <si>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</si>
  <si>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</si>
  <si>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</si>
  <si>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</si>
  <si>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</si>
  <si>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</si>
  <si>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</si>
  <si>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</si>
  <si>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</si>
  <si>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</si>
  <si>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</si>
  <si>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</si>
  <si>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</si>
  <si>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</si>
  <si>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</si>
  <si>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</si>
  <si>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Feuillus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</si>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</sst>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168" fontId="0" fillId="0" borderId="0" xfId="0" applyNumberFormat="1" applyProtection="1"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97.716900465048397</c:v>
                </c:pt>
                <c:pt idx="22">
                  <c:v>109.24128540474889</c:v>
                </c:pt>
                <c:pt idx="23">
                  <c:v>120.73576442072574</c:v>
                </c:pt>
                <c:pt idx="24">
                  <c:v>132.20358993292459</c:v>
                </c:pt>
                <c:pt idx="25">
                  <c:v>143.64740257451564</c:v>
                </c:pt>
                <c:pt idx="26">
                  <c:v>141.28157446234309</c:v>
                </c:pt>
                <c:pt idx="27">
                  <c:v>154.67586795026531</c:v>
                </c:pt>
                <c:pt idx="28">
                  <c:v>168.04258893965877</c:v>
                </c:pt>
                <c:pt idx="29">
                  <c:v>181.3842411359644</c:v>
                </c:pt>
                <c:pt idx="30">
                  <c:v>194.70292931794015</c:v>
                </c:pt>
                <c:pt idx="31">
                  <c:v>210.34498910896289</c:v>
                </c:pt>
                <c:pt idx="32">
                  <c:v>225.96022281826006</c:v>
                </c:pt>
                <c:pt idx="33">
                  <c:v>241.55074565033257</c:v>
                </c:pt>
                <c:pt idx="34">
                  <c:v>257.11837729187414</c:v>
                </c:pt>
                <c:pt idx="35">
                  <c:v>272.66469897663575</c:v>
                </c:pt>
                <c:pt idx="36">
                  <c:v>207.21879690654112</c:v>
                </c:pt>
                <c:pt idx="37">
                  <c:v>223.61956111075628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288.96691630985214</c:v>
                </c:pt>
                <c:pt idx="42">
                  <c:v>305.24857979967942</c:v>
                </c:pt>
                <c:pt idx="43">
                  <c:v>321.51093999187799</c:v>
                </c:pt>
                <c:pt idx="44">
                  <c:v>337.75511058999291</c:v>
                </c:pt>
                <c:pt idx="45">
                  <c:v>353.98208942867723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320.34995854628932</c:v>
                </c:pt>
                <c:pt idx="49">
                  <c:v>336.20880231759611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398.33209414857424</c:v>
                </c:pt>
                <c:pt idx="54">
                  <c:v>413.73243167051163</c:v>
                </c:pt>
                <c:pt idx="55">
                  <c:v>429.1204064684805</c:v>
                </c:pt>
                <c:pt idx="56">
                  <c:v>362.86133414806528</c:v>
                </c:pt>
                <c:pt idx="57">
                  <c:v>377.52104986809326</c:v>
                </c:pt>
                <c:pt idx="58">
                  <c:v>392.16837634017276</c:v>
                </c:pt>
                <c:pt idx="59">
                  <c:v>406.80384141548683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476.74981634160099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465.42823942861133</c:v>
                </c:pt>
                <c:pt idx="77">
                  <c:v>476.74981634160099</c:v>
                </c:pt>
                <c:pt idx="78">
                  <c:v>488.06567585482804</c:v>
                </c:pt>
                <c:pt idx="79">
                  <c:v>499.37596921206153</c:v>
                </c:pt>
                <c:pt idx="80">
                  <c:v>510.68084024737624</c:v>
                </c:pt>
                <c:pt idx="81">
                  <c:v>521.98042590763998</c:v>
                </c:pt>
                <c:pt idx="82">
                  <c:v>533.27485672740784</c:v>
                </c:pt>
                <c:pt idx="83">
                  <c:v>544.5642572614961</c:v>
                </c:pt>
                <c:pt idx="84">
                  <c:v>555.84874647982645</c:v>
                </c:pt>
                <c:pt idx="85">
                  <c:v>567.12843812854328</c:v>
                </c:pt>
                <c:pt idx="86">
                  <c:v>496.69266671205543</c:v>
                </c:pt>
                <c:pt idx="87">
                  <c:v>506.65768536589218</c:v>
                </c:pt>
                <c:pt idx="88">
                  <c:v>516.61856122298411</c:v>
                </c:pt>
                <c:pt idx="89">
                  <c:v>526.57538542767418</c:v>
                </c:pt>
                <c:pt idx="90">
                  <c:v>536.52824539615074</c:v>
                </c:pt>
                <c:pt idx="91">
                  <c:v>546.477225036753</c:v>
                </c:pt>
                <c:pt idx="92">
                  <c:v>556.42240495339968</c:v>
                </c:pt>
                <c:pt idx="93">
                  <c:v>566.36386263371753</c:v>
                </c:pt>
                <c:pt idx="94">
                  <c:v>576.30167262327768</c:v>
                </c:pt>
                <c:pt idx="95">
                  <c:v>586.23590668718782</c:v>
                </c:pt>
                <c:pt idx="96">
                  <c:v>514.89485591885284</c:v>
                </c:pt>
                <c:pt idx="97">
                  <c:v>523.89509553418213</c:v>
                </c:pt>
                <c:pt idx="98">
                  <c:v>532.89207772163536</c:v>
                </c:pt>
                <c:pt idx="99">
                  <c:v>541.88586523948277</c:v>
                </c:pt>
                <c:pt idx="100">
                  <c:v>550.87651859261814</c:v>
                </c:pt>
                <c:pt idx="101">
                  <c:v>559.86409614971478</c:v>
                </c:pt>
                <c:pt idx="102">
                  <c:v>568.84865425246687</c:v>
                </c:pt>
                <c:pt idx="103">
                  <c:v>577.83024731757303</c:v>
                </c:pt>
                <c:pt idx="104">
                  <c:v>586.80892793204634</c:v>
                </c:pt>
                <c:pt idx="105">
                  <c:v>595.7847469423923</c:v>
                </c:pt>
                <c:pt idx="106">
                  <c:v>525.0438264932726</c:v>
                </c:pt>
                <c:pt idx="107">
                  <c:v>532.70068604986363</c:v>
                </c:pt>
                <c:pt idx="108">
                  <c:v>540.35523076412676</c:v>
                </c:pt>
                <c:pt idx="109">
                  <c:v>548.00749806060401</c:v>
                </c:pt>
                <c:pt idx="110">
                  <c:v>555.6575242331586</c:v>
                </c:pt>
                <c:pt idx="111">
                  <c:v>563.30534449456957</c:v>
                </c:pt>
                <c:pt idx="112">
                  <c:v>570.95099302329265</c:v>
                </c:pt>
                <c:pt idx="113">
                  <c:v>578.59450300758692</c:v>
                </c:pt>
                <c:pt idx="114">
                  <c:v>586.23590668718737</c:v>
                </c:pt>
                <c:pt idx="115">
                  <c:v>593.87523539269193</c:v>
                </c:pt>
                <c:pt idx="116">
                  <c:v>529.63822214325501</c:v>
                </c:pt>
                <c:pt idx="117">
                  <c:v>536.14551536775127</c:v>
                </c:pt>
                <c:pt idx="118">
                  <c:v>542.65114840915487</c:v>
                </c:pt>
                <c:pt idx="119">
                  <c:v>549.1551439856396</c:v>
                </c:pt>
                <c:pt idx="120">
                  <c:v>555.65752423315837</c:v>
                </c:pt>
                <c:pt idx="121">
                  <c:v>562.1583107271523</c:v>
                </c:pt>
                <c:pt idx="122">
                  <c:v>568.65752450320281</c:v>
                </c:pt>
                <c:pt idx="123">
                  <c:v>575.15518607669117</c:v>
                </c:pt>
                <c:pt idx="124">
                  <c:v>581.65131546152202</c:v>
                </c:pt>
                <c:pt idx="125">
                  <c:v>588.1459321879687</c:v>
                </c:pt>
                <c:pt idx="126">
                  <c:v>530.78668966466228</c:v>
                </c:pt>
                <c:pt idx="127">
                  <c:v>536.52824539615006</c:v>
                </c:pt>
                <c:pt idx="128">
                  <c:v>542.26850965950268</c:v>
                </c:pt>
                <c:pt idx="129">
                  <c:v>548.00749806060355</c:v>
                </c:pt>
                <c:pt idx="130">
                  <c:v>553.74522585166198</c:v>
                </c:pt>
                <c:pt idx="131">
                  <c:v>559.48170794289069</c:v>
                </c:pt>
                <c:pt idx="132">
                  <c:v>565.21695891367949</c:v>
                </c:pt>
                <c:pt idx="133">
                  <c:v>570.95099302329209</c:v>
                </c:pt>
                <c:pt idx="134">
                  <c:v>576.68382422111051</c:v>
                </c:pt>
                <c:pt idx="135">
                  <c:v>582.41546615644995</c:v>
                </c:pt>
                <c:pt idx="136">
                  <c:v>531.93510488968548</c:v>
                </c:pt>
                <c:pt idx="137">
                  <c:v>536.91096968482555</c:v>
                </c:pt>
                <c:pt idx="138">
                  <c:v>541.88586523948231</c:v>
                </c:pt>
                <c:pt idx="139">
                  <c:v>546.85980171226049</c:v>
                </c:pt>
                <c:pt idx="140">
                  <c:v>551.83278906179623</c:v>
                </c:pt>
                <c:pt idx="141">
                  <c:v>556.80483705249947</c:v>
                </c:pt>
                <c:pt idx="142">
                  <c:v>561.77595526008179</c:v>
                </c:pt>
                <c:pt idx="143">
                  <c:v>566.74615307687668</c:v>
                </c:pt>
                <c:pt idx="144">
                  <c:v>571.71543971696474</c:v>
                </c:pt>
                <c:pt idx="145">
                  <c:v>576.68382422111085</c:v>
                </c:pt>
                <c:pt idx="146">
                  <c:v>535.76277959494826</c:v>
                </c:pt>
                <c:pt idx="147">
                  <c:v>544.56425726149564</c:v>
                </c:pt>
                <c:pt idx="148">
                  <c:v>553.36274958383763</c:v>
                </c:pt>
                <c:pt idx="149">
                  <c:v>562.15831072715275</c:v>
                </c:pt>
                <c:pt idx="150">
                  <c:v>570.95099302329288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109.17970384782107</c:v>
                </c:pt>
                <c:pt idx="22">
                  <c:v>122.05975555117305</c:v>
                </c:pt>
                <c:pt idx="23">
                  <c:v>134.90673357696349</c:v>
                </c:pt>
                <c:pt idx="24">
                  <c:v>147.72423485433478</c:v>
                </c:pt>
                <c:pt idx="25">
                  <c:v>160.51517972277688</c:v>
                </c:pt>
                <c:pt idx="26">
                  <c:v>157.87083132669099</c:v>
                </c:pt>
                <c:pt idx="27">
                  <c:v>172.84212836462703</c:v>
                </c:pt>
                <c:pt idx="28">
                  <c:v>187.78293231583086</c:v>
                </c:pt>
                <c:pt idx="29">
                  <c:v>202.69601208813609</c:v>
                </c:pt>
                <c:pt idx="30">
                  <c:v>217.58369540679919</c:v>
                </c:pt>
                <c:pt idx="31">
                  <c:v>235.06877345752699</c:v>
                </c:pt>
                <c:pt idx="32">
                  <c:v>252.52418390174861</c:v>
                </c:pt>
                <c:pt idx="33">
                  <c:v>269.95226599479992</c:v>
                </c:pt>
                <c:pt idx="34">
                  <c:v>287.35503217179325</c:v>
                </c:pt>
                <c:pt idx="35">
                  <c:v>304.73423115701871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359.34082988600284</c:v>
                </c:pt>
                <c:pt idx="44">
                  <c:v>377.50110417225505</c:v>
                </c:pt>
                <c:pt idx="45">
                  <c:v>395.64236567985586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393.48365507240254</c:v>
                </c:pt>
                <c:pt idx="51">
                  <c:v>410.74628007457636</c:v>
                </c:pt>
                <c:pt idx="52">
                  <c:v>427.99324784652975</c:v>
                </c:pt>
                <c:pt idx="53">
                  <c:v>445.2252778905704</c:v>
                </c:pt>
                <c:pt idx="54">
                  <c:v>462.44302949249573</c:v>
                </c:pt>
                <c:pt idx="55">
                  <c:v>479.64710886178574</c:v>
                </c:pt>
                <c:pt idx="56">
                  <c:v>405.56917103469465</c:v>
                </c:pt>
                <c:pt idx="57">
                  <c:v>421.95854377334382</c:v>
                </c:pt>
                <c:pt idx="58">
                  <c:v>438.33421494585303</c:v>
                </c:pt>
                <c:pt idx="59">
                  <c:v>454.69676831549208</c:v>
                </c:pt>
                <c:pt idx="60">
                  <c:v>471.04674221919873</c:v>
                </c:pt>
                <c:pt idx="61">
                  <c:v>486.52503910078349</c:v>
                </c:pt>
                <c:pt idx="62">
                  <c:v>501.99288641186786</c:v>
                </c:pt>
                <c:pt idx="63">
                  <c:v>517.45065135367156</c:v>
                </c:pt>
                <c:pt idx="64">
                  <c:v>532.89867740865918</c:v>
                </c:pt>
                <c:pt idx="65">
                  <c:v>548.33728653000776</c:v>
                </c:pt>
                <c:pt idx="66">
                  <c:v>472.76708100439259</c:v>
                </c:pt>
                <c:pt idx="67">
                  <c:v>487.38463458913111</c:v>
                </c:pt>
                <c:pt idx="68">
                  <c:v>501.99288641186786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544.47850023404101</c:v>
                </c:pt>
                <c:pt idx="72">
                  <c:v>557.76748661196802</c:v>
                </c:pt>
                <c:pt idx="73">
                  <c:v>571.04984509200233</c:v>
                </c:pt>
                <c:pt idx="74">
                  <c:v>584.32575150478135</c:v>
                </c:pt>
                <c:pt idx="75">
                  <c:v>597.59537304263756</c:v>
                </c:pt>
                <c:pt idx="76">
                  <c:v>520.24058909412281</c:v>
                </c:pt>
                <c:pt idx="77">
                  <c:v>532.89867740865918</c:v>
                </c:pt>
                <c:pt idx="78">
                  <c:v>545.55044271381507</c:v>
                </c:pt>
                <c:pt idx="79">
                  <c:v>558.19605227369811</c:v>
                </c:pt>
                <c:pt idx="80">
                  <c:v>570.83566515785787</c:v>
                </c:pt>
                <c:pt idx="81">
                  <c:v>583.46943281911661</c:v>
                </c:pt>
                <c:pt idx="82">
                  <c:v>596.09749961876616</c:v>
                </c:pt>
                <c:pt idx="83">
                  <c:v>608.72000330496201</c:v>
                </c:pt>
                <c:pt idx="84">
                  <c:v>621.33707544939125</c:v>
                </c:pt>
                <c:pt idx="85">
                  <c:v>633.94884184663977</c:v>
                </c:pt>
                <c:pt idx="86">
                  <c:v>555.19594761174415</c:v>
                </c:pt>
                <c:pt idx="87">
                  <c:v>566.33749757672797</c:v>
                </c:pt>
                <c:pt idx="88">
                  <c:v>577.47446592353469</c:v>
                </c:pt>
                <c:pt idx="89">
                  <c:v>588.6069534508764</c:v>
                </c:pt>
                <c:pt idx="90">
                  <c:v>599.73505683441056</c:v>
                </c:pt>
                <c:pt idx="91">
                  <c:v>610.85886887037998</c:v>
                </c:pt>
                <c:pt idx="92">
                  <c:v>621.97847870058888</c:v>
                </c:pt>
                <c:pt idx="93">
                  <c:v>633.09397202046136</c:v>
                </c:pt>
                <c:pt idx="94">
                  <c:v>644.20543127172925</c:v>
                </c:pt>
                <c:pt idx="95">
                  <c:v>655.31293582114552</c:v>
                </c:pt>
                <c:pt idx="96">
                  <c:v>575.54723712647092</c:v>
                </c:pt>
                <c:pt idx="97">
                  <c:v>585.61018050264533</c:v>
                </c:pt>
                <c:pt idx="98">
                  <c:v>595.66952141128684</c:v>
                </c:pt>
                <c:pt idx="99">
                  <c:v>605.72532925827045</c:v>
                </c:pt>
                <c:pt idx="100">
                  <c:v>615.77767095740739</c:v>
                </c:pt>
                <c:pt idx="101">
                  <c:v>625.82661106001206</c:v>
                </c:pt>
                <c:pt idx="102">
                  <c:v>635.87221187571447</c:v>
                </c:pt>
                <c:pt idx="103">
                  <c:v>645.91453358524438</c:v>
                </c:pt>
                <c:pt idx="104">
                  <c:v>655.95363434584067</c:v>
                </c:pt>
                <c:pt idx="105">
                  <c:v>665.98957038987078</c:v>
                </c:pt>
                <c:pt idx="106">
                  <c:v>586.89455079472839</c:v>
                </c:pt>
                <c:pt idx="107">
                  <c:v>595.45552990892475</c:v>
                </c:pt>
                <c:pt idx="108">
                  <c:v>604.01394898352987</c:v>
                </c:pt>
                <c:pt idx="109">
                  <c:v>612.56984940724078</c:v>
                </c:pt>
                <c:pt idx="110">
                  <c:v>621.12327131831069</c:v>
                </c:pt>
                <c:pt idx="111">
                  <c:v>629.67425365939516</c:v>
                </c:pt>
                <c:pt idx="112">
                  <c:v>638.22283422926796</c:v>
                </c:pt>
                <c:pt idx="113">
                  <c:v>646.76904973161959</c:v>
                </c:pt>
                <c:pt idx="114">
                  <c:v>655.31293582114529</c:v>
                </c:pt>
                <c:pt idx="115">
                  <c:v>663.85452714710391</c:v>
                </c:pt>
                <c:pt idx="116">
                  <c:v>592.03144782908782</c:v>
                </c:pt>
                <c:pt idx="117">
                  <c:v>599.30713279218173</c:v>
                </c:pt>
                <c:pt idx="118">
                  <c:v>606.5809817190169</c:v>
                </c:pt>
                <c:pt idx="119">
                  <c:v>613.85301973416608</c:v>
                </c:pt>
                <c:pt idx="120">
                  <c:v>621.12327131831046</c:v>
                </c:pt>
                <c:pt idx="121">
                  <c:v>628.39176033224692</c:v>
                </c:pt>
                <c:pt idx="122">
                  <c:v>635.65851003972909</c:v>
                </c:pt>
                <c:pt idx="123">
                  <c:v>642.92354312920827</c:v>
                </c:pt>
                <c:pt idx="124">
                  <c:v>650.18688173454188</c:v>
                </c:pt>
                <c:pt idx="125">
                  <c:v>657.44854745472628</c:v>
                </c:pt>
                <c:pt idx="126">
                  <c:v>593.31552677912521</c:v>
                </c:pt>
                <c:pt idx="127">
                  <c:v>599.73505683440965</c:v>
                </c:pt>
                <c:pt idx="128">
                  <c:v>606.15315862414116</c:v>
                </c:pt>
                <c:pt idx="129">
                  <c:v>612.56984940724044</c:v>
                </c:pt>
                <c:pt idx="130">
                  <c:v>618.98514605149035</c:v>
                </c:pt>
                <c:pt idx="131">
                  <c:v>625.39906504645319</c:v>
                </c:pt>
                <c:pt idx="132">
                  <c:v>631.81162251582498</c:v>
                </c:pt>
                <c:pt idx="133">
                  <c:v>638.22283422926751</c:v>
                </c:pt>
                <c:pt idx="134">
                  <c:v>644.63271561373597</c:v>
                </c:pt>
                <c:pt idx="135">
                  <c:v>651.04128176433551</c:v>
                </c:pt>
                <c:pt idx="136">
                  <c:v>594.59954789333835</c:v>
                </c:pt>
                <c:pt idx="137">
                  <c:v>600.16297452894037</c:v>
                </c:pt>
                <c:pt idx="138">
                  <c:v>605.72532925826988</c:v>
                </c:pt>
                <c:pt idx="139">
                  <c:v>611.28662331597127</c:v>
                </c:pt>
                <c:pt idx="140">
                  <c:v>616.84686771553879</c:v>
                </c:pt>
                <c:pt idx="141">
                  <c:v>622.40607325566725</c:v>
                </c:pt>
                <c:pt idx="142">
                  <c:v>627.96425052636596</c:v>
                </c:pt>
                <c:pt idx="143">
                  <c:v>633.52140991484077</c:v>
                </c:pt>
                <c:pt idx="144">
                  <c:v>639.07756161116481</c:v>
                </c:pt>
                <c:pt idx="145">
                  <c:v>644.63271561373642</c:v>
                </c:pt>
                <c:pt idx="146">
                  <c:v>598.87920239707898</c:v>
                </c:pt>
                <c:pt idx="147">
                  <c:v>608.72000330496166</c:v>
                </c:pt>
                <c:pt idx="148">
                  <c:v>618.55750264916139</c:v>
                </c:pt>
                <c:pt idx="149">
                  <c:v>628.39176033224737</c:v>
                </c:pt>
                <c:pt idx="150">
                  <c:v>638.22283422926819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3.1789133645949152</c:v>
                </c:pt>
                <c:pt idx="2">
                  <c:v>3.8066012494147365</c:v>
                </c:pt>
                <c:pt idx="3">
                  <c:v>4.5586856518299959</c:v>
                </c:pt>
                <c:pt idx="4">
                  <c:v>5.4599051822734497</c:v>
                </c:pt>
                <c:pt idx="5">
                  <c:v>6.5399341005058345</c:v>
                </c:pt>
                <c:pt idx="6">
                  <c:v>7.8343699878635862</c:v>
                </c:pt>
                <c:pt idx="7">
                  <c:v>9.3859196082097007</c:v>
                </c:pt>
                <c:pt idx="8">
                  <c:v>11.245822827226961</c:v>
                </c:pt>
                <c:pt idx="9">
                  <c:v>13.475562498771119</c:v>
                </c:pt>
                <c:pt idx="10">
                  <c:v>16.148917890424809</c:v>
                </c:pt>
                <c:pt idx="11">
                  <c:v>19.35443083699084</c:v>
                </c:pt>
                <c:pt idx="12">
                  <c:v>23.198367775946725</c:v>
                </c:pt>
                <c:pt idx="13">
                  <c:v>27.808277608584905</c:v>
                </c:pt>
                <c:pt idx="14">
                  <c:v>33.337265516940001</c:v>
                </c:pt>
                <c:pt idx="15">
                  <c:v>39.969127138040541</c:v>
                </c:pt>
                <c:pt idx="16">
                  <c:v>47.924516681638387</c:v>
                </c:pt>
                <c:pt idx="17">
                  <c:v>57.468357671619486</c:v>
                </c:pt>
                <c:pt idx="18">
                  <c:v>68.918747193365917</c:v>
                </c:pt>
                <c:pt idx="19">
                  <c:v>82.65765528146629</c:v>
                </c:pt>
                <c:pt idx="20">
                  <c:v>99.143782119399972</c:v>
                </c:pt>
                <c:pt idx="21">
                  <c:v>112.44919942949234</c:v>
                </c:pt>
                <c:pt idx="22">
                  <c:v>125.71598909738016</c:v>
                </c:pt>
                <c:pt idx="23">
                  <c:v>138.94880748284825</c:v>
                </c:pt>
                <c:pt idx="24">
                  <c:v>152.15134913409202</c:v>
                </c:pt>
                <c:pt idx="25">
                  <c:v>165.32661364731237</c:v>
                </c:pt>
                <c:pt idx="26">
                  <c:v>162.60280658634773</c:v>
                </c:pt>
                <c:pt idx="27">
                  <c:v>178.02400724516204</c:v>
                </c:pt>
                <c:pt idx="28">
                  <c:v>193.41388724847033</c:v>
                </c:pt>
                <c:pt idx="29">
                  <c:v>208.77529065102965</c:v>
                </c:pt>
                <c:pt idx="30">
                  <c:v>224.11060835152202</c:v>
                </c:pt>
                <c:pt idx="31">
                  <c:v>242.12150514745761</c:v>
                </c:pt>
                <c:pt idx="32">
                  <c:v>260.10192917127841</c:v>
                </c:pt>
                <c:pt idx="33">
                  <c:v>278.05428316466646</c:v>
                </c:pt>
                <c:pt idx="34">
                  <c:v>295.98063417932593</c:v>
                </c:pt>
                <c:pt idx="35">
                  <c:v>313.88277839914383</c:v>
                </c:pt>
                <c:pt idx="36">
                  <c:v>238.52184729375207</c:v>
                </c:pt>
                <c:pt idx="37">
                  <c:v>257.40670959179045</c:v>
                </c:pt>
                <c:pt idx="38">
                  <c:v>276.26024969794486</c:v>
                </c:pt>
                <c:pt idx="39">
                  <c:v>295.08490550123878</c:v>
                </c:pt>
                <c:pt idx="40">
                  <c:v>313.88277839914394</c:v>
                </c:pt>
                <c:pt idx="41">
                  <c:v>332.65569753778635</c:v>
                </c:pt>
                <c:pt idx="42">
                  <c:v>351.40526877970325</c:v>
                </c:pt>
                <c:pt idx="43">
                  <c:v>370.13291266764719</c:v>
                </c:pt>
                <c:pt idx="44">
                  <c:v>388.83989430006528</c:v>
                </c:pt>
                <c:pt idx="45">
                  <c:v>407.52734715549917</c:v>
                </c:pt>
                <c:pt idx="46">
                  <c:v>332.20900058507158</c:v>
                </c:pt>
                <c:pt idx="47">
                  <c:v>350.51293987860362</c:v>
                </c:pt>
                <c:pt idx="48">
                  <c:v>368.79592322817575</c:v>
                </c:pt>
                <c:pt idx="49">
                  <c:v>387.05913530996236</c:v>
                </c:pt>
                <c:pt idx="50">
                  <c:v>405.30363991428732</c:v>
                </c:pt>
                <c:pt idx="51">
                  <c:v>423.08604638514612</c:v>
                </c:pt>
                <c:pt idx="52">
                  <c:v>440.85237069553926</c:v>
                </c:pt>
                <c:pt idx="53">
                  <c:v>458.60335187474652</c:v>
                </c:pt>
                <c:pt idx="54">
                  <c:v>476.33966710128743</c:v>
                </c:pt>
                <c:pt idx="55">
                  <c:v>494.06193903689763</c:v>
                </c:pt>
                <c:pt idx="56">
                  <c:v>417.75304845733575</c:v>
                </c:pt>
                <c:pt idx="57">
                  <c:v>434.63593891144529</c:v>
                </c:pt>
                <c:pt idx="58">
                  <c:v>451.50475594502086</c:v>
                </c:pt>
                <c:pt idx="59">
                  <c:v>468.36009916440707</c:v>
                </c:pt>
                <c:pt idx="60">
                  <c:v>485.2025215167659</c:v>
                </c:pt>
                <c:pt idx="61">
                  <c:v>501.14704584512748</c:v>
                </c:pt>
                <c:pt idx="62">
                  <c:v>517.08083700630607</c:v>
                </c:pt>
                <c:pt idx="63">
                  <c:v>533.00427216719811</c:v>
                </c:pt>
                <c:pt idx="64">
                  <c:v>548.9177041322298</c:v>
                </c:pt>
                <c:pt idx="65">
                  <c:v>564.82146359224362</c:v>
                </c:pt>
                <c:pt idx="66">
                  <c:v>486.97467768184441</c:v>
                </c:pt>
                <c:pt idx="67">
                  <c:v>502.03253444791227</c:v>
                </c:pt>
                <c:pt idx="68">
                  <c:v>517.08083700630607</c:v>
                </c:pt>
                <c:pt idx="69">
                  <c:v>532.11990246351058</c:v>
                </c:pt>
                <c:pt idx="70">
                  <c:v>547.15002854720217</c:v>
                </c:pt>
                <c:pt idx="71">
                  <c:v>560.8464132140399</c:v>
                </c:pt>
                <c:pt idx="72">
                  <c:v>574.53579993745007</c:v>
                </c:pt>
                <c:pt idx="73">
                  <c:v>588.21837888477478</c:v>
                </c:pt>
                <c:pt idx="74">
                  <c:v>601.8943306586167</c:v>
                </c:pt>
                <c:pt idx="75">
                  <c:v>615.56382698883351</c:v>
                </c:pt>
                <c:pt idx="76">
                  <c:v>535.87826082146739</c:v>
                </c:pt>
                <c:pt idx="77">
                  <c:v>548.9177041322298</c:v>
                </c:pt>
                <c:pt idx="78">
                  <c:v>561.95065282995722</c:v>
                </c:pt>
                <c:pt idx="79">
                  <c:v>574.97727871823076</c:v>
                </c:pt>
                <c:pt idx="80">
                  <c:v>587.99774518367633</c:v>
                </c:pt>
                <c:pt idx="81">
                  <c:v>601.01220778947845</c:v>
                </c:pt>
                <c:pt idx="82">
                  <c:v>614.02081481482958</c:v>
                </c:pt>
                <c:pt idx="83">
                  <c:v>627.02370774630936</c:v>
                </c:pt>
                <c:pt idx="84">
                  <c:v>640.02102172640105</c:v>
                </c:pt>
                <c:pt idx="85">
                  <c:v>653.01288596370057</c:v>
                </c:pt>
                <c:pt idx="86">
                  <c:v>571.88677828687821</c:v>
                </c:pt>
                <c:pt idx="87">
                  <c:v>583.36403794019736</c:v>
                </c:pt>
                <c:pt idx="88">
                  <c:v>594.83659163226548</c:v>
                </c:pt>
                <c:pt idx="89">
                  <c:v>606.30454289742693</c:v>
                </c:pt>
                <c:pt idx="90">
                  <c:v>617.76799103507312</c:v>
                </c:pt>
                <c:pt idx="91">
                  <c:v>629.2270313598957</c:v>
                </c:pt>
                <c:pt idx="92">
                  <c:v>640.68175543296786</c:v>
                </c:pt>
                <c:pt idx="93">
                  <c:v>652.13225127544854</c:v>
                </c:pt>
                <c:pt idx="94">
                  <c:v>663.57860356650224</c:v>
                </c:pt>
                <c:pt idx="95">
                  <c:v>675.02089382685961</c:v>
                </c:pt>
                <c:pt idx="96">
                  <c:v>592.85128953360197</c:v>
                </c:pt>
                <c:pt idx="97">
                  <c:v>603.21746460102133</c:v>
                </c:pt>
                <c:pt idx="98">
                  <c:v>613.57993943154599</c:v>
                </c:pt>
                <c:pt idx="99">
                  <c:v>623.93878531469488</c:v>
                </c:pt>
                <c:pt idx="100">
                  <c:v>634.29407098029071</c:v>
                </c:pt>
                <c:pt idx="101">
                  <c:v>644.64586273154134</c:v>
                </c:pt>
                <c:pt idx="102">
                  <c:v>654.99422456913237</c:v>
                </c:pt>
                <c:pt idx="103">
                  <c:v>665.33921830707209</c:v>
                </c:pt>
                <c:pt idx="104">
                  <c:v>675.68090368096057</c:v>
                </c:pt>
                <c:pt idx="105">
                  <c:v>686.01933844928681</c:v>
                </c:pt>
                <c:pt idx="106">
                  <c:v>604.54053824439688</c:v>
                </c:pt>
                <c:pt idx="107">
                  <c:v>613.35949927618447</c:v>
                </c:pt>
                <c:pt idx="108">
                  <c:v>622.17583079004794</c:v>
                </c:pt>
                <c:pt idx="109">
                  <c:v>630.98957529795541</c:v>
                </c:pt>
                <c:pt idx="110">
                  <c:v>639.80077402749419</c:v>
                </c:pt>
                <c:pt idx="111">
                  <c:v>648.60946697820611</c:v>
                </c:pt>
                <c:pt idx="112">
                  <c:v>657.41569297470676</c:v>
                </c:pt>
                <c:pt idx="113">
                  <c:v>666.21948971680865</c:v>
                </c:pt>
                <c:pt idx="114">
                  <c:v>675.02089382685938</c:v>
                </c:pt>
                <c:pt idx="115">
                  <c:v>683.81994089448324</c:v>
                </c:pt>
                <c:pt idx="116">
                  <c:v>609.83223283078996</c:v>
                </c:pt>
                <c:pt idx="117">
                  <c:v>617.32717128706088</c:v>
                </c:pt>
                <c:pt idx="118">
                  <c:v>624.82022387786776</c:v>
                </c:pt>
                <c:pt idx="119">
                  <c:v>632.31141640965359</c:v>
                </c:pt>
                <c:pt idx="120">
                  <c:v>639.80077402749373</c:v>
                </c:pt>
                <c:pt idx="121">
                  <c:v>647.28832123975644</c:v>
                </c:pt>
                <c:pt idx="122">
                  <c:v>654.77408194156374</c:v>
                </c:pt>
                <c:pt idx="123">
                  <c:v>662.25807943712118</c:v>
                </c:pt>
                <c:pt idx="124">
                  <c:v>669.7403364609886</c:v>
                </c:pt>
                <c:pt idx="125">
                  <c:v>677.22087519835031</c:v>
                </c:pt>
                <c:pt idx="126">
                  <c:v>611.15500722522654</c:v>
                </c:pt>
                <c:pt idx="127">
                  <c:v>617.7679910350721</c:v>
                </c:pt>
                <c:pt idx="128">
                  <c:v>624.37950781687516</c:v>
                </c:pt>
                <c:pt idx="129">
                  <c:v>630.98957529795496</c:v>
                </c:pt>
                <c:pt idx="130">
                  <c:v>637.59821080387917</c:v>
                </c:pt>
                <c:pt idx="131">
                  <c:v>644.20543127172857</c:v>
                </c:pt>
                <c:pt idx="132">
                  <c:v>650.81125326279005</c:v>
                </c:pt>
                <c:pt idx="133">
                  <c:v>657.4156929747063</c:v>
                </c:pt>
                <c:pt idx="134">
                  <c:v>664.01876625311354</c:v>
                </c:pt>
                <c:pt idx="135">
                  <c:v>670.62048860279128</c:v>
                </c:pt>
                <c:pt idx="136">
                  <c:v>612.4777222142003</c:v>
                </c:pt>
                <c:pt idx="137">
                  <c:v>618.2088042631126</c:v>
                </c:pt>
                <c:pt idx="138">
                  <c:v>623.93878531469443</c:v>
                </c:pt>
                <c:pt idx="139">
                  <c:v>629.66767690849326</c:v>
                </c:pt>
                <c:pt idx="140">
                  <c:v>635.39549035690447</c:v>
                </c:pt>
                <c:pt idx="141">
                  <c:v>641.12223675169514</c:v>
                </c:pt>
                <c:pt idx="142">
                  <c:v>646.84792697028206</c:v>
                </c:pt>
                <c:pt idx="143">
                  <c:v>652.57257168177568</c:v>
                </c:pt>
                <c:pt idx="144">
                  <c:v>658.29618135280282</c:v>
                </c:pt>
                <c:pt idx="145">
                  <c:v>664.01876625311399</c:v>
                </c:pt>
                <c:pt idx="146">
                  <c:v>616.88634501376066</c:v>
                </c:pt>
                <c:pt idx="147">
                  <c:v>627.02370774630901</c:v>
                </c:pt>
                <c:pt idx="148">
                  <c:v>637.15767931220819</c:v>
                </c:pt>
                <c:pt idx="149">
                  <c:v>647.28832123975712</c:v>
                </c:pt>
                <c:pt idx="150">
                  <c:v>657.41569297470699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115.71636359675186</c:v>
                </c:pt>
                <c:pt idx="22">
                  <c:v>129.36964295670381</c:v>
                </c:pt>
                <c:pt idx="23">
                  <c:v>142.98805654329644</c:v>
                </c:pt>
                <c:pt idx="24">
                  <c:v>156.57539618512337</c:v>
                </c:pt>
                <c:pt idx="25">
                  <c:v>170.13474046014423</c:v>
                </c:pt>
                <c:pt idx="26">
                  <c:v>167.33152417187668</c:v>
                </c:pt>
                <c:pt idx="27">
                  <c:v>183.20234956164515</c:v>
                </c:pt>
                <c:pt idx="28">
                  <c:v>199.04102959808699</c:v>
                </c:pt>
                <c:pt idx="29">
                  <c:v>214.85048322218771</c:v>
                </c:pt>
                <c:pt idx="30">
                  <c:v>230.633164286897</c:v>
                </c:pt>
                <c:pt idx="31">
                  <c:v>249.16956379358496</c:v>
                </c:pt>
                <c:pt idx="32">
                  <c:v>267.67468815578269</c:v>
                </c:pt>
                <c:pt idx="33">
                  <c:v>286.15100338127621</c:v>
                </c:pt>
                <c:pt idx="34">
                  <c:v>304.60063094888795</c:v>
                </c:pt>
                <c:pt idx="35">
                  <c:v>323.02541433745807</c:v>
                </c:pt>
                <c:pt idx="36">
                  <c:v>245.46487179097758</c:v>
                </c:pt>
                <c:pt idx="37">
                  <c:v>264.90081208016198</c:v>
                </c:pt>
                <c:pt idx="38">
                  <c:v>284.30460543918775</c:v>
                </c:pt>
                <c:pt idx="39">
                  <c:v>303.67875394863921</c:v>
                </c:pt>
                <c:pt idx="40">
                  <c:v>323.02541433745813</c:v>
                </c:pt>
                <c:pt idx="41">
                  <c:v>342.34646391464622</c:v>
                </c:pt>
                <c:pt idx="42">
                  <c:v>361.64355082638076</c:v>
                </c:pt>
                <c:pt idx="43">
                  <c:v>380.91813301943722</c:v>
                </c:pt>
                <c:pt idx="44">
                  <c:v>400.17150890331294</c:v>
                </c:pt>
                <c:pt idx="45">
                  <c:v>419.40484180194295</c:v>
                </c:pt>
                <c:pt idx="46">
                  <c:v>341.8867235390631</c:v>
                </c:pt>
                <c:pt idx="47">
                  <c:v>360.72516312195711</c:v>
                </c:pt>
                <c:pt idx="48">
                  <c:v>379.542094974186</c:v>
                </c:pt>
                <c:pt idx="49">
                  <c:v>398.33873496539167</c:v>
                </c:pt>
                <c:pt idx="50">
                  <c:v>417.11617489634523</c:v>
                </c:pt>
                <c:pt idx="51">
                  <c:v>435.41806774560092</c:v>
                </c:pt>
                <c:pt idx="52">
                  <c:v>453.70345497828924</c:v>
                </c:pt>
                <c:pt idx="53">
                  <c:v>471.97309508291983</c:v>
                </c:pt>
                <c:pt idx="54">
                  <c:v>490.22768306866254</c:v>
                </c:pt>
                <c:pt idx="55">
                  <c:v>508.46785799243207</c:v>
                </c:pt>
                <c:pt idx="56">
                  <c:v>429.92926929891945</c:v>
                </c:pt>
                <c:pt idx="57">
                  <c:v>447.30539808561917</c:v>
                </c:pt>
                <c:pt idx="58">
                  <c:v>464.66708288740648</c:v>
                </c:pt>
                <c:pt idx="59">
                  <c:v>482.01493909873858</c:v>
                </c:pt>
                <c:pt idx="60">
                  <c:v>499.34953422631742</c:v>
                </c:pt>
                <c:pt idx="61">
                  <c:v>515.7600258871305</c:v>
                </c:pt>
                <c:pt idx="62">
                  <c:v>532.15950176791512</c:v>
                </c:pt>
                <c:pt idx="63">
                  <c:v>548.54834896667228</c:v>
                </c:pt>
                <c:pt idx="64">
                  <c:v>564.92692957744998</c:v>
                </c:pt>
                <c:pt idx="65">
                  <c:v>581.29558299844393</c:v>
                </c:pt>
                <c:pt idx="66">
                  <c:v>501.17347881997517</c:v>
                </c:pt>
                <c:pt idx="67">
                  <c:v>516.67139318273325</c:v>
                </c:pt>
                <c:pt idx="68">
                  <c:v>532.15950176791512</c:v>
                </c:pt>
                <c:pt idx="69">
                  <c:v>547.63813003167172</c:v>
                </c:pt>
                <c:pt idx="70">
                  <c:v>563.10758354108657</c:v>
                </c:pt>
                <c:pt idx="71">
                  <c:v>577.20433255089188</c:v>
                </c:pt>
                <c:pt idx="72">
                  <c:v>591.29389935584197</c:v>
                </c:pt>
                <c:pt idx="73">
                  <c:v>605.37647913053661</c:v>
                </c:pt>
                <c:pt idx="74">
                  <c:v>619.45225723298938</c:v>
                </c:pt>
                <c:pt idx="75">
                  <c:v>633.52140991484157</c:v>
                </c:pt>
                <c:pt idx="76">
                  <c:v>551.50634201733726</c:v>
                </c:pt>
                <c:pt idx="77">
                  <c:v>564.92692957744987</c:v>
                </c:pt>
                <c:pt idx="78">
                  <c:v>578.34085151619058</c:v>
                </c:pt>
                <c:pt idx="79">
                  <c:v>591.74828416086518</c:v>
                </c:pt>
                <c:pt idx="80">
                  <c:v>605.14939520020005</c:v>
                </c:pt>
                <c:pt idx="81">
                  <c:v>618.54434429348237</c:v>
                </c:pt>
                <c:pt idx="82">
                  <c:v>631.9332836242138</c:v>
                </c:pt>
                <c:pt idx="83">
                  <c:v>645.31635840442812</c:v>
                </c:pt>
                <c:pt idx="84">
                  <c:v>658.69370733501853</c:v>
                </c:pt>
                <c:pt idx="85">
                  <c:v>672.06546302674553</c:v>
                </c:pt>
                <c:pt idx="86">
                  <c:v>588.56743763742293</c:v>
                </c:pt>
                <c:pt idx="87">
                  <c:v>600.38022262303082</c:v>
                </c:pt>
                <c:pt idx="88">
                  <c:v>612.18817773567719</c:v>
                </c:pt>
                <c:pt idx="89">
                  <c:v>623.99140923584866</c:v>
                </c:pt>
                <c:pt idx="90">
                  <c:v>635.79001903756864</c:v>
                </c:pt>
                <c:pt idx="91">
                  <c:v>647.58410496524004</c:v>
                </c:pt>
                <c:pt idx="92">
                  <c:v>659.37376099081337</c:v>
                </c:pt>
                <c:pt idx="93">
                  <c:v>671.1590774531137</c:v>
                </c:pt>
                <c:pt idx="94">
                  <c:v>682.94014126097579</c:v>
                </c:pt>
                <c:pt idx="95">
                  <c:v>694.71703608163614</c:v>
                </c:pt>
                <c:pt idx="96">
                  <c:v>610.14483413808227</c:v>
                </c:pt>
                <c:pt idx="97">
                  <c:v>620.81407495489407</c:v>
                </c:pt>
                <c:pt idx="98">
                  <c:v>631.47951810462462</c:v>
                </c:pt>
                <c:pt idx="99">
                  <c:v>642.14123675390272</c:v>
                </c:pt>
                <c:pt idx="100">
                  <c:v>652.79930144226262</c:v>
                </c:pt>
                <c:pt idx="101">
                  <c:v>663.45378021872796</c:v>
                </c:pt>
                <c:pt idx="102">
                  <c:v>674.10473876917354</c:v>
                </c:pt>
                <c:pt idx="103">
                  <c:v>684.75224053521981</c:v>
                </c:pt>
                <c:pt idx="104">
                  <c:v>695.39634682535268</c:v>
                </c:pt>
                <c:pt idx="105">
                  <c:v>706.03711691888873</c:v>
                </c:pt>
                <c:pt idx="106">
                  <c:v>622.17583079004783</c:v>
                </c:pt>
                <c:pt idx="107">
                  <c:v>631.25263281623836</c:v>
                </c:pt>
                <c:pt idx="108">
                  <c:v>640.32673608720222</c:v>
                </c:pt>
                <c:pt idx="109">
                  <c:v>649.39818423428153</c:v>
                </c:pt>
                <c:pt idx="110">
                  <c:v>658.46701957061885</c:v>
                </c:pt>
                <c:pt idx="111">
                  <c:v>667.5332831489759</c:v>
                </c:pt>
                <c:pt idx="112">
                  <c:v>676.59701481625132</c:v>
                </c:pt>
                <c:pt idx="113">
                  <c:v>685.65825326492347</c:v>
                </c:pt>
                <c:pt idx="114">
                  <c:v>694.71703608163591</c:v>
                </c:pt>
                <c:pt idx="115">
                  <c:v>703.77339979311603</c:v>
                </c:pt>
                <c:pt idx="116">
                  <c:v>627.62223834541555</c:v>
                </c:pt>
                <c:pt idx="117">
                  <c:v>635.33631061817152</c:v>
                </c:pt>
                <c:pt idx="118">
                  <c:v>643.04844736912321</c:v>
                </c:pt>
                <c:pt idx="119">
                  <c:v>650.75867508421697</c:v>
                </c:pt>
                <c:pt idx="120">
                  <c:v>658.46701957061839</c:v>
                </c:pt>
                <c:pt idx="121">
                  <c:v>666.17350598202131</c:v>
                </c:pt>
                <c:pt idx="122">
                  <c:v>673.87815884272425</c:v>
                </c:pt>
                <c:pt idx="123">
                  <c:v>681.58100207055156</c:v>
                </c:pt>
                <c:pt idx="124">
                  <c:v>689.2820589986826</c:v>
                </c:pt>
                <c:pt idx="125">
                  <c:v>696.98135239645444</c:v>
                </c:pt>
                <c:pt idx="126">
                  <c:v>628.9836870521674</c:v>
                </c:pt>
                <c:pt idx="127">
                  <c:v>635.79001903756773</c:v>
                </c:pt>
                <c:pt idx="128">
                  <c:v>642.59484536690752</c:v>
                </c:pt>
                <c:pt idx="129">
                  <c:v>649.39818423428108</c:v>
                </c:pt>
                <c:pt idx="130">
                  <c:v>656.20005342145203</c:v>
                </c:pt>
                <c:pt idx="131">
                  <c:v>663.00047031146812</c:v>
                </c:pt>
                <c:pt idx="132">
                  <c:v>669.79945190168769</c:v>
                </c:pt>
                <c:pt idx="133">
                  <c:v>676.59701481625063</c:v>
                </c:pt>
                <c:pt idx="134">
                  <c:v>683.39317531802135</c:v>
                </c:pt>
                <c:pt idx="135">
                  <c:v>690.18794932003266</c:v>
                </c:pt>
                <c:pt idx="136">
                  <c:v>630.34507478926355</c:v>
                </c:pt>
                <c:pt idx="137">
                  <c:v>636.24372076531688</c:v>
                </c:pt>
                <c:pt idx="138">
                  <c:v>642.14123675390226</c:v>
                </c:pt>
                <c:pt idx="139">
                  <c:v>648.03763459841321</c:v>
                </c:pt>
                <c:pt idx="140">
                  <c:v>653.93292590910937</c:v>
                </c:pt>
                <c:pt idx="141">
                  <c:v>659.82712206981262</c:v>
                </c:pt>
                <c:pt idx="142">
                  <c:v>665.72023424435088</c:v>
                </c:pt>
                <c:pt idx="143">
                  <c:v>671.61227338276092</c:v>
                </c:pt>
                <c:pt idx="144">
                  <c:v>677.50325022726418</c:v>
                </c:pt>
                <c:pt idx="145">
                  <c:v>683.39317531802192</c:v>
                </c:pt>
                <c:pt idx="146">
                  <c:v>634.88259550167049</c:v>
                </c:pt>
                <c:pt idx="147">
                  <c:v>645.31635840442766</c:v>
                </c:pt>
                <c:pt idx="148">
                  <c:v>655.74664084841595</c:v>
                </c:pt>
                <c:pt idx="149">
                  <c:v>666.17350598202177</c:v>
                </c:pt>
                <c:pt idx="150">
                  <c:v>676.59701481625154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ugo Danjou" id="{5CB5B790-FDEB-47B1-BE4A-F02A996A67B7}" userId="S::hugo.danjou@acclena.fr::143acf70-84a0-41f4-afa7-7563fedfb6d7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7" dT="2024-01-03T10:22:53.32" personId="{5CB5B790-FDEB-47B1-BE4A-F02A996A67B7}" id="{67C97E33-AC6E-42D7-A0A3-B4748D7A0F0C}">
    <text>Cout réel devis</text>
  </threadedComment>
  <threadedComment ref="I20" dT="2024-01-03T10:23:38.14" personId="{5CB5B790-FDEB-47B1-BE4A-F02A996A67B7}" id="{811CA285-D918-41CF-8984-DE28B0FE56CC}">
    <text>Cout réel devis</text>
  </threadedComment>
  <threadedComment ref="E48" dT="2024-01-03T10:23:01.75" personId="{5CB5B790-FDEB-47B1-BE4A-F02A996A67B7}" id="{7A4EAA57-8980-4A8E-BD8F-48423D91ACDA}">
    <text>Cout réel devis</text>
  </threadedComment>
  <threadedComment ref="E79" dT="2024-01-03T10:23:11.43" personId="{5CB5B790-FDEB-47B1-BE4A-F02A996A67B7}" id="{A3E4C072-D13C-4201-B0F3-FDAE9EB8CA26}">
    <text>Cout réel devis</text>
  </threadedComment>
  <threadedComment ref="E110" dT="2024-01-03T10:23:21.42" personId="{5CB5B790-FDEB-47B1-BE4A-F02A996A67B7}" id="{F591A136-E7BD-4B08-9975-0D13D5BD6580}">
    <text>Cout réel devis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4140625" defaultRowHeight="14.4"/>
  <cols>
    <col min="1" max="1" width="6.6640625" customWidth="1"/>
    <col min="2" max="13" width="15.88671875" customWidth="1"/>
  </cols>
  <sheetData>
    <row r="12" spans="2:13" ht="15" customHeight="1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L32" sqref="L32"/>
    </sheetView>
  </sheetViews>
  <sheetFormatPr baseColWidth="10" defaultColWidth="11.44140625" defaultRowHeight="14.4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>
      <c r="A1" s="4"/>
      <c r="B1" s="4"/>
      <c r="C1" s="258" t="s">
        <v>2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>
      <c r="A5" s="268" t="s">
        <v>7</v>
      </c>
      <c r="B5" s="268"/>
      <c r="C5" s="24">
        <v>1.82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>
      <c r="A9" s="30" t="s">
        <v>15</v>
      </c>
      <c r="B9" s="31" t="s">
        <v>16</v>
      </c>
      <c r="C9" s="32">
        <v>0.25</v>
      </c>
      <c r="D9" s="33">
        <f t="shared" ref="D9:D18" si="0">C9*$C$5</f>
        <v>0.45500000000000002</v>
      </c>
      <c r="E9" s="34">
        <v>150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>
      <c r="A10" s="30" t="s">
        <v>18</v>
      </c>
      <c r="B10" s="31" t="s">
        <v>19</v>
      </c>
      <c r="C10" s="32">
        <v>0.25</v>
      </c>
      <c r="D10" s="33">
        <f t="shared" si="0"/>
        <v>0.45500000000000002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>
      <c r="A11" s="30" t="s">
        <v>20</v>
      </c>
      <c r="B11" s="31" t="s">
        <v>21</v>
      </c>
      <c r="C11" s="32">
        <v>0.25</v>
      </c>
      <c r="D11" s="33">
        <f t="shared" si="0"/>
        <v>0.45500000000000002</v>
      </c>
      <c r="E11" s="34">
        <v>150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>
      <c r="A12" s="30" t="s">
        <v>22</v>
      </c>
      <c r="B12" s="31" t="s">
        <v>23</v>
      </c>
      <c r="C12" s="32">
        <v>0.25</v>
      </c>
      <c r="D12" s="33">
        <f t="shared" si="0"/>
        <v>0.45500000000000002</v>
      </c>
      <c r="E12" s="34">
        <v>150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>
      <c r="A13" s="30" t="s">
        <v>24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>
      <c r="A14" s="30" t="s">
        <v>25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>
      <c r="A15" s="30" t="s">
        <v>26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>
      <c r="A16" s="30" t="s">
        <v>27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>
      <c r="A17" s="30" t="s">
        <v>28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>
      <c r="A18" s="30" t="s">
        <v>29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>
      <c r="A19" s="78"/>
      <c r="B19" s="36" t="s">
        <v>30</v>
      </c>
      <c r="C19" s="37">
        <f>SUM(C9:C18)</f>
        <v>1</v>
      </c>
      <c r="D19" s="38">
        <f>SUM(D9:D18)</f>
        <v>1.82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>
      <c r="A22" s="266" t="s">
        <v>31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>
      <c r="A24" s="41" t="s">
        <v>32</v>
      </c>
      <c r="B24" s="42" t="s">
        <v>33</v>
      </c>
      <c r="C24" s="43">
        <v>0</v>
      </c>
      <c r="D24" s="44" t="s">
        <v>34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>
      <c r="A25" s="41" t="s">
        <v>35</v>
      </c>
      <c r="B25" s="42" t="s">
        <v>36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>
      <c r="A26" s="41" t="s">
        <v>37</v>
      </c>
      <c r="B26" s="42" t="s">
        <v>38</v>
      </c>
      <c r="C26" s="43">
        <v>0.05</v>
      </c>
      <c r="D26" s="44" t="s">
        <v>39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>
      <c r="A27" s="41" t="s">
        <v>40</v>
      </c>
      <c r="B27" s="42" t="s">
        <v>41</v>
      </c>
      <c r="C27" s="43">
        <v>0</v>
      </c>
      <c r="D27" s="44" t="s">
        <v>42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>
      <c r="A30" s="267" t="s">
        <v>43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>
      <c r="A32" s="46" t="s">
        <v>15</v>
      </c>
      <c r="B32" s="47" t="str">
        <f>IF(B9="","",B9)</f>
        <v>Chêne sessile</v>
      </c>
      <c r="D32" s="229" t="s">
        <v>44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>
      <c r="A34" s="4"/>
      <c r="B34" s="85" t="s">
        <v>45</v>
      </c>
      <c r="C34" s="259" t="s">
        <v>46</v>
      </c>
      <c r="D34" s="259"/>
      <c r="E34" s="260" t="s">
        <v>47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>
      <c r="A35" s="36" t="s">
        <v>48</v>
      </c>
      <c r="B35" s="36" t="s">
        <v>49</v>
      </c>
      <c r="C35" s="48" t="s">
        <v>50</v>
      </c>
      <c r="D35" s="48" t="s">
        <v>51</v>
      </c>
      <c r="E35" s="36" t="s">
        <v>52</v>
      </c>
      <c r="F35" s="36" t="s">
        <v>53</v>
      </c>
      <c r="G35" s="36" t="s">
        <v>54</v>
      </c>
      <c r="H35" s="36" t="s">
        <v>55</v>
      </c>
      <c r="I35" s="48" t="s">
        <v>56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>
      <c r="A36" s="50">
        <v>20</v>
      </c>
      <c r="B36" s="60">
        <v>42</v>
      </c>
      <c r="C36" s="60"/>
      <c r="D36" s="60"/>
      <c r="E36" s="51"/>
      <c r="F36" s="51"/>
      <c r="G36" s="51"/>
      <c r="H36" s="51"/>
      <c r="I36" s="49">
        <f>IFERROR(B36/A36,"")</f>
        <v>2.1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>
      <c r="A37" s="50">
        <v>25</v>
      </c>
      <c r="B37" s="60">
        <v>71</v>
      </c>
      <c r="C37" s="60">
        <v>1</v>
      </c>
      <c r="D37" s="60">
        <v>8</v>
      </c>
      <c r="E37" s="51"/>
      <c r="F37" s="51"/>
      <c r="G37" s="51"/>
      <c r="H37" s="51">
        <v>1</v>
      </c>
      <c r="I37" s="53">
        <f t="shared" ref="I37:I55" si="1">IF(A37&lt;&gt;0,(B37-(B36-D36))/(A37-A36),"")</f>
        <v>5.8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>
      <c r="A38" s="50">
        <v>30</v>
      </c>
      <c r="B38" s="60">
        <v>97</v>
      </c>
      <c r="C38" s="60"/>
      <c r="D38" s="60"/>
      <c r="E38" s="51"/>
      <c r="F38" s="51"/>
      <c r="G38" s="51"/>
      <c r="H38" s="51"/>
      <c r="I38" s="53">
        <f t="shared" si="1"/>
        <v>6.8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>
      <c r="A39" s="50">
        <v>35</v>
      </c>
      <c r="B39" s="60">
        <v>137</v>
      </c>
      <c r="C39" s="60">
        <v>2</v>
      </c>
      <c r="D39" s="60">
        <v>42</v>
      </c>
      <c r="E39" s="51"/>
      <c r="F39" s="51"/>
      <c r="G39" s="51"/>
      <c r="H39" s="51"/>
      <c r="I39" s="49">
        <f t="shared" si="1"/>
        <v>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>
      <c r="A40" s="50">
        <v>40</v>
      </c>
      <c r="B40" s="60">
        <v>137</v>
      </c>
      <c r="C40" s="60"/>
      <c r="D40" s="60"/>
      <c r="E40" s="51"/>
      <c r="F40" s="51"/>
      <c r="G40" s="51"/>
      <c r="H40" s="51"/>
      <c r="I40" s="49">
        <f t="shared" si="1"/>
        <v>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>
      <c r="A41" s="50">
        <v>45</v>
      </c>
      <c r="B41" s="60">
        <v>179</v>
      </c>
      <c r="C41" s="60">
        <v>3</v>
      </c>
      <c r="D41" s="60">
        <v>42</v>
      </c>
      <c r="E41" s="51"/>
      <c r="F41" s="51"/>
      <c r="G41" s="51"/>
      <c r="H41" s="51"/>
      <c r="I41" s="53">
        <f t="shared" si="1"/>
        <v>8.4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>
      <c r="A42" s="50">
        <v>50</v>
      </c>
      <c r="B42" s="60">
        <v>178</v>
      </c>
      <c r="C42" s="60"/>
      <c r="D42" s="60"/>
      <c r="E42" s="51"/>
      <c r="F42" s="51"/>
      <c r="G42" s="51"/>
      <c r="H42" s="51"/>
      <c r="I42" s="53">
        <f t="shared" si="1"/>
        <v>8.1999999999999993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>
      <c r="A43" s="50">
        <v>55</v>
      </c>
      <c r="B43" s="60">
        <v>218</v>
      </c>
      <c r="C43" s="60">
        <v>4</v>
      </c>
      <c r="D43" s="60">
        <v>42</v>
      </c>
      <c r="E43" s="51"/>
      <c r="F43" s="51"/>
      <c r="G43" s="51"/>
      <c r="H43" s="51"/>
      <c r="I43" s="49">
        <f t="shared" si="1"/>
        <v>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>
      <c r="A44" s="50">
        <v>60</v>
      </c>
      <c r="B44" s="60">
        <v>214</v>
      </c>
      <c r="C44" s="60"/>
      <c r="D44" s="60"/>
      <c r="E44" s="51"/>
      <c r="F44" s="51"/>
      <c r="G44" s="51"/>
      <c r="H44" s="51"/>
      <c r="I44" s="49">
        <f t="shared" si="1"/>
        <v>7.6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>
      <c r="A45" s="50">
        <v>65</v>
      </c>
      <c r="B45" s="60">
        <v>250</v>
      </c>
      <c r="C45" s="60">
        <v>5</v>
      </c>
      <c r="D45" s="60">
        <v>42</v>
      </c>
      <c r="E45" s="51"/>
      <c r="F45" s="51"/>
      <c r="G45" s="51"/>
      <c r="H45" s="51"/>
      <c r="I45" s="49">
        <f t="shared" si="1"/>
        <v>7.2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>
      <c r="A46" s="50">
        <v>70</v>
      </c>
      <c r="B46" s="60">
        <v>242</v>
      </c>
      <c r="C46" s="60"/>
      <c r="D46" s="60"/>
      <c r="E46" s="51"/>
      <c r="F46" s="51"/>
      <c r="G46" s="51"/>
      <c r="H46" s="51"/>
      <c r="I46" s="49">
        <f t="shared" si="1"/>
        <v>6.8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>
      <c r="A47" s="50">
        <v>75</v>
      </c>
      <c r="B47" s="60">
        <v>273</v>
      </c>
      <c r="C47" s="60">
        <v>6</v>
      </c>
      <c r="D47" s="60">
        <v>42</v>
      </c>
      <c r="E47" s="51"/>
      <c r="F47" s="51"/>
      <c r="G47" s="51"/>
      <c r="H47" s="51"/>
      <c r="I47" s="49">
        <f t="shared" si="1"/>
        <v>6.2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>
      <c r="A48" s="50">
        <v>85</v>
      </c>
      <c r="B48" s="60">
        <v>290</v>
      </c>
      <c r="C48" s="60">
        <v>7</v>
      </c>
      <c r="D48" s="60">
        <v>42</v>
      </c>
      <c r="E48" s="51"/>
      <c r="F48" s="51"/>
      <c r="G48" s="51"/>
      <c r="H48" s="51"/>
      <c r="I48" s="49">
        <f t="shared" si="1"/>
        <v>5.9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>
      <c r="A49" s="50">
        <v>95</v>
      </c>
      <c r="B49" s="60">
        <v>300</v>
      </c>
      <c r="C49" s="60">
        <v>8</v>
      </c>
      <c r="D49" s="60">
        <v>42</v>
      </c>
      <c r="E49" s="51"/>
      <c r="F49" s="51"/>
      <c r="G49" s="51"/>
      <c r="H49" s="51"/>
      <c r="I49" s="49">
        <f t="shared" si="1"/>
        <v>5.2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>
      <c r="A50" s="50">
        <v>105</v>
      </c>
      <c r="B50" s="50">
        <v>305</v>
      </c>
      <c r="C50" s="50">
        <v>9</v>
      </c>
      <c r="D50" s="50">
        <v>41</v>
      </c>
      <c r="E50" s="51"/>
      <c r="F50" s="51"/>
      <c r="G50" s="51"/>
      <c r="H50" s="51"/>
      <c r="I50" s="49">
        <f t="shared" si="1"/>
        <v>4.7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>
      <c r="A51" s="50">
        <v>115</v>
      </c>
      <c r="B51" s="50">
        <v>304</v>
      </c>
      <c r="C51" s="50">
        <v>10</v>
      </c>
      <c r="D51" s="50">
        <v>37</v>
      </c>
      <c r="E51" s="51"/>
      <c r="F51" s="51"/>
      <c r="G51" s="51"/>
      <c r="H51" s="51"/>
      <c r="I51" s="49">
        <f t="shared" si="1"/>
        <v>4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>
      <c r="A52" s="50">
        <v>125</v>
      </c>
      <c r="B52" s="50">
        <v>301</v>
      </c>
      <c r="C52" s="50">
        <v>11</v>
      </c>
      <c r="D52" s="50">
        <v>33</v>
      </c>
      <c r="E52" s="51"/>
      <c r="F52" s="51"/>
      <c r="G52" s="51"/>
      <c r="H52" s="51"/>
      <c r="I52" s="49">
        <f t="shared" si="1"/>
        <v>3.4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>
      <c r="A53" s="50">
        <v>135</v>
      </c>
      <c r="B53" s="50">
        <v>298</v>
      </c>
      <c r="C53" s="50">
        <v>12</v>
      </c>
      <c r="D53" s="50">
        <v>29</v>
      </c>
      <c r="E53" s="51"/>
      <c r="F53" s="51"/>
      <c r="G53" s="51"/>
      <c r="H53" s="51"/>
      <c r="I53" s="49">
        <f t="shared" si="1"/>
        <v>3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>
      <c r="A54" s="50">
        <v>145</v>
      </c>
      <c r="B54" s="50">
        <v>295</v>
      </c>
      <c r="C54" s="50">
        <v>13</v>
      </c>
      <c r="D54" s="50">
        <v>26</v>
      </c>
      <c r="E54" s="51"/>
      <c r="F54" s="51"/>
      <c r="G54" s="51"/>
      <c r="H54" s="51"/>
      <c r="I54" s="49">
        <f t="shared" si="1"/>
        <v>2.6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>
      <c r="A55" s="50">
        <v>150</v>
      </c>
      <c r="B55" s="50">
        <v>292</v>
      </c>
      <c r="C55" s="50">
        <v>14</v>
      </c>
      <c r="D55" s="50">
        <v>292</v>
      </c>
      <c r="E55" s="51"/>
      <c r="F55" s="51"/>
      <c r="G55" s="51"/>
      <c r="H55" s="51"/>
      <c r="I55" s="49">
        <f t="shared" si="1"/>
        <v>4.5999999999999996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>
      <c r="A58" s="46" t="s">
        <v>18</v>
      </c>
      <c r="B58" s="52" t="str">
        <f>IF(B10="","",B10)</f>
        <v>Chêne pubescent</v>
      </c>
      <c r="D58" s="229" t="s">
        <v>44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>
      <c r="A60" s="4"/>
      <c r="B60" s="85" t="s">
        <v>45</v>
      </c>
      <c r="C60" s="259" t="s">
        <v>46</v>
      </c>
      <c r="D60" s="259"/>
      <c r="E60" s="260" t="s">
        <v>47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>
      <c r="A61" s="36" t="s">
        <v>48</v>
      </c>
      <c r="B61" s="36" t="s">
        <v>49</v>
      </c>
      <c r="C61" s="48" t="s">
        <v>50</v>
      </c>
      <c r="D61" s="48" t="s">
        <v>51</v>
      </c>
      <c r="E61" s="36" t="s">
        <v>52</v>
      </c>
      <c r="F61" s="36" t="s">
        <v>53</v>
      </c>
      <c r="G61" s="36" t="s">
        <v>54</v>
      </c>
      <c r="H61" s="36" t="s">
        <v>55</v>
      </c>
      <c r="I61" s="48" t="s">
        <v>56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>
      <c r="A62" s="50">
        <v>20</v>
      </c>
      <c r="B62" s="60">
        <v>42</v>
      </c>
      <c r="C62" s="60"/>
      <c r="D62" s="60"/>
      <c r="E62" s="51"/>
      <c r="F62" s="51"/>
      <c r="G62" s="51"/>
      <c r="H62" s="51"/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>
      <c r="A63" s="50">
        <v>25</v>
      </c>
      <c r="B63" s="60">
        <v>71</v>
      </c>
      <c r="C63" s="60">
        <v>1</v>
      </c>
      <c r="D63" s="60">
        <v>8</v>
      </c>
      <c r="E63" s="51"/>
      <c r="F63" s="51"/>
      <c r="G63" s="51"/>
      <c r="H63" s="51">
        <v>1</v>
      </c>
      <c r="I63" s="49">
        <f>IF(A63&lt;&gt;0,(B63-(B62-D62))/(A63-A62),"")</f>
        <v>5.8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>
      <c r="A64" s="50">
        <v>30</v>
      </c>
      <c r="B64" s="60">
        <v>97</v>
      </c>
      <c r="C64" s="60"/>
      <c r="D64" s="60"/>
      <c r="E64" s="51"/>
      <c r="F64" s="51"/>
      <c r="G64" s="51"/>
      <c r="H64" s="51"/>
      <c r="I64" s="49">
        <f>IF(A64&lt;&gt;0,(B64-(B63-D63))/(A64-A63),"")</f>
        <v>6.8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>
      <c r="A65" s="50">
        <v>35</v>
      </c>
      <c r="B65" s="60">
        <v>137</v>
      </c>
      <c r="C65" s="60">
        <v>2</v>
      </c>
      <c r="D65" s="60">
        <v>42</v>
      </c>
      <c r="E65" s="51"/>
      <c r="F65" s="51"/>
      <c r="G65" s="51"/>
      <c r="H65" s="51"/>
      <c r="I65" s="49">
        <f>IF(A65&lt;&gt;0,(B65-(B64-D64))/(A65-A64),"")</f>
        <v>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>
      <c r="A66" s="50">
        <v>40</v>
      </c>
      <c r="B66" s="60">
        <v>137</v>
      </c>
      <c r="C66" s="60"/>
      <c r="D66" s="60"/>
      <c r="E66" s="51"/>
      <c r="F66" s="51"/>
      <c r="G66" s="51"/>
      <c r="H66" s="51"/>
      <c r="I66" s="49">
        <f t="shared" ref="I66:I81" si="2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>
      <c r="A67" s="50">
        <v>45</v>
      </c>
      <c r="B67" s="60">
        <v>179</v>
      </c>
      <c r="C67" s="60">
        <v>3</v>
      </c>
      <c r="D67" s="60">
        <v>42</v>
      </c>
      <c r="E67" s="51"/>
      <c r="F67" s="51"/>
      <c r="G67" s="51"/>
      <c r="H67" s="51"/>
      <c r="I67" s="49">
        <f t="shared" si="2"/>
        <v>8.4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>
      <c r="A68" s="50">
        <v>50</v>
      </c>
      <c r="B68" s="60">
        <v>178</v>
      </c>
      <c r="C68" s="60"/>
      <c r="D68" s="60"/>
      <c r="E68" s="51"/>
      <c r="F68" s="51"/>
      <c r="G68" s="51"/>
      <c r="H68" s="51"/>
      <c r="I68" s="49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>
      <c r="A69" s="50">
        <v>55</v>
      </c>
      <c r="B69" s="50">
        <v>218</v>
      </c>
      <c r="C69" s="50">
        <v>4</v>
      </c>
      <c r="D69" s="50">
        <v>42</v>
      </c>
      <c r="E69" s="51"/>
      <c r="F69" s="51"/>
      <c r="G69" s="51"/>
      <c r="H69" s="51"/>
      <c r="I69" s="49">
        <f t="shared" si="2"/>
        <v>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>
      <c r="A70" s="50">
        <v>60</v>
      </c>
      <c r="B70" s="50">
        <v>214</v>
      </c>
      <c r="C70" s="50"/>
      <c r="D70" s="50"/>
      <c r="E70" s="51"/>
      <c r="F70" s="51"/>
      <c r="G70" s="51"/>
      <c r="H70" s="51"/>
      <c r="I70" s="49">
        <f t="shared" si="2"/>
        <v>7.6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>
      <c r="A71" s="50">
        <v>65</v>
      </c>
      <c r="B71" s="50">
        <v>250</v>
      </c>
      <c r="C71" s="50">
        <v>5</v>
      </c>
      <c r="D71" s="50">
        <v>42</v>
      </c>
      <c r="E71" s="51"/>
      <c r="F71" s="51"/>
      <c r="G71" s="51"/>
      <c r="H71" s="51"/>
      <c r="I71" s="49">
        <f t="shared" si="2"/>
        <v>7.2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>
      <c r="A72" s="50">
        <v>70</v>
      </c>
      <c r="B72" s="50">
        <v>242</v>
      </c>
      <c r="C72" s="50"/>
      <c r="D72" s="50"/>
      <c r="E72" s="51"/>
      <c r="F72" s="51"/>
      <c r="G72" s="51"/>
      <c r="H72" s="51"/>
      <c r="I72" s="49">
        <f t="shared" si="2"/>
        <v>6.8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>
      <c r="A73" s="50">
        <v>75</v>
      </c>
      <c r="B73" s="50">
        <v>273</v>
      </c>
      <c r="C73" s="50">
        <v>6</v>
      </c>
      <c r="D73" s="50">
        <v>42</v>
      </c>
      <c r="E73" s="51"/>
      <c r="F73" s="51"/>
      <c r="G73" s="51"/>
      <c r="H73" s="51"/>
      <c r="I73" s="49">
        <f t="shared" si="2"/>
        <v>6.2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>
      <c r="A74" s="50">
        <v>85</v>
      </c>
      <c r="B74" s="50">
        <v>290</v>
      </c>
      <c r="C74" s="50">
        <v>7</v>
      </c>
      <c r="D74" s="50">
        <v>42</v>
      </c>
      <c r="E74" s="51"/>
      <c r="F74" s="51"/>
      <c r="G74" s="51"/>
      <c r="H74" s="51"/>
      <c r="I74" s="49">
        <f t="shared" si="2"/>
        <v>5.9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>
      <c r="A75" s="50">
        <v>95</v>
      </c>
      <c r="B75" s="50">
        <v>300</v>
      </c>
      <c r="C75" s="50">
        <v>8</v>
      </c>
      <c r="D75" s="50">
        <v>42</v>
      </c>
      <c r="E75" s="51"/>
      <c r="F75" s="51"/>
      <c r="G75" s="51"/>
      <c r="H75" s="51"/>
      <c r="I75" s="49">
        <f t="shared" si="2"/>
        <v>5.2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>
      <c r="A76" s="50">
        <v>105</v>
      </c>
      <c r="B76" s="50">
        <v>305</v>
      </c>
      <c r="C76" s="50">
        <v>9</v>
      </c>
      <c r="D76" s="50">
        <v>41</v>
      </c>
      <c r="E76" s="51"/>
      <c r="F76" s="51"/>
      <c r="G76" s="51"/>
      <c r="H76" s="51"/>
      <c r="I76" s="49">
        <f t="shared" si="2"/>
        <v>4.7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>
      <c r="A77" s="50">
        <v>115</v>
      </c>
      <c r="B77" s="50">
        <v>304</v>
      </c>
      <c r="C77" s="50">
        <v>10</v>
      </c>
      <c r="D77" s="50">
        <v>37</v>
      </c>
      <c r="E77" s="51"/>
      <c r="F77" s="51"/>
      <c r="G77" s="51"/>
      <c r="H77" s="51"/>
      <c r="I77" s="49">
        <f t="shared" si="2"/>
        <v>4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>
      <c r="A78" s="50">
        <v>125</v>
      </c>
      <c r="B78" s="50">
        <v>301</v>
      </c>
      <c r="C78" s="50">
        <v>11</v>
      </c>
      <c r="D78" s="50">
        <v>33</v>
      </c>
      <c r="E78" s="51"/>
      <c r="F78" s="51"/>
      <c r="G78" s="51"/>
      <c r="H78" s="51"/>
      <c r="I78" s="49">
        <f t="shared" si="2"/>
        <v>3.4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>
      <c r="A79" s="50">
        <v>135</v>
      </c>
      <c r="B79" s="50">
        <v>298</v>
      </c>
      <c r="C79" s="50">
        <v>12</v>
      </c>
      <c r="D79" s="50">
        <v>29</v>
      </c>
      <c r="E79" s="51"/>
      <c r="F79" s="51"/>
      <c r="G79" s="51"/>
      <c r="H79" s="51"/>
      <c r="I79" s="49">
        <f t="shared" si="2"/>
        <v>3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>
      <c r="A80" s="50">
        <v>145</v>
      </c>
      <c r="B80" s="50">
        <v>295</v>
      </c>
      <c r="C80" s="50">
        <v>13</v>
      </c>
      <c r="D80" s="50">
        <v>26</v>
      </c>
      <c r="E80" s="51"/>
      <c r="F80" s="51"/>
      <c r="G80" s="51"/>
      <c r="H80" s="51"/>
      <c r="I80" s="49">
        <f t="shared" si="2"/>
        <v>2.6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>
      <c r="A81" s="50">
        <v>150</v>
      </c>
      <c r="B81" s="50">
        <v>292</v>
      </c>
      <c r="C81" s="50">
        <v>14</v>
      </c>
      <c r="D81" s="50">
        <v>292</v>
      </c>
      <c r="E81" s="51"/>
      <c r="F81" s="51"/>
      <c r="G81" s="51"/>
      <c r="H81" s="51"/>
      <c r="I81" s="49">
        <f t="shared" si="2"/>
        <v>4.5999999999999996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>
      <c r="A84" s="46" t="s">
        <v>20</v>
      </c>
      <c r="B84" s="52" t="str">
        <f>IF(B11="","",B11)</f>
        <v>Chêne chevelu</v>
      </c>
      <c r="D84" s="229" t="s">
        <v>44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>
      <c r="A86" s="4"/>
      <c r="B86" s="85" t="s">
        <v>45</v>
      </c>
      <c r="C86" s="259" t="s">
        <v>46</v>
      </c>
      <c r="D86" s="259"/>
      <c r="E86" s="260" t="s">
        <v>47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>
      <c r="A87" s="36" t="s">
        <v>48</v>
      </c>
      <c r="B87" s="36" t="s">
        <v>49</v>
      </c>
      <c r="C87" s="48" t="s">
        <v>50</v>
      </c>
      <c r="D87" s="48" t="s">
        <v>51</v>
      </c>
      <c r="E87" s="36" t="s">
        <v>52</v>
      </c>
      <c r="F87" s="36" t="s">
        <v>53</v>
      </c>
      <c r="G87" s="36" t="s">
        <v>54</v>
      </c>
      <c r="H87" s="36" t="s">
        <v>55</v>
      </c>
      <c r="I87" s="48" t="s">
        <v>56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>
      <c r="A88" s="50">
        <v>20</v>
      </c>
      <c r="B88" s="60">
        <v>42</v>
      </c>
      <c r="C88" s="60"/>
      <c r="D88" s="60"/>
      <c r="E88" s="51"/>
      <c r="F88" s="51"/>
      <c r="G88" s="51"/>
      <c r="H88" s="87"/>
      <c r="I88" s="53">
        <f>IFERROR(B88/A88,"")</f>
        <v>2.1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>
      <c r="A89" s="50">
        <v>25</v>
      </c>
      <c r="B89" s="60">
        <v>71</v>
      </c>
      <c r="C89" s="60">
        <v>1</v>
      </c>
      <c r="D89" s="60">
        <v>8</v>
      </c>
      <c r="E89" s="51"/>
      <c r="F89" s="51"/>
      <c r="G89" s="51"/>
      <c r="H89" s="87">
        <v>1</v>
      </c>
      <c r="I89" s="53">
        <f t="shared" ref="I89:I107" si="3">IF(A89&lt;&gt;0,(B89-(B88-D88))/(A89-A88),"")</f>
        <v>5.8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>
      <c r="A90" s="50">
        <v>30</v>
      </c>
      <c r="B90" s="60">
        <v>97</v>
      </c>
      <c r="C90" s="60"/>
      <c r="D90" s="60"/>
      <c r="E90" s="87"/>
      <c r="F90" s="87"/>
      <c r="G90" s="87"/>
      <c r="H90" s="87"/>
      <c r="I90" s="53">
        <f t="shared" si="3"/>
        <v>6.8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>
      <c r="A91" s="50">
        <v>35</v>
      </c>
      <c r="B91" s="60">
        <v>137</v>
      </c>
      <c r="C91" s="60">
        <v>2</v>
      </c>
      <c r="D91" s="60">
        <v>42</v>
      </c>
      <c r="E91" s="87"/>
      <c r="F91" s="87"/>
      <c r="G91" s="87"/>
      <c r="H91" s="87"/>
      <c r="I91" s="53">
        <f t="shared" si="3"/>
        <v>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>
      <c r="A92" s="50">
        <v>40</v>
      </c>
      <c r="B92" s="60">
        <v>137</v>
      </c>
      <c r="C92" s="60"/>
      <c r="D92" s="60"/>
      <c r="E92" s="87"/>
      <c r="F92" s="87"/>
      <c r="G92" s="87"/>
      <c r="H92" s="87"/>
      <c r="I92" s="53">
        <f t="shared" si="3"/>
        <v>8.4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>
      <c r="A93" s="50">
        <v>45</v>
      </c>
      <c r="B93" s="60">
        <v>179</v>
      </c>
      <c r="C93" s="60">
        <v>3</v>
      </c>
      <c r="D93" s="60">
        <v>42</v>
      </c>
      <c r="E93" s="87"/>
      <c r="F93" s="87"/>
      <c r="G93" s="87"/>
      <c r="H93" s="87"/>
      <c r="I93" s="53">
        <f t="shared" si="3"/>
        <v>8.4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>
      <c r="A94" s="50">
        <v>50</v>
      </c>
      <c r="B94" s="60">
        <v>178</v>
      </c>
      <c r="C94" s="60"/>
      <c r="D94" s="60"/>
      <c r="E94" s="87"/>
      <c r="F94" s="87"/>
      <c r="G94" s="87"/>
      <c r="H94" s="87"/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>
      <c r="A95" s="60">
        <v>55</v>
      </c>
      <c r="B95" s="60">
        <v>218</v>
      </c>
      <c r="C95" s="60">
        <v>4</v>
      </c>
      <c r="D95" s="60">
        <v>42</v>
      </c>
      <c r="E95" s="87"/>
      <c r="F95" s="87"/>
      <c r="G95" s="87"/>
      <c r="H95" s="87"/>
      <c r="I95" s="53">
        <f t="shared" si="3"/>
        <v>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>
      <c r="A96" s="60">
        <v>60</v>
      </c>
      <c r="B96" s="60">
        <v>214</v>
      </c>
      <c r="C96" s="60"/>
      <c r="D96" s="60"/>
      <c r="E96" s="87"/>
      <c r="F96" s="87"/>
      <c r="G96" s="87"/>
      <c r="H96" s="87"/>
      <c r="I96" s="53">
        <f t="shared" si="3"/>
        <v>7.6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>
      <c r="A97" s="60">
        <v>65</v>
      </c>
      <c r="B97" s="60">
        <v>250</v>
      </c>
      <c r="C97" s="60">
        <v>5</v>
      </c>
      <c r="D97" s="60">
        <v>42</v>
      </c>
      <c r="E97" s="87"/>
      <c r="F97" s="87"/>
      <c r="G97" s="87"/>
      <c r="H97" s="87"/>
      <c r="I97" s="53">
        <f t="shared" si="3"/>
        <v>7.2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>
      <c r="A98" s="60">
        <v>70</v>
      </c>
      <c r="B98" s="60">
        <v>242</v>
      </c>
      <c r="C98" s="60"/>
      <c r="D98" s="60"/>
      <c r="E98" s="87"/>
      <c r="F98" s="87"/>
      <c r="G98" s="87"/>
      <c r="H98" s="87"/>
      <c r="I98" s="53">
        <f t="shared" si="3"/>
        <v>6.8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>
      <c r="A99" s="60">
        <v>75</v>
      </c>
      <c r="B99" s="60">
        <v>273</v>
      </c>
      <c r="C99" s="60">
        <v>6</v>
      </c>
      <c r="D99" s="60">
        <v>42</v>
      </c>
      <c r="E99" s="87"/>
      <c r="F99" s="87"/>
      <c r="G99" s="87"/>
      <c r="H99" s="87"/>
      <c r="I99" s="53">
        <f t="shared" si="3"/>
        <v>6.2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>
      <c r="A100" s="60">
        <v>85</v>
      </c>
      <c r="B100" s="60">
        <v>290</v>
      </c>
      <c r="C100" s="60">
        <v>7</v>
      </c>
      <c r="D100" s="60">
        <v>42</v>
      </c>
      <c r="E100" s="65"/>
      <c r="F100" s="65"/>
      <c r="G100" s="65"/>
      <c r="H100" s="65"/>
      <c r="I100" s="53">
        <f t="shared" si="3"/>
        <v>5.9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>
      <c r="A101" s="60">
        <v>95</v>
      </c>
      <c r="B101" s="60">
        <v>300</v>
      </c>
      <c r="C101" s="60">
        <v>8</v>
      </c>
      <c r="D101" s="60">
        <v>42</v>
      </c>
      <c r="E101" s="65"/>
      <c r="F101" s="65"/>
      <c r="G101" s="65"/>
      <c r="H101" s="65"/>
      <c r="I101" s="53">
        <f t="shared" si="3"/>
        <v>5.2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>
      <c r="A102" s="60">
        <v>105</v>
      </c>
      <c r="B102" s="50">
        <v>305</v>
      </c>
      <c r="C102" s="60">
        <v>9</v>
      </c>
      <c r="D102" s="50">
        <v>41</v>
      </c>
      <c r="E102" s="54"/>
      <c r="F102" s="54"/>
      <c r="G102" s="54"/>
      <c r="H102" s="54"/>
      <c r="I102" s="53">
        <f t="shared" si="3"/>
        <v>4.7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>
      <c r="A103" s="60">
        <v>115</v>
      </c>
      <c r="B103" s="50">
        <v>304</v>
      </c>
      <c r="C103" s="60">
        <v>10</v>
      </c>
      <c r="D103" s="50">
        <v>37</v>
      </c>
      <c r="E103" s="54"/>
      <c r="F103" s="54"/>
      <c r="G103" s="54"/>
      <c r="H103" s="54"/>
      <c r="I103" s="53">
        <f t="shared" si="3"/>
        <v>4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>
      <c r="A104" s="60">
        <v>125</v>
      </c>
      <c r="B104" s="50">
        <v>301</v>
      </c>
      <c r="C104" s="60">
        <v>11</v>
      </c>
      <c r="D104" s="50">
        <v>33</v>
      </c>
      <c r="E104" s="54"/>
      <c r="F104" s="54"/>
      <c r="G104" s="54"/>
      <c r="H104" s="54"/>
      <c r="I104" s="53">
        <f t="shared" si="3"/>
        <v>3.4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>
      <c r="A105" s="50">
        <v>135</v>
      </c>
      <c r="B105" s="50">
        <v>298</v>
      </c>
      <c r="C105" s="50">
        <v>12</v>
      </c>
      <c r="D105" s="50">
        <v>29</v>
      </c>
      <c r="E105" s="54"/>
      <c r="F105" s="54"/>
      <c r="G105" s="54"/>
      <c r="H105" s="54"/>
      <c r="I105" s="53">
        <f t="shared" si="3"/>
        <v>3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>
      <c r="A106" s="50">
        <v>145</v>
      </c>
      <c r="B106" s="50">
        <v>295</v>
      </c>
      <c r="C106" s="50">
        <v>13</v>
      </c>
      <c r="D106" s="50">
        <v>26</v>
      </c>
      <c r="E106" s="54"/>
      <c r="F106" s="54"/>
      <c r="G106" s="54"/>
      <c r="H106" s="54"/>
      <c r="I106" s="53">
        <f t="shared" si="3"/>
        <v>2.6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>
      <c r="A107" s="50">
        <v>150</v>
      </c>
      <c r="B107" s="50">
        <v>292</v>
      </c>
      <c r="C107" s="50">
        <v>14</v>
      </c>
      <c r="D107" s="50">
        <v>292</v>
      </c>
      <c r="E107" s="54"/>
      <c r="F107" s="54"/>
      <c r="G107" s="54"/>
      <c r="H107" s="54"/>
      <c r="I107" s="53">
        <f t="shared" si="3"/>
        <v>4.5999999999999996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>
      <c r="A110" s="46" t="s">
        <v>22</v>
      </c>
      <c r="B110" s="52" t="str">
        <f>IF(B12="","",B12)</f>
        <v>Cormier</v>
      </c>
      <c r="D110" s="229" t="s">
        <v>44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>
      <c r="A112" s="4"/>
      <c r="B112" s="85" t="s">
        <v>45</v>
      </c>
      <c r="C112" s="259" t="s">
        <v>46</v>
      </c>
      <c r="D112" s="259"/>
      <c r="E112" s="260" t="s">
        <v>47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>
      <c r="A113" s="36" t="s">
        <v>48</v>
      </c>
      <c r="B113" s="36" t="s">
        <v>49</v>
      </c>
      <c r="C113" s="48" t="s">
        <v>50</v>
      </c>
      <c r="D113" s="48" t="s">
        <v>51</v>
      </c>
      <c r="E113" s="36" t="s">
        <v>52</v>
      </c>
      <c r="F113" s="36" t="s">
        <v>53</v>
      </c>
      <c r="G113" s="36" t="s">
        <v>54</v>
      </c>
      <c r="H113" s="36" t="s">
        <v>55</v>
      </c>
      <c r="I113" s="48" t="s">
        <v>56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>
      <c r="A114" s="50">
        <v>20</v>
      </c>
      <c r="B114" s="60">
        <v>42</v>
      </c>
      <c r="C114" s="50"/>
      <c r="D114" s="60"/>
      <c r="E114" s="51"/>
      <c r="F114" s="51"/>
      <c r="G114" s="51"/>
      <c r="H114" s="51"/>
      <c r="I114" s="53">
        <f>IFERROR(B114/A114,"")</f>
        <v>2.1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>
      <c r="A115" s="50">
        <v>25</v>
      </c>
      <c r="B115" s="60">
        <v>71</v>
      </c>
      <c r="C115" s="50">
        <v>1</v>
      </c>
      <c r="D115" s="60">
        <v>8</v>
      </c>
      <c r="E115" s="51"/>
      <c r="F115" s="51"/>
      <c r="G115" s="51"/>
      <c r="H115" s="51">
        <v>1</v>
      </c>
      <c r="I115" s="53">
        <f t="shared" ref="I115:I133" si="4">IF(A115&lt;&gt;0,(B115-(B114-D114))/(A115-A114),"")</f>
        <v>5.8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>
      <c r="A116" s="50">
        <v>30</v>
      </c>
      <c r="B116" s="60">
        <v>97</v>
      </c>
      <c r="C116" s="50"/>
      <c r="D116" s="60"/>
      <c r="E116" s="51"/>
      <c r="F116" s="51"/>
      <c r="G116" s="51"/>
      <c r="H116" s="51"/>
      <c r="I116" s="53">
        <f t="shared" si="4"/>
        <v>6.8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>
      <c r="A117" s="50">
        <v>35</v>
      </c>
      <c r="B117" s="60">
        <v>137</v>
      </c>
      <c r="C117" s="50">
        <v>2</v>
      </c>
      <c r="D117" s="60">
        <v>42</v>
      </c>
      <c r="E117" s="51"/>
      <c r="F117" s="51"/>
      <c r="G117" s="51"/>
      <c r="H117" s="51"/>
      <c r="I117" s="53">
        <f t="shared" si="4"/>
        <v>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>
      <c r="A118" s="50">
        <v>40</v>
      </c>
      <c r="B118" s="60">
        <v>137</v>
      </c>
      <c r="C118" s="50"/>
      <c r="D118" s="60"/>
      <c r="E118" s="51"/>
      <c r="F118" s="51"/>
      <c r="G118" s="51"/>
      <c r="H118" s="51"/>
      <c r="I118" s="53">
        <f t="shared" si="4"/>
        <v>8.4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>
      <c r="A119" s="50">
        <v>45</v>
      </c>
      <c r="B119" s="60">
        <v>179</v>
      </c>
      <c r="C119" s="50">
        <v>3</v>
      </c>
      <c r="D119" s="60">
        <v>42</v>
      </c>
      <c r="E119" s="51"/>
      <c r="F119" s="51"/>
      <c r="G119" s="51"/>
      <c r="H119" s="51"/>
      <c r="I119" s="53">
        <f t="shared" si="4"/>
        <v>8.4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>
      <c r="A120" s="60">
        <v>50</v>
      </c>
      <c r="B120" s="60">
        <v>178</v>
      </c>
      <c r="C120" s="60"/>
      <c r="D120" s="60"/>
      <c r="E120" s="87"/>
      <c r="F120" s="87"/>
      <c r="G120" s="87"/>
      <c r="H120" s="87"/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>
      <c r="A121" s="60">
        <v>55</v>
      </c>
      <c r="B121" s="60">
        <v>218</v>
      </c>
      <c r="C121" s="60">
        <v>4</v>
      </c>
      <c r="D121" s="60">
        <v>42</v>
      </c>
      <c r="E121" s="87"/>
      <c r="F121" s="87"/>
      <c r="G121" s="87"/>
      <c r="H121" s="87"/>
      <c r="I121" s="53">
        <f t="shared" si="4"/>
        <v>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>
      <c r="A122" s="60">
        <v>60</v>
      </c>
      <c r="B122" s="60">
        <v>214</v>
      </c>
      <c r="C122" s="60"/>
      <c r="D122" s="60"/>
      <c r="E122" s="87"/>
      <c r="F122" s="87"/>
      <c r="G122" s="87"/>
      <c r="H122" s="87"/>
      <c r="I122" s="53">
        <f t="shared" si="4"/>
        <v>7.6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>
      <c r="A123" s="60">
        <v>65</v>
      </c>
      <c r="B123" s="60">
        <v>250</v>
      </c>
      <c r="C123" s="60">
        <v>5</v>
      </c>
      <c r="D123" s="60">
        <v>42</v>
      </c>
      <c r="E123" s="87"/>
      <c r="F123" s="87"/>
      <c r="G123" s="87"/>
      <c r="H123" s="87"/>
      <c r="I123" s="53">
        <f t="shared" si="4"/>
        <v>7.2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>
      <c r="A124" s="60">
        <v>70</v>
      </c>
      <c r="B124" s="60">
        <v>242</v>
      </c>
      <c r="C124" s="60"/>
      <c r="D124" s="60"/>
      <c r="E124" s="87"/>
      <c r="F124" s="87"/>
      <c r="G124" s="87"/>
      <c r="H124" s="87"/>
      <c r="I124" s="53">
        <f t="shared" si="4"/>
        <v>6.8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>
      <c r="A125" s="60">
        <v>75</v>
      </c>
      <c r="B125" s="60">
        <v>273</v>
      </c>
      <c r="C125" s="60">
        <v>6</v>
      </c>
      <c r="D125" s="60">
        <v>42</v>
      </c>
      <c r="E125" s="87"/>
      <c r="F125" s="87"/>
      <c r="G125" s="87"/>
      <c r="H125" s="87"/>
      <c r="I125" s="53">
        <f t="shared" si="4"/>
        <v>6.2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>
      <c r="A126" s="60">
        <v>85</v>
      </c>
      <c r="B126" s="60">
        <v>290</v>
      </c>
      <c r="C126" s="60">
        <v>7</v>
      </c>
      <c r="D126" s="60">
        <v>42</v>
      </c>
      <c r="E126" s="65"/>
      <c r="F126" s="65"/>
      <c r="G126" s="65"/>
      <c r="H126" s="65"/>
      <c r="I126" s="53">
        <f t="shared" si="4"/>
        <v>5.9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>
      <c r="A127" s="60">
        <v>95</v>
      </c>
      <c r="B127" s="60">
        <v>300</v>
      </c>
      <c r="C127" s="60">
        <v>8</v>
      </c>
      <c r="D127" s="60">
        <v>42</v>
      </c>
      <c r="E127" s="65"/>
      <c r="F127" s="65"/>
      <c r="G127" s="65"/>
      <c r="H127" s="65"/>
      <c r="I127" s="53">
        <f t="shared" si="4"/>
        <v>5.2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>
      <c r="A128" s="50">
        <v>105</v>
      </c>
      <c r="B128" s="50">
        <v>305</v>
      </c>
      <c r="C128" s="50">
        <v>9</v>
      </c>
      <c r="D128" s="50">
        <v>41</v>
      </c>
      <c r="E128" s="54"/>
      <c r="F128" s="54"/>
      <c r="G128" s="54"/>
      <c r="H128" s="54"/>
      <c r="I128" s="53">
        <f t="shared" si="4"/>
        <v>4.7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>
      <c r="A129" s="50">
        <v>115</v>
      </c>
      <c r="B129" s="50">
        <v>304</v>
      </c>
      <c r="C129" s="50">
        <v>10</v>
      </c>
      <c r="D129" s="50">
        <v>37</v>
      </c>
      <c r="E129" s="54"/>
      <c r="F129" s="54"/>
      <c r="G129" s="54"/>
      <c r="H129" s="54"/>
      <c r="I129" s="53">
        <f t="shared" si="4"/>
        <v>4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>
      <c r="A130" s="50">
        <v>125</v>
      </c>
      <c r="B130" s="50">
        <v>301</v>
      </c>
      <c r="C130" s="50">
        <v>11</v>
      </c>
      <c r="D130" s="50">
        <v>33</v>
      </c>
      <c r="E130" s="54"/>
      <c r="F130" s="54"/>
      <c r="G130" s="54"/>
      <c r="H130" s="54"/>
      <c r="I130" s="53">
        <f t="shared" si="4"/>
        <v>3.4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>
      <c r="A131" s="50">
        <v>135</v>
      </c>
      <c r="B131" s="50">
        <v>298</v>
      </c>
      <c r="C131" s="50">
        <v>12</v>
      </c>
      <c r="D131" s="50">
        <v>29</v>
      </c>
      <c r="E131" s="54"/>
      <c r="F131" s="54"/>
      <c r="G131" s="54"/>
      <c r="H131" s="54"/>
      <c r="I131" s="53">
        <f t="shared" si="4"/>
        <v>3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>
      <c r="A132" s="50">
        <v>145</v>
      </c>
      <c r="B132" s="50">
        <v>295</v>
      </c>
      <c r="C132" s="50">
        <v>13</v>
      </c>
      <c r="D132" s="50">
        <v>26</v>
      </c>
      <c r="E132" s="54"/>
      <c r="F132" s="54"/>
      <c r="G132" s="54"/>
      <c r="H132" s="54"/>
      <c r="I132" s="53">
        <f t="shared" si="4"/>
        <v>2.6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>
      <c r="A133" s="50">
        <v>150</v>
      </c>
      <c r="B133" s="50">
        <v>292</v>
      </c>
      <c r="C133" s="50">
        <v>14</v>
      </c>
      <c r="D133" s="50">
        <v>292</v>
      </c>
      <c r="E133" s="54"/>
      <c r="F133" s="54"/>
      <c r="G133" s="54"/>
      <c r="H133" s="54"/>
      <c r="I133" s="53">
        <f t="shared" si="4"/>
        <v>4.5999999999999996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>
      <c r="A136" s="46" t="s">
        <v>24</v>
      </c>
      <c r="B136" s="52" t="str">
        <f>IF(B13="","",B13)</f>
        <v/>
      </c>
      <c r="D136" s="229" t="s">
        <v>44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>
      <c r="A138" s="4"/>
      <c r="B138" s="85" t="s">
        <v>45</v>
      </c>
      <c r="C138" s="259" t="s">
        <v>46</v>
      </c>
      <c r="D138" s="259"/>
      <c r="E138" s="260" t="s">
        <v>47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>
      <c r="A139" s="36" t="s">
        <v>48</v>
      </c>
      <c r="B139" s="36" t="s">
        <v>49</v>
      </c>
      <c r="C139" s="48" t="s">
        <v>50</v>
      </c>
      <c r="D139" s="48" t="s">
        <v>51</v>
      </c>
      <c r="E139" s="36" t="s">
        <v>52</v>
      </c>
      <c r="F139" s="36" t="s">
        <v>53</v>
      </c>
      <c r="G139" s="36" t="s">
        <v>54</v>
      </c>
      <c r="H139" s="36" t="s">
        <v>55</v>
      </c>
      <c r="I139" s="48" t="s">
        <v>56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>
      <c r="A162" s="46" t="s">
        <v>25</v>
      </c>
      <c r="B162" s="52" t="str">
        <f>IF(B14="","",B14)</f>
        <v/>
      </c>
      <c r="D162" s="229" t="s">
        <v>44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>
      <c r="A164" s="4"/>
      <c r="B164" s="85" t="s">
        <v>45</v>
      </c>
      <c r="C164" s="259" t="s">
        <v>46</v>
      </c>
      <c r="D164" s="259"/>
      <c r="E164" s="260" t="s">
        <v>47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>
      <c r="A165" s="36" t="s">
        <v>48</v>
      </c>
      <c r="B165" s="36" t="s">
        <v>49</v>
      </c>
      <c r="C165" s="48" t="s">
        <v>50</v>
      </c>
      <c r="D165" s="48" t="s">
        <v>51</v>
      </c>
      <c r="E165" s="36" t="s">
        <v>52</v>
      </c>
      <c r="F165" s="36" t="s">
        <v>53</v>
      </c>
      <c r="G165" s="36" t="s">
        <v>54</v>
      </c>
      <c r="H165" s="36" t="s">
        <v>55</v>
      </c>
      <c r="I165" s="48" t="s">
        <v>56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>
      <c r="A188" s="46" t="s">
        <v>26</v>
      </c>
      <c r="B188" s="52" t="str">
        <f>IF(B15="","",B15)</f>
        <v/>
      </c>
      <c r="D188" s="229" t="s">
        <v>44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>
      <c r="A190" s="4"/>
      <c r="B190" s="85" t="s">
        <v>45</v>
      </c>
      <c r="C190" s="259" t="s">
        <v>46</v>
      </c>
      <c r="D190" s="259"/>
      <c r="E190" s="260" t="s">
        <v>47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>
      <c r="A191" s="36" t="s">
        <v>48</v>
      </c>
      <c r="B191" s="36" t="s">
        <v>49</v>
      </c>
      <c r="C191" s="48" t="s">
        <v>50</v>
      </c>
      <c r="D191" s="48" t="s">
        <v>51</v>
      </c>
      <c r="E191" s="36" t="s">
        <v>52</v>
      </c>
      <c r="F191" s="36" t="s">
        <v>53</v>
      </c>
      <c r="G191" s="36" t="s">
        <v>54</v>
      </c>
      <c r="H191" s="36" t="s">
        <v>55</v>
      </c>
      <c r="I191" s="48" t="s">
        <v>56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>
      <c r="A214" s="46" t="s">
        <v>27</v>
      </c>
      <c r="B214" s="52" t="str">
        <f>IF(B16="","",B16)</f>
        <v/>
      </c>
      <c r="D214" s="229" t="s">
        <v>44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>
      <c r="A216" s="4"/>
      <c r="B216" s="85" t="s">
        <v>45</v>
      </c>
      <c r="C216" s="259" t="s">
        <v>46</v>
      </c>
      <c r="D216" s="259"/>
      <c r="E216" s="260" t="s">
        <v>47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>
      <c r="A217" s="36" t="s">
        <v>48</v>
      </c>
      <c r="B217" s="36" t="s">
        <v>49</v>
      </c>
      <c r="C217" s="48" t="s">
        <v>50</v>
      </c>
      <c r="D217" s="48" t="s">
        <v>51</v>
      </c>
      <c r="E217" s="36" t="s">
        <v>52</v>
      </c>
      <c r="F217" s="36" t="s">
        <v>53</v>
      </c>
      <c r="G217" s="36" t="s">
        <v>54</v>
      </c>
      <c r="H217" s="36" t="s">
        <v>55</v>
      </c>
      <c r="I217" s="48" t="s">
        <v>56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>
      <c r="A240" s="46" t="s">
        <v>28</v>
      </c>
      <c r="B240" s="52" t="str">
        <f>IF(B17="","",B17)</f>
        <v/>
      </c>
      <c r="D240" s="229" t="s">
        <v>44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>
      <c r="A242" s="4"/>
      <c r="B242" s="85" t="s">
        <v>45</v>
      </c>
      <c r="C242" s="259" t="s">
        <v>46</v>
      </c>
      <c r="D242" s="259"/>
      <c r="E242" s="260" t="s">
        <v>47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>
      <c r="A243" s="36" t="s">
        <v>48</v>
      </c>
      <c r="B243" s="36" t="s">
        <v>49</v>
      </c>
      <c r="C243" s="48" t="s">
        <v>50</v>
      </c>
      <c r="D243" s="48" t="s">
        <v>51</v>
      </c>
      <c r="E243" s="36" t="s">
        <v>52</v>
      </c>
      <c r="F243" s="36" t="s">
        <v>53</v>
      </c>
      <c r="G243" s="36" t="s">
        <v>54</v>
      </c>
      <c r="H243" s="36" t="s">
        <v>55</v>
      </c>
      <c r="I243" s="48" t="s">
        <v>56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>
      <c r="A266" s="46" t="s">
        <v>29</v>
      </c>
      <c r="B266" s="52" t="str">
        <f>IF(B18="","",B18)</f>
        <v/>
      </c>
      <c r="D266" s="229" t="s">
        <v>44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>
      <c r="A268" s="4"/>
      <c r="B268" s="85" t="s">
        <v>45</v>
      </c>
      <c r="C268" s="259" t="s">
        <v>46</v>
      </c>
      <c r="D268" s="259"/>
      <c r="E268" s="260" t="s">
        <v>47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>
      <c r="A269" s="36" t="s">
        <v>48</v>
      </c>
      <c r="B269" s="36" t="s">
        <v>49</v>
      </c>
      <c r="C269" s="48" t="s">
        <v>50</v>
      </c>
      <c r="D269" s="48" t="s">
        <v>51</v>
      </c>
      <c r="E269" s="36" t="s">
        <v>52</v>
      </c>
      <c r="F269" s="36" t="s">
        <v>53</v>
      </c>
      <c r="G269" s="36" t="s">
        <v>54</v>
      </c>
      <c r="H269" s="36" t="s">
        <v>55</v>
      </c>
      <c r="I269" s="48" t="s">
        <v>56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>
      <c r="A2" s="4"/>
      <c r="B2" s="272" t="s">
        <v>57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>
      <c r="A5" s="4"/>
      <c r="B5" s="98" t="s">
        <v>58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>
      <c r="A7" s="99"/>
      <c r="B7" s="26" t="s">
        <v>59</v>
      </c>
      <c r="C7" s="100" t="s">
        <v>60</v>
      </c>
      <c r="D7" s="215"/>
      <c r="E7" s="101"/>
      <c r="F7" s="26" t="s">
        <v>59</v>
      </c>
      <c r="G7" s="100" t="s">
        <v>61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>
      <c r="A8" s="105">
        <v>1</v>
      </c>
      <c r="B8" s="61">
        <v>0</v>
      </c>
      <c r="C8" s="49" t="s">
        <v>62</v>
      </c>
      <c r="D8" s="23"/>
      <c r="E8" s="105">
        <v>4</v>
      </c>
      <c r="F8" s="61">
        <v>0</v>
      </c>
      <c r="G8" s="102" t="s">
        <v>63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>
      <c r="A9" s="105">
        <v>2</v>
      </c>
      <c r="B9" s="61">
        <v>1</v>
      </c>
      <c r="C9" s="108" t="s">
        <v>64</v>
      </c>
      <c r="D9" s="23"/>
      <c r="E9" s="105">
        <v>5</v>
      </c>
      <c r="F9" s="61">
        <v>0</v>
      </c>
      <c r="G9" s="103" t="s">
        <v>65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>
      <c r="A10" s="105">
        <v>3</v>
      </c>
      <c r="B10" s="61">
        <v>0</v>
      </c>
      <c r="C10" s="109" t="s">
        <v>66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>
      <c r="A13" s="216"/>
      <c r="B13" s="107"/>
      <c r="C13" s="98" t="s">
        <v>67</v>
      </c>
      <c r="D13" s="216"/>
      <c r="E13" s="99"/>
      <c r="F13" s="107"/>
      <c r="G13" s="98" t="s">
        <v>68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>
      <c r="A14" s="216"/>
      <c r="B14" s="107"/>
      <c r="C14" s="98" t="s">
        <v>69</v>
      </c>
      <c r="D14" s="216"/>
      <c r="E14" s="99"/>
      <c r="F14" s="107"/>
      <c r="G14" s="98" t="s">
        <v>70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>
      <c r="A15" s="23"/>
      <c r="B15" s="26" t="s">
        <v>59</v>
      </c>
      <c r="C15" s="4"/>
      <c r="D15" s="23"/>
      <c r="E15" s="4"/>
      <c r="F15" s="4"/>
      <c r="G15" s="2" t="s">
        <v>71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>
      <c r="A16" s="23"/>
      <c r="B16" s="61">
        <v>0</v>
      </c>
      <c r="C16" s="110" t="s">
        <v>72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>
      <c r="A17" s="23"/>
      <c r="B17" s="61">
        <v>0</v>
      </c>
      <c r="C17" s="110" t="s">
        <v>73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>
      <c r="A18" s="23"/>
      <c r="B18" s="61">
        <v>0</v>
      </c>
      <c r="C18" s="110" t="s">
        <v>74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>
      <c r="C104" s="4"/>
      <c r="F104" s="4"/>
    </row>
    <row r="105" spans="3:35">
      <c r="C105" s="4"/>
      <c r="F105" s="4"/>
    </row>
    <row r="106" spans="3:35">
      <c r="C106" s="4"/>
      <c r="F106" s="4"/>
    </row>
    <row r="107" spans="3:35">
      <c r="C107" s="4"/>
      <c r="F107" s="4"/>
    </row>
    <row r="108" spans="3:35">
      <c r="C108" s="4"/>
      <c r="F108" s="4"/>
    </row>
    <row r="109" spans="3:35">
      <c r="C109" s="4"/>
      <c r="F109" s="4"/>
    </row>
    <row r="110" spans="3:35">
      <c r="C110" s="4"/>
      <c r="F110" s="4"/>
    </row>
    <row r="111" spans="3:35">
      <c r="C111" s="4"/>
      <c r="F111" s="4"/>
    </row>
    <row r="112" spans="3:35">
      <c r="C112" s="4"/>
      <c r="F112" s="4"/>
    </row>
    <row r="113" spans="3:6">
      <c r="C113" s="4"/>
      <c r="F113" s="4"/>
    </row>
    <row r="114" spans="3:6">
      <c r="C114" s="4"/>
      <c r="F114" s="4"/>
    </row>
    <row r="115" spans="3:6">
      <c r="C115" s="4"/>
      <c r="F115" s="4"/>
    </row>
    <row r="116" spans="3:6">
      <c r="C116" s="4"/>
      <c r="F116" s="4"/>
    </row>
    <row r="117" spans="3:6">
      <c r="C117" s="4"/>
      <c r="F117" s="4"/>
    </row>
    <row r="118" spans="3:6">
      <c r="C118" s="4"/>
      <c r="F118" s="4"/>
    </row>
    <row r="119" spans="3:6">
      <c r="C119" s="4"/>
      <c r="F119" s="4"/>
    </row>
    <row r="120" spans="3:6">
      <c r="C120" s="4"/>
      <c r="F120" s="4"/>
    </row>
    <row r="121" spans="3:6">
      <c r="C121" s="4"/>
      <c r="F121" s="4"/>
    </row>
    <row r="122" spans="3:6">
      <c r="C122" s="4"/>
      <c r="F122" s="4"/>
    </row>
    <row r="123" spans="3:6">
      <c r="C123" s="4"/>
      <c r="F123" s="4"/>
    </row>
    <row r="124" spans="3:6">
      <c r="C124" s="4"/>
      <c r="F124" s="4"/>
    </row>
    <row r="125" spans="3:6">
      <c r="C125" s="4"/>
      <c r="F125" s="4"/>
    </row>
    <row r="126" spans="3:6">
      <c r="C126" s="4"/>
      <c r="F126" s="4"/>
    </row>
    <row r="127" spans="3:6">
      <c r="C127" s="4"/>
      <c r="F127" s="4"/>
    </row>
    <row r="128" spans="3:6">
      <c r="C128" s="4"/>
      <c r="F128" s="4"/>
    </row>
    <row r="129" spans="3:6">
      <c r="C129" s="4"/>
      <c r="F129" s="4"/>
    </row>
    <row r="130" spans="3:6">
      <c r="C130" s="4"/>
      <c r="F130" s="4"/>
    </row>
    <row r="131" spans="3:6">
      <c r="C131" s="4"/>
      <c r="F131" s="4"/>
    </row>
    <row r="132" spans="3:6">
      <c r="F132" s="4"/>
    </row>
    <row r="133" spans="3:6">
      <c r="F133" s="4"/>
    </row>
    <row r="134" spans="3:6">
      <c r="F134" s="4"/>
    </row>
    <row r="135" spans="3:6">
      <c r="F135" s="4"/>
    </row>
    <row r="136" spans="3:6">
      <c r="F136" s="4"/>
    </row>
    <row r="137" spans="3:6">
      <c r="F137" s="4"/>
    </row>
    <row r="138" spans="3:6">
      <c r="F138" s="4"/>
    </row>
    <row r="139" spans="3:6">
      <c r="F139" s="4"/>
    </row>
    <row r="140" spans="3:6">
      <c r="F140" s="4"/>
    </row>
    <row r="141" spans="3:6">
      <c r="F141" s="4"/>
    </row>
    <row r="142" spans="3:6">
      <c r="F142" s="4"/>
    </row>
    <row r="143" spans="3:6">
      <c r="F143" s="4"/>
    </row>
    <row r="144" spans="3:6">
      <c r="F144" s="4"/>
    </row>
    <row r="145" spans="6:6">
      <c r="F145" s="4"/>
    </row>
    <row r="146" spans="6:6">
      <c r="F146" s="4"/>
    </row>
    <row r="147" spans="6:6">
      <c r="F147" s="4"/>
    </row>
    <row r="148" spans="6:6">
      <c r="F148" s="4"/>
    </row>
    <row r="149" spans="6:6">
      <c r="F149" s="4"/>
    </row>
    <row r="150" spans="6:6">
      <c r="F150" s="4"/>
    </row>
    <row r="151" spans="6:6">
      <c r="F151" s="4"/>
    </row>
    <row r="152" spans="6:6">
      <c r="F152" s="4"/>
    </row>
    <row r="153" spans="6:6">
      <c r="F153" s="4"/>
    </row>
    <row r="154" spans="6:6">
      <c r="F154" s="4"/>
    </row>
    <row r="155" spans="6:6">
      <c r="F155" s="4"/>
    </row>
    <row r="156" spans="6:6">
      <c r="F156" s="4"/>
    </row>
    <row r="157" spans="6:6">
      <c r="F157" s="4"/>
    </row>
    <row r="158" spans="6:6">
      <c r="F158" s="4"/>
    </row>
    <row r="159" spans="6:6">
      <c r="F159" s="4"/>
    </row>
    <row r="160" spans="6:6">
      <c r="F160" s="4"/>
    </row>
    <row r="161" spans="6:6">
      <c r="F161" s="4"/>
    </row>
    <row r="162" spans="6:6">
      <c r="F162" s="4"/>
    </row>
    <row r="163" spans="6:6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>
      <c r="B1" s="278" t="s">
        <v>75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chevelu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Cormier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>
      <c r="A2" s="71" t="s">
        <v>76</v>
      </c>
      <c r="B2" s="72" t="s">
        <v>77</v>
      </c>
      <c r="C2" s="5" t="s">
        <v>78</v>
      </c>
      <c r="D2" s="5" t="s">
        <v>79</v>
      </c>
      <c r="E2" s="5" t="s">
        <v>80</v>
      </c>
      <c r="F2" s="5" t="s">
        <v>81</v>
      </c>
      <c r="G2" s="5" t="s">
        <v>82</v>
      </c>
      <c r="H2" s="66" t="s">
        <v>83</v>
      </c>
      <c r="I2" s="68" t="s">
        <v>80</v>
      </c>
      <c r="J2" s="69" t="s">
        <v>81</v>
      </c>
      <c r="K2" s="6" t="s">
        <v>84</v>
      </c>
      <c r="L2" s="6" t="s">
        <v>85</v>
      </c>
      <c r="M2" s="6" t="s">
        <v>85</v>
      </c>
      <c r="N2" s="6" t="s">
        <v>86</v>
      </c>
      <c r="O2" s="6" t="s">
        <v>87</v>
      </c>
      <c r="P2" s="6" t="s">
        <v>88</v>
      </c>
      <c r="Q2" s="6" t="s">
        <v>82</v>
      </c>
      <c r="R2" s="6" t="s">
        <v>89</v>
      </c>
      <c r="S2" s="6" t="s">
        <v>90</v>
      </c>
      <c r="T2" s="6" t="s">
        <v>91</v>
      </c>
      <c r="U2" s="7" t="s">
        <v>92</v>
      </c>
      <c r="V2" s="8" t="s">
        <v>93</v>
      </c>
      <c r="W2" s="7" t="s">
        <v>52</v>
      </c>
      <c r="X2" s="7" t="s">
        <v>53</v>
      </c>
      <c r="Y2" s="7" t="s">
        <v>94</v>
      </c>
      <c r="Z2" s="8" t="s">
        <v>95</v>
      </c>
      <c r="AA2" s="8" t="s">
        <v>96</v>
      </c>
      <c r="AB2" s="8" t="s">
        <v>97</v>
      </c>
      <c r="AC2" s="9" t="s">
        <v>98</v>
      </c>
      <c r="AD2" s="69" t="s">
        <v>80</v>
      </c>
      <c r="AE2" s="69" t="s">
        <v>81</v>
      </c>
      <c r="AF2" s="6" t="s">
        <v>84</v>
      </c>
      <c r="AG2" s="6" t="s">
        <v>85</v>
      </c>
      <c r="AH2" s="6" t="s">
        <v>85</v>
      </c>
      <c r="AI2" s="6" t="s">
        <v>86</v>
      </c>
      <c r="AJ2" s="6" t="s">
        <v>87</v>
      </c>
      <c r="AK2" s="6" t="s">
        <v>88</v>
      </c>
      <c r="AL2" s="6" t="s">
        <v>82</v>
      </c>
      <c r="AM2" s="6" t="s">
        <v>89</v>
      </c>
      <c r="AN2" s="6" t="s">
        <v>90</v>
      </c>
      <c r="AO2" s="6" t="s">
        <v>91</v>
      </c>
      <c r="AP2" s="7" t="s">
        <v>92</v>
      </c>
      <c r="AQ2" s="8" t="s">
        <v>93</v>
      </c>
      <c r="AR2" s="7" t="s">
        <v>52</v>
      </c>
      <c r="AS2" s="7" t="s">
        <v>53</v>
      </c>
      <c r="AT2" s="8" t="s">
        <v>99</v>
      </c>
      <c r="AU2" s="8" t="s">
        <v>95</v>
      </c>
      <c r="AV2" s="8" t="s">
        <v>96</v>
      </c>
      <c r="AW2" s="8" t="s">
        <v>97</v>
      </c>
      <c r="AX2" s="8" t="s">
        <v>98</v>
      </c>
      <c r="AY2" s="68" t="s">
        <v>80</v>
      </c>
      <c r="AZ2" s="69" t="s">
        <v>81</v>
      </c>
      <c r="BA2" s="6" t="s">
        <v>84</v>
      </c>
      <c r="BB2" s="6" t="s">
        <v>85</v>
      </c>
      <c r="BC2" s="6" t="s">
        <v>85</v>
      </c>
      <c r="BD2" s="6" t="s">
        <v>86</v>
      </c>
      <c r="BE2" s="6" t="s">
        <v>87</v>
      </c>
      <c r="BF2" s="6" t="s">
        <v>88</v>
      </c>
      <c r="BG2" s="6" t="s">
        <v>82</v>
      </c>
      <c r="BH2" s="6" t="s">
        <v>89</v>
      </c>
      <c r="BI2" s="6" t="s">
        <v>90</v>
      </c>
      <c r="BJ2" s="6" t="s">
        <v>91</v>
      </c>
      <c r="BK2" s="7" t="s">
        <v>92</v>
      </c>
      <c r="BL2" s="8" t="s">
        <v>93</v>
      </c>
      <c r="BM2" s="7" t="s">
        <v>52</v>
      </c>
      <c r="BN2" s="7" t="s">
        <v>53</v>
      </c>
      <c r="BO2" s="8" t="s">
        <v>99</v>
      </c>
      <c r="BP2" s="8" t="s">
        <v>95</v>
      </c>
      <c r="BQ2" s="8" t="s">
        <v>96</v>
      </c>
      <c r="BR2" s="8" t="s">
        <v>97</v>
      </c>
      <c r="BS2" s="9" t="s">
        <v>98</v>
      </c>
      <c r="BT2" s="68" t="s">
        <v>80</v>
      </c>
      <c r="BU2" s="69" t="s">
        <v>81</v>
      </c>
      <c r="BV2" s="6" t="s">
        <v>84</v>
      </c>
      <c r="BW2" s="6" t="s">
        <v>85</v>
      </c>
      <c r="BX2" s="6" t="s">
        <v>85</v>
      </c>
      <c r="BY2" s="6" t="s">
        <v>86</v>
      </c>
      <c r="BZ2" s="6" t="s">
        <v>87</v>
      </c>
      <c r="CA2" s="6" t="s">
        <v>88</v>
      </c>
      <c r="CB2" s="6" t="s">
        <v>82</v>
      </c>
      <c r="CC2" s="6" t="s">
        <v>89</v>
      </c>
      <c r="CD2" s="6" t="s">
        <v>90</v>
      </c>
      <c r="CE2" s="6" t="s">
        <v>91</v>
      </c>
      <c r="CF2" s="7" t="s">
        <v>92</v>
      </c>
      <c r="CG2" s="8" t="s">
        <v>93</v>
      </c>
      <c r="CH2" s="7" t="s">
        <v>52</v>
      </c>
      <c r="CI2" s="7" t="s">
        <v>53</v>
      </c>
      <c r="CJ2" s="8" t="s">
        <v>99</v>
      </c>
      <c r="CK2" s="8" t="s">
        <v>95</v>
      </c>
      <c r="CL2" s="8" t="s">
        <v>96</v>
      </c>
      <c r="CM2" s="8" t="s">
        <v>97</v>
      </c>
      <c r="CN2" s="9" t="s">
        <v>98</v>
      </c>
      <c r="CO2" s="68" t="s">
        <v>80</v>
      </c>
      <c r="CP2" s="69" t="s">
        <v>81</v>
      </c>
      <c r="CQ2" s="6" t="s">
        <v>84</v>
      </c>
      <c r="CR2" s="6" t="s">
        <v>85</v>
      </c>
      <c r="CS2" s="6" t="s">
        <v>85</v>
      </c>
      <c r="CT2" s="6" t="s">
        <v>86</v>
      </c>
      <c r="CU2" s="6" t="s">
        <v>87</v>
      </c>
      <c r="CV2" s="6" t="s">
        <v>88</v>
      </c>
      <c r="CW2" s="6" t="s">
        <v>82</v>
      </c>
      <c r="CX2" s="6" t="s">
        <v>89</v>
      </c>
      <c r="CY2" s="6" t="s">
        <v>90</v>
      </c>
      <c r="CZ2" s="6" t="s">
        <v>91</v>
      </c>
      <c r="DA2" s="7" t="s">
        <v>92</v>
      </c>
      <c r="DB2" s="8" t="s">
        <v>93</v>
      </c>
      <c r="DC2" s="7" t="s">
        <v>52</v>
      </c>
      <c r="DD2" s="7" t="s">
        <v>53</v>
      </c>
      <c r="DE2" s="8" t="s">
        <v>99</v>
      </c>
      <c r="DF2" s="8" t="s">
        <v>95</v>
      </c>
      <c r="DG2" s="8" t="s">
        <v>96</v>
      </c>
      <c r="DH2" s="8" t="s">
        <v>97</v>
      </c>
      <c r="DI2" s="9" t="s">
        <v>98</v>
      </c>
      <c r="DJ2" s="68" t="s">
        <v>80</v>
      </c>
      <c r="DK2" s="69" t="s">
        <v>81</v>
      </c>
      <c r="DL2" s="6" t="s">
        <v>84</v>
      </c>
      <c r="DM2" s="6" t="s">
        <v>85</v>
      </c>
      <c r="DN2" s="6" t="s">
        <v>85</v>
      </c>
      <c r="DO2" s="6" t="s">
        <v>86</v>
      </c>
      <c r="DP2" s="6" t="s">
        <v>87</v>
      </c>
      <c r="DQ2" s="6" t="s">
        <v>88</v>
      </c>
      <c r="DR2" s="6" t="s">
        <v>82</v>
      </c>
      <c r="DS2" s="6" t="s">
        <v>89</v>
      </c>
      <c r="DT2" s="6" t="s">
        <v>90</v>
      </c>
      <c r="DU2" s="6" t="s">
        <v>91</v>
      </c>
      <c r="DV2" s="7" t="s">
        <v>92</v>
      </c>
      <c r="DW2" s="8" t="s">
        <v>93</v>
      </c>
      <c r="DX2" s="7" t="s">
        <v>52</v>
      </c>
      <c r="DY2" s="7" t="s">
        <v>53</v>
      </c>
      <c r="DZ2" s="8" t="s">
        <v>99</v>
      </c>
      <c r="EA2" s="8" t="s">
        <v>95</v>
      </c>
      <c r="EB2" s="8" t="s">
        <v>96</v>
      </c>
      <c r="EC2" s="8" t="s">
        <v>97</v>
      </c>
      <c r="ED2" s="9" t="s">
        <v>98</v>
      </c>
      <c r="EE2" s="68" t="s">
        <v>80</v>
      </c>
      <c r="EF2" s="69" t="s">
        <v>81</v>
      </c>
      <c r="EG2" s="6" t="s">
        <v>84</v>
      </c>
      <c r="EH2" s="6" t="s">
        <v>85</v>
      </c>
      <c r="EI2" s="6" t="s">
        <v>85</v>
      </c>
      <c r="EJ2" s="6" t="s">
        <v>86</v>
      </c>
      <c r="EK2" s="6" t="s">
        <v>87</v>
      </c>
      <c r="EL2" s="6" t="s">
        <v>88</v>
      </c>
      <c r="EM2" s="6" t="s">
        <v>82</v>
      </c>
      <c r="EN2" s="6" t="s">
        <v>89</v>
      </c>
      <c r="EO2" s="6" t="s">
        <v>90</v>
      </c>
      <c r="EP2" s="6" t="s">
        <v>91</v>
      </c>
      <c r="EQ2" s="7" t="s">
        <v>92</v>
      </c>
      <c r="ER2" s="8" t="s">
        <v>93</v>
      </c>
      <c r="ES2" s="7" t="s">
        <v>52</v>
      </c>
      <c r="ET2" s="7" t="s">
        <v>53</v>
      </c>
      <c r="EU2" s="8" t="s">
        <v>99</v>
      </c>
      <c r="EV2" s="8" t="s">
        <v>95</v>
      </c>
      <c r="EW2" s="8" t="s">
        <v>96</v>
      </c>
      <c r="EX2" s="8" t="s">
        <v>97</v>
      </c>
      <c r="EY2" s="9" t="s">
        <v>98</v>
      </c>
      <c r="EZ2" s="68" t="s">
        <v>80</v>
      </c>
      <c r="FA2" s="69" t="s">
        <v>81</v>
      </c>
      <c r="FB2" s="6" t="s">
        <v>84</v>
      </c>
      <c r="FC2" s="6" t="s">
        <v>85</v>
      </c>
      <c r="FD2" s="6" t="s">
        <v>85</v>
      </c>
      <c r="FE2" s="6" t="s">
        <v>86</v>
      </c>
      <c r="FF2" s="6" t="s">
        <v>87</v>
      </c>
      <c r="FG2" s="6" t="s">
        <v>88</v>
      </c>
      <c r="FH2" s="6" t="s">
        <v>82</v>
      </c>
      <c r="FI2" s="6" t="s">
        <v>89</v>
      </c>
      <c r="FJ2" s="6" t="s">
        <v>90</v>
      </c>
      <c r="FK2" s="6" t="s">
        <v>91</v>
      </c>
      <c r="FL2" s="7" t="s">
        <v>92</v>
      </c>
      <c r="FM2" s="8" t="s">
        <v>93</v>
      </c>
      <c r="FN2" s="7" t="s">
        <v>52</v>
      </c>
      <c r="FO2" s="7" t="s">
        <v>53</v>
      </c>
      <c r="FP2" s="8" t="s">
        <v>100</v>
      </c>
      <c r="FQ2" s="8" t="s">
        <v>95</v>
      </c>
      <c r="FR2" s="8" t="s">
        <v>96</v>
      </c>
      <c r="FS2" s="8" t="s">
        <v>97</v>
      </c>
      <c r="FT2" s="9" t="s">
        <v>98</v>
      </c>
      <c r="FU2" s="68" t="s">
        <v>80</v>
      </c>
      <c r="FV2" s="69" t="s">
        <v>81</v>
      </c>
      <c r="FW2" s="6" t="s">
        <v>84</v>
      </c>
      <c r="FX2" s="6" t="s">
        <v>85</v>
      </c>
      <c r="FY2" s="6" t="s">
        <v>85</v>
      </c>
      <c r="FZ2" s="6" t="s">
        <v>86</v>
      </c>
      <c r="GA2" s="6" t="s">
        <v>87</v>
      </c>
      <c r="GB2" s="6" t="s">
        <v>88</v>
      </c>
      <c r="GC2" s="6" t="s">
        <v>82</v>
      </c>
      <c r="GD2" s="6" t="s">
        <v>89</v>
      </c>
      <c r="GE2" s="6" t="s">
        <v>90</v>
      </c>
      <c r="GF2" s="6" t="s">
        <v>91</v>
      </c>
      <c r="GG2" s="7" t="s">
        <v>92</v>
      </c>
      <c r="GH2" s="8" t="s">
        <v>93</v>
      </c>
      <c r="GI2" s="7" t="s">
        <v>52</v>
      </c>
      <c r="GJ2" s="7" t="s">
        <v>53</v>
      </c>
      <c r="GK2" s="8" t="s">
        <v>99</v>
      </c>
      <c r="GL2" s="8" t="s">
        <v>95</v>
      </c>
      <c r="GM2" s="8" t="s">
        <v>96</v>
      </c>
      <c r="GN2" s="8" t="s">
        <v>97</v>
      </c>
      <c r="GO2" s="8" t="s">
        <v>98</v>
      </c>
      <c r="GP2" s="68" t="s">
        <v>80</v>
      </c>
      <c r="GQ2" s="69" t="s">
        <v>81</v>
      </c>
      <c r="GR2" s="6" t="s">
        <v>84</v>
      </c>
      <c r="GS2" s="6" t="s">
        <v>85</v>
      </c>
      <c r="GT2" s="6" t="s">
        <v>85</v>
      </c>
      <c r="GU2" s="6" t="s">
        <v>86</v>
      </c>
      <c r="GV2" s="6" t="s">
        <v>87</v>
      </c>
      <c r="GW2" s="6" t="s">
        <v>88</v>
      </c>
      <c r="GX2" s="6" t="s">
        <v>82</v>
      </c>
      <c r="GY2" s="6" t="s">
        <v>89</v>
      </c>
      <c r="GZ2" s="6" t="s">
        <v>90</v>
      </c>
      <c r="HA2" s="6" t="s">
        <v>91</v>
      </c>
      <c r="HB2" s="7" t="s">
        <v>92</v>
      </c>
      <c r="HC2" s="8" t="s">
        <v>93</v>
      </c>
      <c r="HD2" s="7" t="s">
        <v>52</v>
      </c>
      <c r="HE2" s="7" t="s">
        <v>53</v>
      </c>
      <c r="HF2" s="8" t="s">
        <v>99</v>
      </c>
      <c r="HG2" s="8" t="s">
        <v>95</v>
      </c>
      <c r="HH2" s="8" t="s">
        <v>96</v>
      </c>
      <c r="HI2" s="8" t="s">
        <v>97</v>
      </c>
      <c r="HJ2" s="9" t="s">
        <v>98</v>
      </c>
    </row>
    <row r="3" spans="1:218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280.79223530986889</v>
      </c>
      <c r="T3" s="59">
        <f>IF('Données projet'!E9&gt;30,$R$33-$H$33,LOOKUP('Données projet'!$E$9,$A$3:$A$203,R3:R203)-LOOKUP('Données projet'!$E$9,$A$3:$A$203,$H$3:$H$203))</f>
        <v>170.29932835468685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327.4505861600158</v>
      </c>
      <c r="AO3" s="59">
        <f>IF('Données projet'!E10&gt;30,$AM$33-$H$33,LOOKUP('Données projet'!$E$10,$A$3:$A$203,AM3:AM203)-LOOKUP('Données projet'!$E$10,$A$3:$A$203,$H$3:$H$203))</f>
        <v>193.18009444354595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340.76197766679212</v>
      </c>
      <c r="BJ3" s="59">
        <f>IF('Données projet'!E11&gt;30,$BH$33-$H$33,LOOKUP('Données projet'!$E$11,$A$3:$A$203,BH3:BH203)-LOOKUP('Données projet'!$E$11,$A$3:$A$203,$H$3:$H$203))</f>
        <v>199.70700738826872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354.06521046071936</v>
      </c>
      <c r="CE3" s="59">
        <f>IF('Données projet'!E12&gt;30,$CC$33-$H$33,LOOKUP('Données projet'!$E$12,$A$3:$A$203,CC3:CC203)-LOOKUP('Données projet'!$E$12,$A$3:$A$203,$H$3:$H$203))</f>
        <v>206.22956332364367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</v>
      </c>
      <c r="N4" s="13">
        <f>IF('Données projet'!$A$36&gt;35,N3+M4-V3,IF(A4&lt;'Données projet'!$A$36,$K$205^A4,IF(A4='Données projet'!$A$36,'Données projet'!$B$36,N3+M4-V3)))</f>
        <v>1.2054868146447177</v>
      </c>
      <c r="O4" s="13">
        <f>N4*VLOOKUP('Données projet'!$B$9,Paramètres!$A$1:$I$89,3,0)*VLOOKUP('Données projet'!$B$9,Paramètres!$A$1:$I$89,5,0)</f>
        <v>1.0907244698905405</v>
      </c>
      <c r="P4" s="13">
        <f>EXP(-1.0587+0.8836*LN(O4)+0.284)</f>
        <v>0.49759623852608204</v>
      </c>
      <c r="Q4" s="20">
        <f t="shared" ref="Q4:Q34" si="2">(O4+P4)*0.475*44/12</f>
        <v>2.7663252338256172</v>
      </c>
      <c r="R4" s="59">
        <f t="shared" si="0"/>
        <v>260.65521412271448</v>
      </c>
      <c r="S4" s="59">
        <f ca="1">AVERAGE(OFFSET($R$3,0,0,'Données projet'!$E$9+1,1))-AVERAGE(OFFSET($H$3,0,0,'Données projet'!$E$9+1,1))</f>
        <v>280.79223530986889</v>
      </c>
      <c r="T4" s="59">
        <f>$T$3</f>
        <v>170.29932835468685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1.2223636300497438</v>
      </c>
      <c r="AK4" s="13">
        <f>EXP(-1.0587+0.8836*LN(AJ4)+0.284)</f>
        <v>0.55030360208821416</v>
      </c>
      <c r="AL4" s="20">
        <f t="shared" ref="AL4:AL67" si="4">(AJ4+AK4)*0.475*44/12</f>
        <v>3.0873954293069432</v>
      </c>
      <c r="AM4" s="59">
        <f t="shared" ref="AM4:AM67" si="5">AL4+(AD4+AE4)*44/12</f>
        <v>260.97628431819578</v>
      </c>
      <c r="AN4" s="59">
        <f ca="1">AVERAGE(OFFSET($AM$3,0,0,'Données projet'!$E$10+1,1))-AVERAGE(OFFSET($H$3,0,0,'Données projet'!$E$10+1,1))</f>
        <v>327.4505861600158</v>
      </c>
      <c r="AO4" s="59">
        <f>$AO$3</f>
        <v>193.18009444354595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2.1</v>
      </c>
      <c r="BD4" s="12">
        <f>IF('Données projet'!$A$88&gt;35,BD3+BC4-BL3,IF(A4&lt;'Données projet'!$A$88,$BA$205^A4,IF(A4='Données projet'!$A$88,'Données projet'!$B$88,BD3+BC4-BL3)))</f>
        <v>1.2054868146447177</v>
      </c>
      <c r="BE4" s="13">
        <f>BD4*VLOOKUP('Données projet'!$B$11,Paramètres!$A$1:$I$89,3,0)*VLOOKUP('Données projet'!$B$11,Paramètres!$A$1:$I$89,5,0)</f>
        <v>1.2599748186666591</v>
      </c>
      <c r="BF4" s="13">
        <f>EXP(-1.0587+0.8836*LN(BE4)+0.284)</f>
        <v>0.56523859641176133</v>
      </c>
      <c r="BG4" s="20">
        <f t="shared" ref="BG4:BG67" si="7">(BE4+BF4)*0.475*44/12</f>
        <v>3.1789133645949152</v>
      </c>
      <c r="BH4" s="59">
        <f t="shared" ref="BH4:BH67" si="8">BG4+(AY4+AZ4)*44/12</f>
        <v>261.06780225348376</v>
      </c>
      <c r="BI4" s="59">
        <f ca="1">AVERAGE(OFFSET($BH$3,0,0,'Données projet'!$E$11+1,1))-AVERAGE(OFFSET($H$3,0,0,'Données projet'!$E$11+1,1))</f>
        <v>340.76197766679212</v>
      </c>
      <c r="BJ4" s="59">
        <f>$BJ$3</f>
        <v>199.70700738826872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2.1</v>
      </c>
      <c r="BY4" s="12">
        <f>IF('Données projet'!$A$114&gt;35,BY3+BX4-CG3,IF(A4&lt;'Données projet'!$A$114,$BV$205^A4,IF(A4='Données projet'!$A$114,'Données projet'!$B$114,BY3+BX4-CG3)))</f>
        <v>1.2054868146447177</v>
      </c>
      <c r="BZ4" s="13">
        <f>BY4*VLOOKUP('Données projet'!$B$12,Paramètres!$A$1:$I$89,3,0)*VLOOKUP('Données projet'!$B$12,Paramètres!$A$1:$I$89,5,0)</f>
        <v>1.2975860072835741</v>
      </c>
      <c r="CA4" s="13">
        <f>EXP(-1.0587+0.8836*LN(BZ4)+0.284)</f>
        <v>0.58012177912374829</v>
      </c>
      <c r="CB4" s="20">
        <f t="shared" ref="CB4:CB67" si="10">(BZ4+CA4)*0.475*44/12</f>
        <v>3.2703410613260862</v>
      </c>
      <c r="CC4" s="59">
        <f t="shared" ref="CC4:CC67" si="11">CB4+(BT4+BU4)*44/12</f>
        <v>261.15922995021492</v>
      </c>
      <c r="CD4" s="59">
        <f ca="1">AVERAGE(OFFSET($CC$3,0,0,'Données projet'!$E$12+1,1))-AVERAGE(OFFSET($H$3,0,0,'Données projet'!$E$12+1,1))</f>
        <v>354.06521046071936</v>
      </c>
      <c r="CE4" s="59">
        <f>$CE$3</f>
        <v>206.22956332364367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</v>
      </c>
      <c r="N5" s="13">
        <f>IF('Données projet'!$A$36&gt;35,N4+M5-V4,IF(A5&lt;'Données projet'!$A$36,$K$205^A5,IF(A5='Données projet'!$A$36,'Données projet'!$B$36,N4+M5-V4)))</f>
        <v>1.4531984602822681</v>
      </c>
      <c r="O5" s="13">
        <f>N5*VLOOKUP('Données projet'!$B$9,Paramètres!$A$1:$I$89,3,0)*VLOOKUP('Données projet'!$B$9,Paramètres!$A$1:$I$89,5,0)</f>
        <v>1.3148539668633961</v>
      </c>
      <c r="P5" s="13">
        <f t="shared" ref="P5:P68" si="33">EXP(-1.0587+0.8836*LN(O5)+0.284)</f>
        <v>0.58693801963664449</v>
      </c>
      <c r="Q5" s="20">
        <f t="shared" si="2"/>
        <v>3.3122877098209038</v>
      </c>
      <c r="R5" s="59">
        <f t="shared" si="0"/>
        <v>262.42339882093205</v>
      </c>
      <c r="S5" s="59">
        <f ca="1">AVERAGE(OFFSET($R$3,0,0,'Données projet'!$E$9+1,1))-AVERAGE(OFFSET($H$3,0,0,'Données projet'!$E$9+1,1))</f>
        <v>280.79223530986889</v>
      </c>
      <c r="T5" s="59">
        <f t="shared" ref="T5:T68" si="34">$T$3</f>
        <v>170.29932835468685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1.47354323872622</v>
      </c>
      <c r="AK5" s="13">
        <f t="shared" ref="AK5:AK68" si="35">EXP(-1.0587+0.8836*LN(AJ5)+0.284)</f>
        <v>0.64910881835703094</v>
      </c>
      <c r="AL5" s="20">
        <f t="shared" si="4"/>
        <v>3.6969523327533285</v>
      </c>
      <c r="AM5" s="59">
        <f t="shared" si="5"/>
        <v>262.80806344386446</v>
      </c>
      <c r="AN5" s="59">
        <f ca="1">AVERAGE(OFFSET($AM$3,0,0,'Données projet'!$E$10+1,1))-AVERAGE(OFFSET($H$3,0,0,'Données projet'!$E$10+1,1))</f>
        <v>327.4505861600158</v>
      </c>
      <c r="AO5" s="59">
        <f t="shared" ref="AO5:AO68" si="36">$AO$3</f>
        <v>193.18009444354595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2.1</v>
      </c>
      <c r="BD5" s="12">
        <f>IF('Données projet'!$A$88&gt;35,BD4+BC5-BL4,IF(A5&lt;'Données projet'!$A$88,$BA$205^A5,IF(A5='Données projet'!$A$88,'Données projet'!$B$88,BD4+BC5-BL4)))</f>
        <v>1.4531984602822681</v>
      </c>
      <c r="BE5" s="13">
        <f>BD5*VLOOKUP('Données projet'!$B$11,Paramètres!$A$1:$I$89,3,0)*VLOOKUP('Données projet'!$B$11,Paramètres!$A$1:$I$89,5,0)</f>
        <v>1.5188830306870267</v>
      </c>
      <c r="BF5" s="13">
        <f t="shared" ref="BF5:BF68" si="37">EXP(-1.0587+0.8836*LN(BE5)+0.284)</f>
        <v>0.66672534218267832</v>
      </c>
      <c r="BG5" s="20">
        <f t="shared" si="7"/>
        <v>3.8066012494147365</v>
      </c>
      <c r="BH5" s="59">
        <f t="shared" si="8"/>
        <v>262.91771236052585</v>
      </c>
      <c r="BI5" s="59">
        <f ca="1">AVERAGE(OFFSET($BH$3,0,0,'Données projet'!$E$11+1,1))-AVERAGE(OFFSET($H$3,0,0,'Données projet'!$E$11+1,1))</f>
        <v>340.76197766679212</v>
      </c>
      <c r="BJ5" s="59">
        <f t="shared" ref="BJ5:BJ68" si="38">$BJ$3</f>
        <v>199.70700738826872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2.1</v>
      </c>
      <c r="BY5" s="12">
        <f>IF('Données projet'!$A$114&gt;35,BY4+BX5-CG4,IF(A5&lt;'Données projet'!$A$114,$BV$205^A5,IF(A5='Données projet'!$A$114,'Données projet'!$B$114,BY4+BX5-CG4)))</f>
        <v>1.4531984602822681</v>
      </c>
      <c r="BZ5" s="13">
        <f>BY5*VLOOKUP('Données projet'!$B$12,Paramètres!$A$1:$I$89,3,0)*VLOOKUP('Données projet'!$B$12,Paramètres!$A$1:$I$89,5,0)</f>
        <v>1.5642228226478332</v>
      </c>
      <c r="CA5" s="13">
        <f t="shared" ref="CA5:CA68" si="39">EXP(-1.0587+0.8836*LN(BZ5)+0.284)</f>
        <v>0.68428075179095682</v>
      </c>
      <c r="CB5" s="20">
        <f t="shared" si="10"/>
        <v>3.9161437254808931</v>
      </c>
      <c r="CC5" s="59">
        <f t="shared" si="11"/>
        <v>263.02725483659202</v>
      </c>
      <c r="CD5" s="59">
        <f ca="1">AVERAGE(OFFSET($CC$3,0,0,'Données projet'!$E$12+1,1))-AVERAGE(OFFSET($H$3,0,0,'Données projet'!$E$12+1,1))</f>
        <v>354.06521046071936</v>
      </c>
      <c r="CE5" s="59">
        <f t="shared" ref="CE5:CE68" si="40">$CE$3</f>
        <v>206.22956332364367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</v>
      </c>
      <c r="N6" s="13">
        <f>IF('Données projet'!$A$36&gt;35,N5+M6-V5,IF(A6&lt;'Données projet'!$A$36,$K$205^A6,IF(A6='Données projet'!$A$36,'Données projet'!$B$36,N5+M6-V5)))</f>
        <v>1.7518115829322798</v>
      </c>
      <c r="O6" s="13">
        <f>N6*VLOOKUP('Données projet'!$B$9,Paramètres!$A$1:$I$89,3,0)*VLOOKUP('Données projet'!$B$9,Paramètres!$A$1:$I$89,5,0)</f>
        <v>1.5850391202371266</v>
      </c>
      <c r="P6" s="13">
        <f t="shared" si="33"/>
        <v>0.69232082604846479</v>
      </c>
      <c r="Q6" s="20">
        <f t="shared" si="2"/>
        <v>3.966401906447405</v>
      </c>
      <c r="R6" s="59">
        <f t="shared" si="0"/>
        <v>264.29973523978072</v>
      </c>
      <c r="S6" s="59">
        <f ca="1">AVERAGE(OFFSET($R$3,0,0,'Données projet'!$E$9+1,1))-AVERAGE(OFFSET($H$3,0,0,'Données projet'!$E$9+1,1))</f>
        <v>280.79223530986889</v>
      </c>
      <c r="T6" s="59">
        <f t="shared" si="34"/>
        <v>170.29932835468685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1.7763369450933317</v>
      </c>
      <c r="AK6" s="13">
        <f t="shared" si="35"/>
        <v>0.76565418883323866</v>
      </c>
      <c r="AL6" s="20">
        <f t="shared" si="4"/>
        <v>4.4273012249221102</v>
      </c>
      <c r="AM6" s="59">
        <f t="shared" si="5"/>
        <v>264.76063455825545</v>
      </c>
      <c r="AN6" s="59">
        <f ca="1">AVERAGE(OFFSET($AM$3,0,0,'Données projet'!$E$10+1,1))-AVERAGE(OFFSET($H$3,0,0,'Données projet'!$E$10+1,1))</f>
        <v>327.4505861600158</v>
      </c>
      <c r="AO6" s="59">
        <f t="shared" si="36"/>
        <v>193.18009444354595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2.1</v>
      </c>
      <c r="BD6" s="12">
        <f>IF('Données projet'!$A$88&gt;35,BD5+BC6-BL5,IF(A6&lt;'Données projet'!$A$88,$BA$205^A6,IF(A6='Données projet'!$A$88,'Données projet'!$B$88,BD5+BC6-BL5)))</f>
        <v>1.7518115829322798</v>
      </c>
      <c r="BE6" s="13">
        <f>BD6*VLOOKUP('Données projet'!$B$11,Paramètres!$A$1:$I$89,3,0)*VLOOKUP('Données projet'!$B$11,Paramètres!$A$1:$I$89,5,0)</f>
        <v>1.830993466480819</v>
      </c>
      <c r="BF6" s="13">
        <f t="shared" si="37"/>
        <v>0.78643370203401075</v>
      </c>
      <c r="BG6" s="20">
        <f t="shared" si="7"/>
        <v>4.5586856518299959</v>
      </c>
      <c r="BH6" s="59">
        <f t="shared" si="8"/>
        <v>264.8920189851633</v>
      </c>
      <c r="BI6" s="59">
        <f ca="1">AVERAGE(OFFSET($BH$3,0,0,'Données projet'!$E$11+1,1))-AVERAGE(OFFSET($H$3,0,0,'Données projet'!$E$11+1,1))</f>
        <v>340.76197766679212</v>
      </c>
      <c r="BJ6" s="59">
        <f t="shared" si="38"/>
        <v>199.70700738826872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2.1</v>
      </c>
      <c r="BY6" s="12">
        <f>IF('Données projet'!$A$114&gt;35,BY5+BX6-CG5,IF(A6&lt;'Données projet'!$A$114,$BV$205^A6,IF(A6='Données projet'!$A$114,'Données projet'!$B$114,BY5+BX6-CG5)))</f>
        <v>1.7518115829322798</v>
      </c>
      <c r="BZ6" s="13">
        <f>BY6*VLOOKUP('Données projet'!$B$12,Paramètres!$A$1:$I$89,3,0)*VLOOKUP('Données projet'!$B$12,Paramètres!$A$1:$I$89,5,0)</f>
        <v>1.885649987868306</v>
      </c>
      <c r="CA6" s="13">
        <f t="shared" si="39"/>
        <v>0.8071411281590839</v>
      </c>
      <c r="CB6" s="20">
        <f t="shared" si="10"/>
        <v>4.6899445270810372</v>
      </c>
      <c r="CC6" s="59">
        <f t="shared" si="11"/>
        <v>265.02327786041434</v>
      </c>
      <c r="CD6" s="59">
        <f ca="1">AVERAGE(OFFSET($CC$3,0,0,'Données projet'!$E$12+1,1))-AVERAGE(OFFSET($H$3,0,0,'Données projet'!$E$12+1,1))</f>
        <v>354.06521046071936</v>
      </c>
      <c r="CE6" s="59">
        <f t="shared" si="40"/>
        <v>206.22956332364367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</v>
      </c>
      <c r="N7" s="13">
        <f>IF('Données projet'!$A$36&gt;35,N6+M7-V6,IF(A7&lt;'Données projet'!$A$36,$K$205^A7,IF(A7='Données projet'!$A$36,'Données projet'!$B$36,N6+M7-V6)))</f>
        <v>2.1117857649667546</v>
      </c>
      <c r="O7" s="13">
        <f>N7*VLOOKUP('Données projet'!$B$9,Paramètres!$A$1:$I$89,3,0)*VLOOKUP('Données projet'!$B$9,Paramètres!$A$1:$I$89,5,0)</f>
        <v>1.9107437601419195</v>
      </c>
      <c r="P7" s="13">
        <f t="shared" si="33"/>
        <v>0.81662477151702284</v>
      </c>
      <c r="Q7" s="20">
        <f t="shared" si="2"/>
        <v>4.7501668593059909</v>
      </c>
      <c r="R7" s="59">
        <f t="shared" si="0"/>
        <v>266.30572241486152</v>
      </c>
      <c r="S7" s="59">
        <f ca="1">AVERAGE(OFFSET($R$3,0,0,'Données projet'!$E$9+1,1))-AVERAGE(OFFSET($H$3,0,0,'Données projet'!$E$9+1,1))</f>
        <v>280.79223530986889</v>
      </c>
      <c r="T7" s="59">
        <f t="shared" si="34"/>
        <v>170.29932835468685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2.1413507656762891</v>
      </c>
      <c r="AK7" s="13">
        <f t="shared" si="35"/>
        <v>0.9031249003236328</v>
      </c>
      <c r="AL7" s="20">
        <f t="shared" si="4"/>
        <v>5.3024617849498643</v>
      </c>
      <c r="AM7" s="59">
        <f t="shared" si="5"/>
        <v>266.8580173405054</v>
      </c>
      <c r="AN7" s="59">
        <f ca="1">AVERAGE(OFFSET($AM$3,0,0,'Données projet'!$E$10+1,1))-AVERAGE(OFFSET($H$3,0,0,'Données projet'!$E$10+1,1))</f>
        <v>327.4505861600158</v>
      </c>
      <c r="AO7" s="59">
        <f t="shared" si="36"/>
        <v>193.18009444354595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2.1</v>
      </c>
      <c r="BD7" s="12">
        <f>IF('Données projet'!$A$88&gt;35,BD6+BC7-BL6,IF(A7&lt;'Données projet'!$A$88,$BA$205^A7,IF(A7='Données projet'!$A$88,'Données projet'!$B$88,BD6+BC7-BL6)))</f>
        <v>2.1117857649667546</v>
      </c>
      <c r="BE7" s="13">
        <f>BD7*VLOOKUP('Données projet'!$B$11,Paramètres!$A$1:$I$89,3,0)*VLOOKUP('Données projet'!$B$11,Paramètres!$A$1:$I$89,5,0)</f>
        <v>2.2072384815432522</v>
      </c>
      <c r="BF7" s="13">
        <f t="shared" si="37"/>
        <v>0.92763530732188715</v>
      </c>
      <c r="BG7" s="20">
        <f t="shared" si="7"/>
        <v>5.4599051822734497</v>
      </c>
      <c r="BH7" s="59">
        <f t="shared" si="8"/>
        <v>267.01546073782902</v>
      </c>
      <c r="BI7" s="59">
        <f ca="1">AVERAGE(OFFSET($BH$3,0,0,'Données projet'!$E$11+1,1))-AVERAGE(OFFSET($H$3,0,0,'Données projet'!$E$11+1,1))</f>
        <v>340.76197766679212</v>
      </c>
      <c r="BJ7" s="59">
        <f t="shared" si="38"/>
        <v>199.70700738826872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2.1</v>
      </c>
      <c r="BY7" s="12">
        <f>IF('Données projet'!$A$114&gt;35,BY6+BX7-CG6,IF(A7&lt;'Données projet'!$A$114,$BV$205^A7,IF(A7='Données projet'!$A$114,'Données projet'!$B$114,BY6+BX7-CG6)))</f>
        <v>2.1117857649667546</v>
      </c>
      <c r="BZ7" s="13">
        <f>BY7*VLOOKUP('Données projet'!$B$12,Paramètres!$A$1:$I$89,3,0)*VLOOKUP('Données projet'!$B$12,Paramètres!$A$1:$I$89,5,0)</f>
        <v>2.2731261974102144</v>
      </c>
      <c r="CA7" s="13">
        <f t="shared" si="39"/>
        <v>0.95206068424520052</v>
      </c>
      <c r="CB7" s="20">
        <f t="shared" si="10"/>
        <v>5.617200485549847</v>
      </c>
      <c r="CC7" s="59">
        <f t="shared" si="11"/>
        <v>267.1727560411054</v>
      </c>
      <c r="CD7" s="59">
        <f ca="1">AVERAGE(OFFSET($CC$3,0,0,'Données projet'!$E$12+1,1))-AVERAGE(OFFSET($H$3,0,0,'Données projet'!$E$12+1,1))</f>
        <v>354.06521046071936</v>
      </c>
      <c r="CE7" s="59">
        <f t="shared" si="40"/>
        <v>206.22956332364367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</v>
      </c>
      <c r="N8" s="13">
        <f>IF('Données projet'!$A$36&gt;35,N7+M8-V7,IF(A8&lt;'Données projet'!$A$36,$K$205^A8,IF(A8='Données projet'!$A$36,'Données projet'!$B$36,N7+M8-V7)))</f>
        <v>2.5457298950218314</v>
      </c>
      <c r="O8" s="13">
        <f>N8*VLOOKUP('Données projet'!$B$9,Paramètres!$A$1:$I$89,3,0)*VLOOKUP('Données projet'!$B$9,Paramètres!$A$1:$I$89,5,0)</f>
        <v>2.3033764090157529</v>
      </c>
      <c r="P8" s="13">
        <f t="shared" si="33"/>
        <v>0.96324708482559218</v>
      </c>
      <c r="Q8" s="20">
        <f t="shared" si="2"/>
        <v>5.6893692517736758</v>
      </c>
      <c r="R8" s="59">
        <f t="shared" si="0"/>
        <v>268.46714702955143</v>
      </c>
      <c r="S8" s="59">
        <f ca="1">AVERAGE(OFFSET($R$3,0,0,'Données projet'!$E$9+1,1))-AVERAGE(OFFSET($H$3,0,0,'Données projet'!$E$9+1,1))</f>
        <v>280.79223530986889</v>
      </c>
      <c r="T8" s="59">
        <f t="shared" si="34"/>
        <v>170.29932835468685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2.5813701135521372</v>
      </c>
      <c r="AK8" s="13">
        <f t="shared" si="35"/>
        <v>1.0652780295337991</v>
      </c>
      <c r="AL8" s="20">
        <f t="shared" si="4"/>
        <v>6.3512455158746723</v>
      </c>
      <c r="AM8" s="59">
        <f t="shared" si="5"/>
        <v>269.12902329365244</v>
      </c>
      <c r="AN8" s="59">
        <f ca="1">AVERAGE(OFFSET($AM$3,0,0,'Données projet'!$E$10+1,1))-AVERAGE(OFFSET($H$3,0,0,'Données projet'!$E$10+1,1))</f>
        <v>327.4505861600158</v>
      </c>
      <c r="AO8" s="59">
        <f t="shared" si="36"/>
        <v>193.18009444354595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2.1</v>
      </c>
      <c r="BD8" s="12">
        <f>IF('Données projet'!$A$88&gt;35,BD7+BC8-BL7,IF(A8&lt;'Données projet'!$A$88,$BA$205^A8,IF(A8='Données projet'!$A$88,'Données projet'!$B$88,BD7+BC8-BL7)))</f>
        <v>2.5457298950218314</v>
      </c>
      <c r="BE8" s="13">
        <f>BD8*VLOOKUP('Données projet'!$B$11,Paramètres!$A$1:$I$89,3,0)*VLOOKUP('Données projet'!$B$11,Paramètres!$A$1:$I$89,5,0)</f>
        <v>2.6607968862768185</v>
      </c>
      <c r="BF8" s="13">
        <f t="shared" si="37"/>
        <v>1.0941892001380149</v>
      </c>
      <c r="BG8" s="20">
        <f t="shared" si="7"/>
        <v>6.5399341005058345</v>
      </c>
      <c r="BH8" s="59">
        <f t="shared" si="8"/>
        <v>269.3177118782836</v>
      </c>
      <c r="BI8" s="59">
        <f ca="1">AVERAGE(OFFSET($BH$3,0,0,'Données projet'!$E$11+1,1))-AVERAGE(OFFSET($H$3,0,0,'Données projet'!$E$11+1,1))</f>
        <v>340.76197766679212</v>
      </c>
      <c r="BJ8" s="59">
        <f t="shared" si="38"/>
        <v>199.70700738826872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2.1</v>
      </c>
      <c r="BY8" s="12">
        <f>IF('Données projet'!$A$114&gt;35,BY7+BX8-CG7,IF(A8&lt;'Données projet'!$A$114,$BV$205^A8,IF(A8='Données projet'!$A$114,'Données projet'!$B$114,BY7+BX8-CG7)))</f>
        <v>2.5457298950218314</v>
      </c>
      <c r="BZ8" s="13">
        <f>BY8*VLOOKUP('Données projet'!$B$12,Paramètres!$A$1:$I$89,3,0)*VLOOKUP('Données projet'!$B$12,Paramètres!$A$1:$I$89,5,0)</f>
        <v>2.740223659001499</v>
      </c>
      <c r="CA8" s="13">
        <f t="shared" si="39"/>
        <v>1.1230000737947632</v>
      </c>
      <c r="CB8" s="20">
        <f t="shared" si="10"/>
        <v>6.7284480012868242</v>
      </c>
      <c r="CC8" s="59">
        <f t="shared" si="11"/>
        <v>269.50622577906461</v>
      </c>
      <c r="CD8" s="59">
        <f ca="1">AVERAGE(OFFSET($CC$3,0,0,'Données projet'!$E$12+1,1))-AVERAGE(OFFSET($H$3,0,0,'Données projet'!$E$12+1,1))</f>
        <v>354.06521046071936</v>
      </c>
      <c r="CE8" s="59">
        <f t="shared" si="40"/>
        <v>206.22956332364367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</v>
      </c>
      <c r="N9" s="13">
        <f>IF('Données projet'!$A$36&gt;35,N8+M9-V8,IF(A9&lt;'Données projet'!$A$36,$K$205^A9,IF(A9='Données projet'!$A$36,'Données projet'!$B$36,N8+M9-V8)))</f>
        <v>3.0688438220956993</v>
      </c>
      <c r="O9" s="13">
        <f>N9*VLOOKUP('Données projet'!$B$9,Paramètres!$A$1:$I$89,3,0)*VLOOKUP('Données projet'!$B$9,Paramètres!$A$1:$I$89,5,0)</f>
        <v>2.7766898902321886</v>
      </c>
      <c r="P9" s="13">
        <f t="shared" si="33"/>
        <v>1.1361949561012803</v>
      </c>
      <c r="Q9" s="20">
        <f t="shared" si="2"/>
        <v>6.8149411073641248</v>
      </c>
      <c r="R9" s="59">
        <f t="shared" si="0"/>
        <v>270.81494110736412</v>
      </c>
      <c r="S9" s="59">
        <f ca="1">AVERAGE(OFFSET($R$3,0,0,'Données projet'!$E$9+1,1))-AVERAGE(OFFSET($H$3,0,0,'Données projet'!$E$9+1,1))</f>
        <v>280.79223530986889</v>
      </c>
      <c r="T9" s="59">
        <f t="shared" si="34"/>
        <v>170.29932835468685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3.111807635605039</v>
      </c>
      <c r="AK9" s="13">
        <f t="shared" si="35"/>
        <v>1.2565452240335246</v>
      </c>
      <c r="AL9" s="20">
        <f t="shared" si="4"/>
        <v>7.6082145638704972</v>
      </c>
      <c r="AM9" s="59">
        <f t="shared" si="5"/>
        <v>271.60821456387049</v>
      </c>
      <c r="AN9" s="59">
        <f ca="1">AVERAGE(OFFSET($AM$3,0,0,'Données projet'!$E$10+1,1))-AVERAGE(OFFSET($H$3,0,0,'Données projet'!$E$10+1,1))</f>
        <v>327.4505861600158</v>
      </c>
      <c r="AO9" s="59">
        <f t="shared" si="36"/>
        <v>193.18009444354595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2.1</v>
      </c>
      <c r="BD9" s="12">
        <f>IF('Données projet'!$A$88&gt;35,BD8+BC9-BL8,IF(A9&lt;'Données projet'!$A$88,$BA$205^A9,IF(A9='Données projet'!$A$88,'Données projet'!$B$88,BD8+BC9-BL8)))</f>
        <v>3.0688438220956993</v>
      </c>
      <c r="BE9" s="13">
        <f>BD9*VLOOKUP('Données projet'!$B$11,Paramètres!$A$1:$I$89,3,0)*VLOOKUP('Données projet'!$B$11,Paramètres!$A$1:$I$89,5,0)</f>
        <v>3.2075555628544254</v>
      </c>
      <c r="BF9" s="13">
        <f t="shared" si="37"/>
        <v>1.290647300990696</v>
      </c>
      <c r="BG9" s="20">
        <f t="shared" si="7"/>
        <v>7.8343699878635862</v>
      </c>
      <c r="BH9" s="59">
        <f t="shared" si="8"/>
        <v>271.83436998786357</v>
      </c>
      <c r="BI9" s="59">
        <f ca="1">AVERAGE(OFFSET($BH$3,0,0,'Données projet'!$E$11+1,1))-AVERAGE(OFFSET($H$3,0,0,'Données projet'!$E$11+1,1))</f>
        <v>340.76197766679212</v>
      </c>
      <c r="BJ9" s="59">
        <f t="shared" si="38"/>
        <v>199.70700738826872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2.1</v>
      </c>
      <c r="BY9" s="12">
        <f>IF('Données projet'!$A$114&gt;35,BY8+BX9-CG8,IF(A9&lt;'Données projet'!$A$114,$BV$205^A9,IF(A9='Données projet'!$A$114,'Données projet'!$B$114,BY8+BX9-CG8)))</f>
        <v>3.0688438220956993</v>
      </c>
      <c r="BZ9" s="13">
        <f>BY9*VLOOKUP('Données projet'!$B$12,Paramètres!$A$1:$I$89,3,0)*VLOOKUP('Données projet'!$B$12,Paramètres!$A$1:$I$89,5,0)</f>
        <v>3.3033034901038101</v>
      </c>
      <c r="CA9" s="13">
        <f t="shared" si="39"/>
        <v>1.3246310730107231</v>
      </c>
      <c r="CB9" s="20">
        <f t="shared" si="10"/>
        <v>8.0603193640911446</v>
      </c>
      <c r="CC9" s="59">
        <f t="shared" si="11"/>
        <v>272.06031936409113</v>
      </c>
      <c r="CD9" s="59">
        <f ca="1">AVERAGE(OFFSET($CC$3,0,0,'Données projet'!$E$12+1,1))-AVERAGE(OFFSET($H$3,0,0,'Données projet'!$E$12+1,1))</f>
        <v>354.06521046071936</v>
      </c>
      <c r="CE9" s="59">
        <f t="shared" si="40"/>
        <v>206.22956332364367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</v>
      </c>
      <c r="N10" s="13">
        <f>IF('Données projet'!$A$36&gt;35,N9+M10-V9,IF(A10&lt;'Données projet'!$A$36,$K$205^A10,IF(A10='Données projet'!$A$36,'Données projet'!$B$36,N9+M10-V9)))</f>
        <v>3.6994507637402658</v>
      </c>
      <c r="O10" s="13">
        <f>N10*VLOOKUP('Données projet'!$B$9,Paramètres!$A$1:$I$89,3,0)*VLOOKUP('Données projet'!$B$9,Paramètres!$A$1:$I$89,5,0)</f>
        <v>3.3472630510321921</v>
      </c>
      <c r="P10" s="13">
        <f t="shared" si="33"/>
        <v>1.34019505338418</v>
      </c>
      <c r="Q10" s="20">
        <f t="shared" si="2"/>
        <v>8.1639895318585136</v>
      </c>
      <c r="R10" s="59">
        <f t="shared" si="0"/>
        <v>273.38621175408076</v>
      </c>
      <c r="S10" s="59">
        <f ca="1">AVERAGE(OFFSET($R$3,0,0,'Données projet'!$E$9+1,1))-AVERAGE(OFFSET($H$3,0,0,'Données projet'!$E$9+1,1))</f>
        <v>280.79223530986889</v>
      </c>
      <c r="T10" s="59">
        <f t="shared" si="34"/>
        <v>170.29932835468685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3.7512430744326299</v>
      </c>
      <c r="AK10" s="13">
        <f t="shared" si="35"/>
        <v>1.4821538192545303</v>
      </c>
      <c r="AL10" s="20">
        <f t="shared" si="4"/>
        <v>9.1148329231718037</v>
      </c>
      <c r="AM10" s="59">
        <f t="shared" si="5"/>
        <v>274.33705514539406</v>
      </c>
      <c r="AN10" s="59">
        <f ca="1">AVERAGE(OFFSET($AM$3,0,0,'Données projet'!$E$10+1,1))-AVERAGE(OFFSET($H$3,0,0,'Données projet'!$E$10+1,1))</f>
        <v>327.4505861600158</v>
      </c>
      <c r="AO10" s="59">
        <f t="shared" si="36"/>
        <v>193.18009444354595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2.1</v>
      </c>
      <c r="BD10" s="12">
        <f>IF('Données projet'!$A$88&gt;35,BD9+BC10-BL9,IF(A10&lt;'Données projet'!$A$88,$BA$205^A10,IF(A10='Données projet'!$A$88,'Données projet'!$B$88,BD9+BC10-BL9)))</f>
        <v>3.6994507637402658</v>
      </c>
      <c r="BE10" s="13">
        <f>BD10*VLOOKUP('Données projet'!$B$11,Paramètres!$A$1:$I$89,3,0)*VLOOKUP('Données projet'!$B$11,Paramètres!$A$1:$I$89,5,0)</f>
        <v>3.8666659382613262</v>
      </c>
      <c r="BF10" s="13">
        <f t="shared" si="37"/>
        <v>1.5223788128638611</v>
      </c>
      <c r="BG10" s="20">
        <f t="shared" si="7"/>
        <v>9.3859196082097007</v>
      </c>
      <c r="BH10" s="59">
        <f t="shared" si="8"/>
        <v>274.60814183043192</v>
      </c>
      <c r="BI10" s="59">
        <f ca="1">AVERAGE(OFFSET($BH$3,0,0,'Données projet'!$E$11+1,1))-AVERAGE(OFFSET($H$3,0,0,'Données projet'!$E$11+1,1))</f>
        <v>340.76197766679212</v>
      </c>
      <c r="BJ10" s="59">
        <f t="shared" si="38"/>
        <v>199.70700738826872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2.1</v>
      </c>
      <c r="BY10" s="12">
        <f>IF('Données projet'!$A$114&gt;35,BY9+BX10-CG9,IF(A10&lt;'Données projet'!$A$114,$BV$205^A10,IF(A10='Données projet'!$A$114,'Données projet'!$B$114,BY9+BX10-CG9)))</f>
        <v>3.6994507637402658</v>
      </c>
      <c r="BZ10" s="13">
        <f>BY10*VLOOKUP('Données projet'!$B$12,Paramètres!$A$1:$I$89,3,0)*VLOOKUP('Données projet'!$B$12,Paramètres!$A$1:$I$89,5,0)</f>
        <v>3.982088802090022</v>
      </c>
      <c r="CA10" s="13">
        <f t="shared" si="39"/>
        <v>1.5624642602705792</v>
      </c>
      <c r="CB10" s="20">
        <f t="shared" si="10"/>
        <v>9.6567632502780452</v>
      </c>
      <c r="CC10" s="59">
        <f t="shared" si="11"/>
        <v>274.87898547250029</v>
      </c>
      <c r="CD10" s="59">
        <f ca="1">AVERAGE(OFFSET($CC$3,0,0,'Données projet'!$E$12+1,1))-AVERAGE(OFFSET($H$3,0,0,'Données projet'!$E$12+1,1))</f>
        <v>354.06521046071936</v>
      </c>
      <c r="CE10" s="59">
        <f t="shared" si="40"/>
        <v>206.22956332364367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</v>
      </c>
      <c r="N11" s="13">
        <f>IF('Données projet'!$A$36&gt;35,N10+M11-V10,IF(A11&lt;'Données projet'!$A$36,$K$205^A11,IF(A11='Données projet'!$A$36,'Données projet'!$B$36,N10+M11-V10)))</f>
        <v>4.4596391171162209</v>
      </c>
      <c r="O11" s="13">
        <f>N11*VLOOKUP('Données projet'!$B$9,Paramètres!$A$1:$I$89,3,0)*VLOOKUP('Données projet'!$B$9,Paramètres!$A$1:$I$89,5,0)</f>
        <v>4.0350814731667564</v>
      </c>
      <c r="P11" s="13">
        <f t="shared" si="33"/>
        <v>1.5808227025391921</v>
      </c>
      <c r="Q11" s="20">
        <f t="shared" si="2"/>
        <v>9.7810331060211926</v>
      </c>
      <c r="R11" s="59">
        <f t="shared" si="0"/>
        <v>276.22547755046565</v>
      </c>
      <c r="S11" s="59">
        <f ca="1">AVERAGE(OFFSET($R$3,0,0,'Données projet'!$E$9+1,1))-AVERAGE(OFFSET($H$3,0,0,'Données projet'!$E$9+1,1))</f>
        <v>280.79223530986889</v>
      </c>
      <c r="T11" s="59">
        <f t="shared" si="34"/>
        <v>170.29932835468685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4.5220740647558486</v>
      </c>
      <c r="AK11" s="13">
        <f t="shared" si="35"/>
        <v>1.7482697016499746</v>
      </c>
      <c r="AL11" s="20">
        <f t="shared" si="4"/>
        <v>10.92084872649014</v>
      </c>
      <c r="AM11" s="59">
        <f t="shared" si="5"/>
        <v>277.36529317093459</v>
      </c>
      <c r="AN11" s="59">
        <f ca="1">AVERAGE(OFFSET($AM$3,0,0,'Données projet'!$E$10+1,1))-AVERAGE(OFFSET($H$3,0,0,'Données projet'!$E$10+1,1))</f>
        <v>327.4505861600158</v>
      </c>
      <c r="AO11" s="59">
        <f t="shared" si="36"/>
        <v>193.18009444354595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2.1</v>
      </c>
      <c r="BD11" s="12">
        <f>IF('Données projet'!$A$88&gt;35,BD10+BC11-BL10,IF(A11&lt;'Données projet'!$A$88,$BA$205^A11,IF(A11='Données projet'!$A$88,'Données projet'!$B$88,BD10+BC11-BL10)))</f>
        <v>4.4596391171162209</v>
      </c>
      <c r="BE11" s="13">
        <f>BD11*VLOOKUP('Données projet'!$B$11,Paramètres!$A$1:$I$89,3,0)*VLOOKUP('Données projet'!$B$11,Paramètres!$A$1:$I$89,5,0)</f>
        <v>4.661214805209875</v>
      </c>
      <c r="BF11" s="13">
        <f t="shared" si="37"/>
        <v>1.7957169616190025</v>
      </c>
      <c r="BG11" s="20">
        <f t="shared" si="7"/>
        <v>11.245822827226961</v>
      </c>
      <c r="BH11" s="59">
        <f t="shared" si="8"/>
        <v>277.69026727167142</v>
      </c>
      <c r="BI11" s="59">
        <f ca="1">AVERAGE(OFFSET($BH$3,0,0,'Données projet'!$E$11+1,1))-AVERAGE(OFFSET($H$3,0,0,'Données projet'!$E$11+1,1))</f>
        <v>340.76197766679212</v>
      </c>
      <c r="BJ11" s="59">
        <f t="shared" si="38"/>
        <v>199.70700738826872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2.1</v>
      </c>
      <c r="BY11" s="12">
        <f>IF('Données projet'!$A$114&gt;35,BY10+BX11-CG10,IF(A11&lt;'Données projet'!$A$114,$BV$205^A11,IF(A11='Données projet'!$A$114,'Données projet'!$B$114,BY10+BX11-CG10)))</f>
        <v>4.4596391171162209</v>
      </c>
      <c r="BZ11" s="13">
        <f>BY11*VLOOKUP('Données projet'!$B$12,Paramètres!$A$1:$I$89,3,0)*VLOOKUP('Données projet'!$B$12,Paramètres!$A$1:$I$89,5,0)</f>
        <v>4.8003555456638995</v>
      </c>
      <c r="CA11" s="13">
        <f t="shared" si="39"/>
        <v>1.8429996203200378</v>
      </c>
      <c r="CB11" s="20">
        <f t="shared" si="10"/>
        <v>11.570510247422023</v>
      </c>
      <c r="CC11" s="59">
        <f t="shared" si="11"/>
        <v>278.01495469186648</v>
      </c>
      <c r="CD11" s="59">
        <f ca="1">AVERAGE(OFFSET($CC$3,0,0,'Données projet'!$E$12+1,1))-AVERAGE(OFFSET($H$3,0,0,'Données projet'!$E$12+1,1))</f>
        <v>354.06521046071936</v>
      </c>
      <c r="CE11" s="59">
        <f t="shared" si="40"/>
        <v>206.22956332364367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</v>
      </c>
      <c r="N12" s="13">
        <f>IF('Données projet'!$A$36&gt;35,N11+M12-V11,IF(A12&lt;'Données projet'!$A$36,$K$205^A12,IF(A12='Données projet'!$A$36,'Données projet'!$B$36,N11+M12-V11)))</f>
        <v>5.3760361537574148</v>
      </c>
      <c r="O12" s="13">
        <f>N12*VLOOKUP('Données projet'!$B$9,Paramètres!$A$1:$I$89,3,0)*VLOOKUP('Données projet'!$B$9,Paramètres!$A$1:$I$89,5,0)</f>
        <v>4.8642375119197085</v>
      </c>
      <c r="P12" s="13">
        <f t="shared" si="33"/>
        <v>1.8646542609995393</v>
      </c>
      <c r="Q12" s="20">
        <f t="shared" si="2"/>
        <v>11.719486504501022</v>
      </c>
      <c r="R12" s="59">
        <f t="shared" si="0"/>
        <v>279.38615317116773</v>
      </c>
      <c r="S12" s="59">
        <f ca="1">AVERAGE(OFFSET($R$3,0,0,'Données projet'!$E$9+1,1))-AVERAGE(OFFSET($H$3,0,0,'Données projet'!$E$9+1,1))</f>
        <v>280.79223530986889</v>
      </c>
      <c r="T12" s="59">
        <f t="shared" si="34"/>
        <v>170.29932835468685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5.4513006599100189</v>
      </c>
      <c r="AK12" s="13">
        <f t="shared" si="35"/>
        <v>2.062165822468125</v>
      </c>
      <c r="AL12" s="20">
        <f t="shared" si="4"/>
        <v>13.085954123475267</v>
      </c>
      <c r="AM12" s="59">
        <f t="shared" si="5"/>
        <v>280.75262079014198</v>
      </c>
      <c r="AN12" s="59">
        <f ca="1">AVERAGE(OFFSET($AM$3,0,0,'Données projet'!$E$10+1,1))-AVERAGE(OFFSET($H$3,0,0,'Données projet'!$E$10+1,1))</f>
        <v>327.4505861600158</v>
      </c>
      <c r="AO12" s="59">
        <f t="shared" si="36"/>
        <v>193.18009444354595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2.1</v>
      </c>
      <c r="BD12" s="12">
        <f>IF('Données projet'!$A$88&gt;35,BD11+BC12-BL11,IF(A12&lt;'Données projet'!$A$88,$BA$205^A12,IF(A12='Données projet'!$A$88,'Données projet'!$B$88,BD11+BC12-BL11)))</f>
        <v>5.3760361537574148</v>
      </c>
      <c r="BE12" s="13">
        <f>BD12*VLOOKUP('Données projet'!$B$11,Paramètres!$A$1:$I$89,3,0)*VLOOKUP('Données projet'!$B$11,Paramètres!$A$1:$I$89,5,0)</f>
        <v>5.61903298790725</v>
      </c>
      <c r="BF12" s="13">
        <f t="shared" si="37"/>
        <v>2.1181320831575063</v>
      </c>
      <c r="BG12" s="20">
        <f t="shared" si="7"/>
        <v>13.475562498771119</v>
      </c>
      <c r="BH12" s="59">
        <f t="shared" si="8"/>
        <v>281.14222916543781</v>
      </c>
      <c r="BI12" s="59">
        <f ca="1">AVERAGE(OFFSET($BH$3,0,0,'Données projet'!$E$11+1,1))-AVERAGE(OFFSET($H$3,0,0,'Données projet'!$E$11+1,1))</f>
        <v>340.76197766679212</v>
      </c>
      <c r="BJ12" s="59">
        <f t="shared" si="38"/>
        <v>199.70700738826872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2.1</v>
      </c>
      <c r="BY12" s="12">
        <f>IF('Données projet'!$A$114&gt;35,BY11+BX12-CG11,IF(A12&lt;'Données projet'!$A$114,$BV$205^A12,IF(A12='Données projet'!$A$114,'Données projet'!$B$114,BY11+BX12-CG11)))</f>
        <v>5.3760361537574148</v>
      </c>
      <c r="BZ12" s="13">
        <f>BY12*VLOOKUP('Données projet'!$B$12,Paramètres!$A$1:$I$89,3,0)*VLOOKUP('Données projet'!$B$12,Paramètres!$A$1:$I$89,5,0)</f>
        <v>5.7867653159044812</v>
      </c>
      <c r="CA12" s="13">
        <f t="shared" si="39"/>
        <v>2.1739041889582755</v>
      </c>
      <c r="CB12" s="20">
        <f t="shared" si="10"/>
        <v>13.864832720969302</v>
      </c>
      <c r="CC12" s="59">
        <f t="shared" si="11"/>
        <v>281.53149938763596</v>
      </c>
      <c r="CD12" s="59">
        <f ca="1">AVERAGE(OFFSET($CC$3,0,0,'Données projet'!$E$12+1,1))-AVERAGE(OFFSET($H$3,0,0,'Données projet'!$E$12+1,1))</f>
        <v>354.06521046071936</v>
      </c>
      <c r="CE12" s="59">
        <f t="shared" si="40"/>
        <v>206.22956332364367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</v>
      </c>
      <c r="N13" s="13">
        <f>IF('Données projet'!$A$36&gt;35,N12+M13-V12,IF(A13&lt;'Données projet'!$A$36,$K$205^A13,IF(A13='Données projet'!$A$36,'Données projet'!$B$36,N12+M13-V12)))</f>
        <v>6.4807406984078657</v>
      </c>
      <c r="O13" s="13">
        <f>N13*VLOOKUP('Données projet'!$B$9,Paramètres!$A$1:$I$89,3,0)*VLOOKUP('Données projet'!$B$9,Paramètres!$A$1:$I$89,5,0)</f>
        <v>5.8637741839194364</v>
      </c>
      <c r="P13" s="13">
        <f t="shared" si="33"/>
        <v>2.1994468497187687</v>
      </c>
      <c r="Q13" s="20">
        <f t="shared" si="2"/>
        <v>14.043443300253207</v>
      </c>
      <c r="R13" s="59">
        <f t="shared" si="0"/>
        <v>282.93233218914207</v>
      </c>
      <c r="S13" s="59">
        <f ca="1">AVERAGE(OFFSET($R$3,0,0,'Données projet'!$E$9+1,1))-AVERAGE(OFFSET($H$3,0,0,'Données projet'!$E$9+1,1))</f>
        <v>280.79223530986889</v>
      </c>
      <c r="T13" s="59">
        <f t="shared" si="34"/>
        <v>170.29932835468685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6.5714710681855761</v>
      </c>
      <c r="AK13" s="13">
        <f t="shared" si="35"/>
        <v>2.4324209676242781</v>
      </c>
      <c r="AL13" s="20">
        <f t="shared" si="4"/>
        <v>15.681778629035497</v>
      </c>
      <c r="AM13" s="59">
        <f t="shared" si="5"/>
        <v>284.57066751792433</v>
      </c>
      <c r="AN13" s="59">
        <f ca="1">AVERAGE(OFFSET($AM$3,0,0,'Données projet'!$E$10+1,1))-AVERAGE(OFFSET($H$3,0,0,'Données projet'!$E$10+1,1))</f>
        <v>327.4505861600158</v>
      </c>
      <c r="AO13" s="59">
        <f t="shared" si="36"/>
        <v>193.18009444354595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2.1</v>
      </c>
      <c r="BD13" s="12">
        <f>IF('Données projet'!$A$88&gt;35,BD12+BC13-BL12,IF(A13&lt;'Données projet'!$A$88,$BA$205^A13,IF(A13='Données projet'!$A$88,'Données projet'!$B$88,BD12+BC13-BL12)))</f>
        <v>6.4807406984078657</v>
      </c>
      <c r="BE13" s="13">
        <f>BD13*VLOOKUP('Données projet'!$B$11,Paramètres!$A$1:$I$89,3,0)*VLOOKUP('Données projet'!$B$11,Paramètres!$A$1:$I$89,5,0)</f>
        <v>6.7736701779759017</v>
      </c>
      <c r="BF13" s="13">
        <f t="shared" si="37"/>
        <v>2.4984357878182442</v>
      </c>
      <c r="BG13" s="20">
        <f t="shared" si="7"/>
        <v>16.148917890424809</v>
      </c>
      <c r="BH13" s="59">
        <f t="shared" si="8"/>
        <v>285.03780677931366</v>
      </c>
      <c r="BI13" s="59">
        <f ca="1">AVERAGE(OFFSET($BH$3,0,0,'Données projet'!$E$11+1,1))-AVERAGE(OFFSET($H$3,0,0,'Données projet'!$E$11+1,1))</f>
        <v>340.76197766679212</v>
      </c>
      <c r="BJ13" s="59">
        <f t="shared" si="38"/>
        <v>199.70700738826872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2.1</v>
      </c>
      <c r="BY13" s="12">
        <f>IF('Données projet'!$A$114&gt;35,BY12+BX13-CG12,IF(A13&lt;'Données projet'!$A$114,$BV$205^A13,IF(A13='Données projet'!$A$114,'Données projet'!$B$114,BY12+BX13-CG12)))</f>
        <v>6.4807406984078657</v>
      </c>
      <c r="BZ13" s="13">
        <f>BY13*VLOOKUP('Données projet'!$B$12,Paramètres!$A$1:$I$89,3,0)*VLOOKUP('Données projet'!$B$12,Paramètres!$A$1:$I$89,5,0)</f>
        <v>6.9758692877662263</v>
      </c>
      <c r="CA13" s="13">
        <f t="shared" si="39"/>
        <v>2.5642215932468222</v>
      </c>
      <c r="CB13" s="20">
        <f t="shared" si="10"/>
        <v>16.61565828443106</v>
      </c>
      <c r="CC13" s="59">
        <f t="shared" si="11"/>
        <v>285.50454717331991</v>
      </c>
      <c r="CD13" s="59">
        <f ca="1">AVERAGE(OFFSET($CC$3,0,0,'Données projet'!$E$12+1,1))-AVERAGE(OFFSET($H$3,0,0,'Données projet'!$E$12+1,1))</f>
        <v>354.06521046071936</v>
      </c>
      <c r="CE13" s="59">
        <f t="shared" si="40"/>
        <v>206.22956332364367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</v>
      </c>
      <c r="N14" s="13">
        <f>IF('Données projet'!$A$36&gt;35,N13+M14-V13,IF(A14&lt;'Données projet'!$A$36,$K$205^A14,IF(A14='Données projet'!$A$36,'Données projet'!$B$36,N13+M14-V13)))</f>
        <v>7.8124474610620815</v>
      </c>
      <c r="O14" s="13">
        <f>N14*VLOOKUP('Données projet'!$B$9,Paramètres!$A$1:$I$89,3,0)*VLOOKUP('Données projet'!$B$9,Paramètres!$A$1:$I$89,5,0)</f>
        <v>7.0687024627689707</v>
      </c>
      <c r="P14" s="13">
        <f t="shared" si="33"/>
        <v>2.5943503554083325</v>
      </c>
      <c r="Q14" s="20">
        <f t="shared" si="2"/>
        <v>16.829816991658799</v>
      </c>
      <c r="R14" s="59">
        <f t="shared" si="0"/>
        <v>286.94092810276993</v>
      </c>
      <c r="S14" s="59">
        <f ca="1">AVERAGE(OFFSET($R$3,0,0,'Données projet'!$E$9+1,1))-AVERAGE(OFFSET($H$3,0,0,'Données projet'!$E$9+1,1))</f>
        <v>280.79223530986889</v>
      </c>
      <c r="T14" s="59">
        <f t="shared" si="34"/>
        <v>170.29932835468685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7.921821725516951</v>
      </c>
      <c r="AK14" s="13">
        <f t="shared" si="35"/>
        <v>2.869154216054651</v>
      </c>
      <c r="AL14" s="20">
        <f t="shared" si="4"/>
        <v>18.794283098237205</v>
      </c>
      <c r="AM14" s="59">
        <f t="shared" si="5"/>
        <v>288.90539420934834</v>
      </c>
      <c r="AN14" s="59">
        <f ca="1">AVERAGE(OFFSET($AM$3,0,0,'Données projet'!$E$10+1,1))-AVERAGE(OFFSET($H$3,0,0,'Données projet'!$E$10+1,1))</f>
        <v>327.4505861600158</v>
      </c>
      <c r="AO14" s="59">
        <f t="shared" si="36"/>
        <v>193.18009444354595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2.1</v>
      </c>
      <c r="BD14" s="12">
        <f>IF('Données projet'!$A$88&gt;35,BD13+BC14-BL13,IF(A14&lt;'Données projet'!$A$88,$BA$205^A14,IF(A14='Données projet'!$A$88,'Données projet'!$B$88,BD13+BC14-BL13)))</f>
        <v>7.8124474610620815</v>
      </c>
      <c r="BE14" s="13">
        <f>BD14*VLOOKUP('Données projet'!$B$11,Paramètres!$A$1:$I$89,3,0)*VLOOKUP('Données projet'!$B$11,Paramètres!$A$1:$I$89,5,0)</f>
        <v>8.1655700863020879</v>
      </c>
      <c r="BF14" s="13">
        <f t="shared" si="37"/>
        <v>2.9470217818266238</v>
      </c>
      <c r="BG14" s="20">
        <f t="shared" si="7"/>
        <v>19.35443083699084</v>
      </c>
      <c r="BH14" s="59">
        <f t="shared" si="8"/>
        <v>289.46554194810199</v>
      </c>
      <c r="BI14" s="59">
        <f ca="1">AVERAGE(OFFSET($BH$3,0,0,'Données projet'!$E$11+1,1))-AVERAGE(OFFSET($H$3,0,0,'Données projet'!$E$11+1,1))</f>
        <v>340.76197766679212</v>
      </c>
      <c r="BJ14" s="59">
        <f t="shared" si="38"/>
        <v>199.70700738826872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2.1</v>
      </c>
      <c r="BY14" s="12">
        <f>IF('Données projet'!$A$114&gt;35,BY13+BX14-CG13,IF(A14&lt;'Données projet'!$A$114,$BV$205^A14,IF(A14='Données projet'!$A$114,'Données projet'!$B$114,BY13+BX14-CG13)))</f>
        <v>7.8124474610620815</v>
      </c>
      <c r="BZ14" s="13">
        <f>BY14*VLOOKUP('Données projet'!$B$12,Paramètres!$A$1:$I$89,3,0)*VLOOKUP('Données projet'!$B$12,Paramètres!$A$1:$I$89,5,0)</f>
        <v>8.4093184470872249</v>
      </c>
      <c r="CA14" s="13">
        <f t="shared" si="39"/>
        <v>3.0246192139792929</v>
      </c>
      <c r="CB14" s="20">
        <f t="shared" si="10"/>
        <v>19.914108093024186</v>
      </c>
      <c r="CC14" s="59">
        <f t="shared" si="11"/>
        <v>290.02521920413534</v>
      </c>
      <c r="CD14" s="59">
        <f ca="1">AVERAGE(OFFSET($CC$3,0,0,'Données projet'!$E$12+1,1))-AVERAGE(OFFSET($H$3,0,0,'Données projet'!$E$12+1,1))</f>
        <v>354.06521046071936</v>
      </c>
      <c r="CE14" s="59">
        <f t="shared" si="40"/>
        <v>206.22956332364367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</v>
      </c>
      <c r="N15" s="13">
        <f>IF('Données projet'!$A$36&gt;35,N14+M15-V14,IF(A15&lt;'Données projet'!$A$36,$K$205^A15,IF(A15='Données projet'!$A$36,'Données projet'!$B$36,N14+M15-V14)))</f>
        <v>9.4178024044149407</v>
      </c>
      <c r="O15" s="13">
        <f>N15*VLOOKUP('Données projet'!$B$9,Paramètres!$A$1:$I$89,3,0)*VLOOKUP('Données projet'!$B$9,Paramètres!$A$1:$I$89,5,0)</f>
        <v>8.521227615514638</v>
      </c>
      <c r="P15" s="13">
        <f t="shared" si="33"/>
        <v>3.0601574970852128</v>
      </c>
      <c r="Q15" s="20">
        <f t="shared" si="2"/>
        <v>20.170912404444739</v>
      </c>
      <c r="R15" s="59">
        <f t="shared" si="0"/>
        <v>291.50424573777804</v>
      </c>
      <c r="S15" s="59">
        <f ca="1">AVERAGE(OFFSET($R$3,0,0,'Données projet'!$E$9+1,1))-AVERAGE(OFFSET($H$3,0,0,'Données projet'!$E$9+1,1))</f>
        <v>280.79223530986889</v>
      </c>
      <c r="T15" s="59">
        <f t="shared" si="34"/>
        <v>170.29932835468685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9.5496516380767513</v>
      </c>
      <c r="AK15" s="13">
        <f t="shared" si="35"/>
        <v>3.3843014943027487</v>
      </c>
      <c r="AL15" s="20">
        <f t="shared" si="4"/>
        <v>22.526635038894295</v>
      </c>
      <c r="AM15" s="59">
        <f t="shared" si="5"/>
        <v>293.85996837222763</v>
      </c>
      <c r="AN15" s="59">
        <f ca="1">AVERAGE(OFFSET($AM$3,0,0,'Données projet'!$E$10+1,1))-AVERAGE(OFFSET($H$3,0,0,'Données projet'!$E$10+1,1))</f>
        <v>327.4505861600158</v>
      </c>
      <c r="AO15" s="59">
        <f t="shared" si="36"/>
        <v>193.18009444354595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2.1</v>
      </c>
      <c r="BD15" s="12">
        <f>IF('Données projet'!$A$88&gt;35,BD14+BC15-BL14,IF(A15&lt;'Données projet'!$A$88,$BA$205^A15,IF(A15='Données projet'!$A$88,'Données projet'!$B$88,BD14+BC15-BL14)))</f>
        <v>9.4178024044149407</v>
      </c>
      <c r="BE15" s="13">
        <f>BD15*VLOOKUP('Données projet'!$B$11,Paramètres!$A$1:$I$89,3,0)*VLOOKUP('Données projet'!$B$11,Paramètres!$A$1:$I$89,5,0)</f>
        <v>9.8434870730944972</v>
      </c>
      <c r="BF15" s="13">
        <f t="shared" si="37"/>
        <v>3.4761499274490784</v>
      </c>
      <c r="BG15" s="20">
        <f t="shared" si="7"/>
        <v>23.198367775946725</v>
      </c>
      <c r="BH15" s="59">
        <f t="shared" si="8"/>
        <v>294.53170110928005</v>
      </c>
      <c r="BI15" s="59">
        <f ca="1">AVERAGE(OFFSET($BH$3,0,0,'Données projet'!$E$11+1,1))-AVERAGE(OFFSET($H$3,0,0,'Données projet'!$E$11+1,1))</f>
        <v>340.76197766679212</v>
      </c>
      <c r="BJ15" s="59">
        <f t="shared" si="38"/>
        <v>199.70700738826872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2.1</v>
      </c>
      <c r="BY15" s="12">
        <f>IF('Données projet'!$A$114&gt;35,BY14+BX15-CG14,IF(A15&lt;'Données projet'!$A$114,$BV$205^A15,IF(A15='Données projet'!$A$114,'Données projet'!$B$114,BY14+BX15-CG14)))</f>
        <v>9.4178024044149407</v>
      </c>
      <c r="BZ15" s="13">
        <f>BY15*VLOOKUP('Données projet'!$B$12,Paramètres!$A$1:$I$89,3,0)*VLOOKUP('Données projet'!$B$12,Paramètres!$A$1:$I$89,5,0)</f>
        <v>10.137322508112241</v>
      </c>
      <c r="CA15" s="13">
        <f t="shared" si="39"/>
        <v>3.5676797253661268</v>
      </c>
      <c r="CB15" s="20">
        <f t="shared" si="10"/>
        <v>23.869545556641487</v>
      </c>
      <c r="CC15" s="59">
        <f t="shared" si="11"/>
        <v>295.20287888997478</v>
      </c>
      <c r="CD15" s="59">
        <f ca="1">AVERAGE(OFFSET($CC$3,0,0,'Données projet'!$E$12+1,1))-AVERAGE(OFFSET($H$3,0,0,'Données projet'!$E$12+1,1))</f>
        <v>354.06521046071936</v>
      </c>
      <c r="CE15" s="59">
        <f t="shared" si="40"/>
        <v>206.22956332364367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</v>
      </c>
      <c r="N16" s="13">
        <f>IF('Données projet'!$A$36&gt;35,N15+M16-V15,IF(A16&lt;'Données projet'!$A$36,$K$205^A16,IF(A16='Données projet'!$A$36,'Données projet'!$B$36,N15+M16-V15)))</f>
        <v>11.35303662145153</v>
      </c>
      <c r="O16" s="13">
        <f>N16*VLOOKUP('Données projet'!$B$9,Paramètres!$A$1:$I$89,3,0)*VLOOKUP('Données projet'!$B$9,Paramètres!$A$1:$I$89,5,0)</f>
        <v>10.272227535089344</v>
      </c>
      <c r="P16" s="13">
        <f t="shared" si="33"/>
        <v>3.6095987912522753</v>
      </c>
      <c r="Q16" s="20">
        <f t="shared" si="2"/>
        <v>24.177514185044988</v>
      </c>
      <c r="R16" s="59">
        <f t="shared" si="0"/>
        <v>296.73306974060051</v>
      </c>
      <c r="S16" s="59">
        <f ca="1">AVERAGE(OFFSET($R$3,0,0,'Données projet'!$E$9+1,1))-AVERAGE(OFFSET($H$3,0,0,'Données projet'!$E$9+1,1))</f>
        <v>280.79223530986889</v>
      </c>
      <c r="T16" s="59">
        <f t="shared" si="34"/>
        <v>170.29932835468685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11.511979134151852</v>
      </c>
      <c r="AK16" s="13">
        <f t="shared" si="35"/>
        <v>3.9919417855793822</v>
      </c>
      <c r="AL16" s="20">
        <f t="shared" si="4"/>
        <v>27.002662268531896</v>
      </c>
      <c r="AM16" s="59">
        <f t="shared" si="5"/>
        <v>299.55821782408742</v>
      </c>
      <c r="AN16" s="59">
        <f ca="1">AVERAGE(OFFSET($AM$3,0,0,'Données projet'!$E$10+1,1))-AVERAGE(OFFSET($H$3,0,0,'Données projet'!$E$10+1,1))</f>
        <v>327.4505861600158</v>
      </c>
      <c r="AO16" s="59">
        <f t="shared" si="36"/>
        <v>193.18009444354595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2.1</v>
      </c>
      <c r="BD16" s="12">
        <f>IF('Données projet'!$A$88&gt;35,BD15+BC16-BL15,IF(A16&lt;'Données projet'!$A$88,$BA$205^A16,IF(A16='Données projet'!$A$88,'Données projet'!$B$88,BD15+BC16-BL15)))</f>
        <v>11.35303662145153</v>
      </c>
      <c r="BE16" s="13">
        <f>BD16*VLOOKUP('Données projet'!$B$11,Paramètres!$A$1:$I$89,3,0)*VLOOKUP('Données projet'!$B$11,Paramètres!$A$1:$I$89,5,0)</f>
        <v>11.866193876741139</v>
      </c>
      <c r="BF16" s="13">
        <f t="shared" si="37"/>
        <v>4.100281305221487</v>
      </c>
      <c r="BG16" s="20">
        <f t="shared" si="7"/>
        <v>27.808277608584905</v>
      </c>
      <c r="BH16" s="59">
        <f t="shared" si="8"/>
        <v>300.36383316414043</v>
      </c>
      <c r="BI16" s="59">
        <f ca="1">AVERAGE(OFFSET($BH$3,0,0,'Données projet'!$E$11+1,1))-AVERAGE(OFFSET($H$3,0,0,'Données projet'!$E$11+1,1))</f>
        <v>340.76197766679212</v>
      </c>
      <c r="BJ16" s="59">
        <f t="shared" si="38"/>
        <v>199.70700738826872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2.1</v>
      </c>
      <c r="BY16" s="12">
        <f>IF('Données projet'!$A$114&gt;35,BY15+BX16-CG15,IF(A16&lt;'Données projet'!$A$114,$BV$205^A16,IF(A16='Données projet'!$A$114,'Données projet'!$B$114,BY15+BX16-CG15)))</f>
        <v>11.35303662145153</v>
      </c>
      <c r="BZ16" s="13">
        <f>BY16*VLOOKUP('Données projet'!$B$12,Paramètres!$A$1:$I$89,3,0)*VLOOKUP('Données projet'!$B$12,Paramètres!$A$1:$I$89,5,0)</f>
        <v>12.220408619330426</v>
      </c>
      <c r="CA16" s="13">
        <f t="shared" si="39"/>
        <v>4.2082449797185175</v>
      </c>
      <c r="CB16" s="20">
        <f t="shared" si="10"/>
        <v>28.613238351676909</v>
      </c>
      <c r="CC16" s="59">
        <f t="shared" si="11"/>
        <v>301.16879390723244</v>
      </c>
      <c r="CD16" s="59">
        <f ca="1">AVERAGE(OFFSET($CC$3,0,0,'Données projet'!$E$12+1,1))-AVERAGE(OFFSET($H$3,0,0,'Données projet'!$E$12+1,1))</f>
        <v>354.06521046071936</v>
      </c>
      <c r="CE16" s="59">
        <f t="shared" si="40"/>
        <v>206.22956332364367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</v>
      </c>
      <c r="N17" s="13">
        <f>IF('Données projet'!$A$36&gt;35,N16+M17-V16,IF(A17&lt;'Données projet'!$A$36,$K$205^A17,IF(A17='Données projet'!$A$36,'Données projet'!$B$36,N16+M17-V16)))</f>
        <v>13.685935953338433</v>
      </c>
      <c r="O17" s="13">
        <f>N17*VLOOKUP('Données projet'!$B$9,Paramètres!$A$1:$I$89,3,0)*VLOOKUP('Données projet'!$B$9,Paramètres!$A$1:$I$89,5,0)</f>
        <v>12.383034850580612</v>
      </c>
      <c r="P17" s="13">
        <f t="shared" si="33"/>
        <v>4.2576904771143838</v>
      </c>
      <c r="Q17" s="20">
        <f t="shared" si="2"/>
        <v>28.982596612402116</v>
      </c>
      <c r="R17" s="59">
        <f t="shared" si="0"/>
        <v>302.76037439017989</v>
      </c>
      <c r="S17" s="59">
        <f ca="1">AVERAGE(OFFSET($R$3,0,0,'Données projet'!$E$9+1,1))-AVERAGE(OFFSET($H$3,0,0,'Données projet'!$E$9+1,1))</f>
        <v>280.79223530986889</v>
      </c>
      <c r="T17" s="59">
        <f t="shared" si="34"/>
        <v>170.29932835468685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13.877539056685173</v>
      </c>
      <c r="AK17" s="13">
        <f t="shared" si="35"/>
        <v>4.7086819085950955</v>
      </c>
      <c r="AL17" s="20">
        <f t="shared" si="4"/>
        <v>32.371001514529802</v>
      </c>
      <c r="AM17" s="59">
        <f t="shared" si="5"/>
        <v>306.14877929230755</v>
      </c>
      <c r="AN17" s="59">
        <f ca="1">AVERAGE(OFFSET($AM$3,0,0,'Données projet'!$E$10+1,1))-AVERAGE(OFFSET($H$3,0,0,'Données projet'!$E$10+1,1))</f>
        <v>327.4505861600158</v>
      </c>
      <c r="AO17" s="59">
        <f t="shared" si="36"/>
        <v>193.18009444354595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2.1</v>
      </c>
      <c r="BD17" s="12">
        <f>IF('Données projet'!$A$88&gt;35,BD16+BC17-BL16,IF(A17&lt;'Données projet'!$A$88,$BA$205^A17,IF(A17='Données projet'!$A$88,'Données projet'!$B$88,BD16+BC17-BL16)))</f>
        <v>13.685935953338433</v>
      </c>
      <c r="BE17" s="13">
        <f>BD17*VLOOKUP('Données projet'!$B$11,Paramètres!$A$1:$I$89,3,0)*VLOOKUP('Données projet'!$B$11,Paramètres!$A$1:$I$89,5,0)</f>
        <v>14.304540258429331</v>
      </c>
      <c r="BF17" s="13">
        <f t="shared" si="37"/>
        <v>4.8364734355075134</v>
      </c>
      <c r="BG17" s="20">
        <f t="shared" si="7"/>
        <v>33.337265516940001</v>
      </c>
      <c r="BH17" s="59">
        <f t="shared" si="8"/>
        <v>307.11504329471779</v>
      </c>
      <c r="BI17" s="59">
        <f ca="1">AVERAGE(OFFSET($BH$3,0,0,'Données projet'!$E$11+1,1))-AVERAGE(OFFSET($H$3,0,0,'Données projet'!$E$11+1,1))</f>
        <v>340.76197766679212</v>
      </c>
      <c r="BJ17" s="59">
        <f t="shared" si="38"/>
        <v>199.70700738826872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2.1</v>
      </c>
      <c r="BY17" s="12">
        <f>IF('Données projet'!$A$114&gt;35,BY16+BX17-CG16,IF(A17&lt;'Données projet'!$A$114,$BV$205^A17,IF(A17='Données projet'!$A$114,'Données projet'!$B$114,BY16+BX17-CG16)))</f>
        <v>13.685935953338433</v>
      </c>
      <c r="BZ17" s="13">
        <f>BY17*VLOOKUP('Données projet'!$B$12,Paramètres!$A$1:$I$89,3,0)*VLOOKUP('Données projet'!$B$12,Paramètres!$A$1:$I$89,5,0)</f>
        <v>14.731541460173487</v>
      </c>
      <c r="CA17" s="13">
        <f t="shared" si="39"/>
        <v>4.9638216355053304</v>
      </c>
      <c r="CB17" s="20">
        <f t="shared" si="10"/>
        <v>34.302757391640604</v>
      </c>
      <c r="CC17" s="59">
        <f t="shared" si="11"/>
        <v>308.0805351694184</v>
      </c>
      <c r="CD17" s="59">
        <f ca="1">AVERAGE(OFFSET($CC$3,0,0,'Données projet'!$E$12+1,1))-AVERAGE(OFFSET($H$3,0,0,'Données projet'!$E$12+1,1))</f>
        <v>354.06521046071936</v>
      </c>
      <c r="CE17" s="59">
        <f t="shared" si="40"/>
        <v>206.22956332364367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2.1</v>
      </c>
      <c r="N18" s="13">
        <f>IF('Données projet'!$A$36&gt;35,N17+M18-V17,IF(A18&lt;'Données projet'!$A$36,$K$205^A18,IF(A18='Données projet'!$A$36,'Données projet'!$B$36,N17+M18-V17)))</f>
        <v>16.498215337821566</v>
      </c>
      <c r="O18" s="13">
        <f>N18*VLOOKUP('Données projet'!$B$9,Paramètres!$A$1:$I$89,3,0)*VLOOKUP('Données projet'!$B$9,Paramètres!$A$1:$I$89,5,0)</f>
        <v>14.927585237660953</v>
      </c>
      <c r="P18" s="13">
        <f t="shared" si="33"/>
        <v>5.0221449106318534</v>
      </c>
      <c r="Q18" s="20">
        <f t="shared" si="2"/>
        <v>34.745780008276633</v>
      </c>
      <c r="R18" s="59">
        <f t="shared" si="0"/>
        <v>309.74578000827665</v>
      </c>
      <c r="S18" s="59">
        <f ca="1">AVERAGE(OFFSET($R$3,0,0,'Données projet'!$E$9+1,1))-AVERAGE(OFFSET($H$3,0,0,'Données projet'!$E$9+1,1))</f>
        <v>280.79223530986889</v>
      </c>
      <c r="T18" s="59">
        <f t="shared" si="34"/>
        <v>170.29932835468685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16.729190352551068</v>
      </c>
      <c r="AK18" s="13">
        <f t="shared" si="35"/>
        <v>5.5541103821765283</v>
      </c>
      <c r="AL18" s="20">
        <f t="shared" si="4"/>
        <v>38.810082112983899</v>
      </c>
      <c r="AM18" s="59">
        <f t="shared" si="5"/>
        <v>313.81008211298388</v>
      </c>
      <c r="AN18" s="59">
        <f ca="1">AVERAGE(OFFSET($AM$3,0,0,'Données projet'!$E$10+1,1))-AVERAGE(OFFSET($H$3,0,0,'Données projet'!$E$10+1,1))</f>
        <v>327.4505861600158</v>
      </c>
      <c r="AO18" s="59">
        <f t="shared" si="36"/>
        <v>193.18009444354595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2.1</v>
      </c>
      <c r="BD18" s="12">
        <f>IF('Données projet'!$A$88&gt;35,BD17+BC18-BL17,IF(A18&lt;'Données projet'!$A$88,$BA$205^A18,IF(A18='Données projet'!$A$88,'Données projet'!$B$88,BD17+BC18-BL17)))</f>
        <v>16.498215337821566</v>
      </c>
      <c r="BE18" s="13">
        <f>BD18*VLOOKUP('Données projet'!$B$11,Paramètres!$A$1:$I$89,3,0)*VLOOKUP('Données projet'!$B$11,Paramètres!$A$1:$I$89,5,0)</f>
        <v>17.243934671091104</v>
      </c>
      <c r="BF18" s="13">
        <f t="shared" si="37"/>
        <v>5.704846460798203</v>
      </c>
      <c r="BG18" s="20">
        <f t="shared" si="7"/>
        <v>39.969127138040541</v>
      </c>
      <c r="BH18" s="59">
        <f t="shared" si="8"/>
        <v>314.96912713804056</v>
      </c>
      <c r="BI18" s="59">
        <f ca="1">AVERAGE(OFFSET($BH$3,0,0,'Données projet'!$E$11+1,1))-AVERAGE(OFFSET($H$3,0,0,'Données projet'!$E$11+1,1))</f>
        <v>340.76197766679212</v>
      </c>
      <c r="BJ18" s="59">
        <f t="shared" si="38"/>
        <v>199.70700738826872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2.1</v>
      </c>
      <c r="BY18" s="12">
        <f>IF('Données projet'!$A$114&gt;35,BY17+BX18-CG17,IF(A18&lt;'Données projet'!$A$114,$BV$205^A18,IF(A18='Données projet'!$A$114,'Données projet'!$B$114,BY17+BX18-CG17)))</f>
        <v>16.498215337821566</v>
      </c>
      <c r="BZ18" s="13">
        <f>BY18*VLOOKUP('Données projet'!$B$12,Paramètres!$A$1:$I$89,3,0)*VLOOKUP('Données projet'!$B$12,Paramètres!$A$1:$I$89,5,0)</f>
        <v>17.758678989631132</v>
      </c>
      <c r="CA18" s="13">
        <f t="shared" si="39"/>
        <v>5.8550596146042126</v>
      </c>
      <c r="CB18" s="20">
        <f t="shared" si="10"/>
        <v>41.127261402376554</v>
      </c>
      <c r="CC18" s="59">
        <f t="shared" si="11"/>
        <v>316.12726140237658</v>
      </c>
      <c r="CD18" s="59">
        <f ca="1">AVERAGE(OFFSET($CC$3,0,0,'Données projet'!$E$12+1,1))-AVERAGE(OFFSET($H$3,0,0,'Données projet'!$E$12+1,1))</f>
        <v>354.06521046071936</v>
      </c>
      <c r="CE18" s="59">
        <f t="shared" si="40"/>
        <v>206.22956332364367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2.1</v>
      </c>
      <c r="N19" s="13">
        <f>IF('Données projet'!$A$36&gt;35,N18+M19-V18,IF(A19&lt;'Données projet'!$A$36,$K$205^A19,IF(A19='Données projet'!$A$36,'Données projet'!$B$36,N18+M19-V18)))</f>
        <v>19.888381054913147</v>
      </c>
      <c r="O19" s="13">
        <f>N19*VLOOKUP('Données projet'!$B$9,Paramètres!$A$1:$I$89,3,0)*VLOOKUP('Données projet'!$B$9,Paramètres!$A$1:$I$89,5,0)</f>
        <v>17.995007178485412</v>
      </c>
      <c r="P19" s="13">
        <f t="shared" si="33"/>
        <v>5.9238546434872337</v>
      </c>
      <c r="Q19" s="20">
        <f t="shared" si="2"/>
        <v>41.658684339935689</v>
      </c>
      <c r="R19" s="59">
        <f t="shared" si="0"/>
        <v>317.88090656215792</v>
      </c>
      <c r="S19" s="59">
        <f ca="1">AVERAGE(OFFSET($R$3,0,0,'Données projet'!$E$9+1,1))-AVERAGE(OFFSET($H$3,0,0,'Données projet'!$E$9+1,1))</f>
        <v>280.79223530986889</v>
      </c>
      <c r="T19" s="59">
        <f t="shared" si="34"/>
        <v>170.29932835468685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20.166818389681932</v>
      </c>
      <c r="AK19" s="13">
        <f t="shared" si="35"/>
        <v>6.5513327797938032</v>
      </c>
      <c r="AL19" s="20">
        <f t="shared" si="4"/>
        <v>46.534113286836906</v>
      </c>
      <c r="AM19" s="59">
        <f t="shared" si="5"/>
        <v>322.75633550905911</v>
      </c>
      <c r="AN19" s="59">
        <f ca="1">AVERAGE(OFFSET($AM$3,0,0,'Données projet'!$E$10+1,1))-AVERAGE(OFFSET($H$3,0,0,'Données projet'!$E$10+1,1))</f>
        <v>327.4505861600158</v>
      </c>
      <c r="AO19" s="59">
        <f t="shared" si="36"/>
        <v>193.18009444354595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2.1</v>
      </c>
      <c r="BD19" s="12">
        <f>IF('Données projet'!$A$88&gt;35,BD18+BC19-BL18,IF(A19&lt;'Données projet'!$A$88,$BA$205^A19,IF(A19='Données projet'!$A$88,'Données projet'!$B$88,BD18+BC19-BL18)))</f>
        <v>19.888381054913147</v>
      </c>
      <c r="BE19" s="13">
        <f>BD19*VLOOKUP('Données projet'!$B$11,Paramètres!$A$1:$I$89,3,0)*VLOOKUP('Données projet'!$B$11,Paramètres!$A$1:$I$89,5,0)</f>
        <v>20.787335878595226</v>
      </c>
      <c r="BF19" s="13">
        <f t="shared" si="37"/>
        <v>6.7291330295225098</v>
      </c>
      <c r="BG19" s="20">
        <f t="shared" si="7"/>
        <v>47.924516681638387</v>
      </c>
      <c r="BH19" s="59">
        <f t="shared" si="8"/>
        <v>324.14673890386064</v>
      </c>
      <c r="BI19" s="59">
        <f ca="1">AVERAGE(OFFSET($BH$3,0,0,'Données projet'!$E$11+1,1))-AVERAGE(OFFSET($H$3,0,0,'Données projet'!$E$11+1,1))</f>
        <v>340.76197766679212</v>
      </c>
      <c r="BJ19" s="59">
        <f t="shared" si="38"/>
        <v>199.70700738826872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2.1</v>
      </c>
      <c r="BY19" s="12">
        <f>IF('Données projet'!$A$114&gt;35,BY18+BX19-CG18,IF(A19&lt;'Données projet'!$A$114,$BV$205^A19,IF(A19='Données projet'!$A$114,'Données projet'!$B$114,BY18+BX19-CG18)))</f>
        <v>19.888381054913147</v>
      </c>
      <c r="BZ19" s="13">
        <f>BY19*VLOOKUP('Données projet'!$B$12,Paramètres!$A$1:$I$89,3,0)*VLOOKUP('Données projet'!$B$12,Paramètres!$A$1:$I$89,5,0)</f>
        <v>21.407853367508512</v>
      </c>
      <c r="CA19" s="13">
        <f t="shared" si="39"/>
        <v>6.906316464991046</v>
      </c>
      <c r="CB19" s="20">
        <f t="shared" si="10"/>
        <v>49.313845791603399</v>
      </c>
      <c r="CC19" s="59">
        <f t="shared" si="11"/>
        <v>325.53606801382563</v>
      </c>
      <c r="CD19" s="59">
        <f ca="1">AVERAGE(OFFSET($CC$3,0,0,'Données projet'!$E$12+1,1))-AVERAGE(OFFSET($H$3,0,0,'Données projet'!$E$12+1,1))</f>
        <v>354.06521046071936</v>
      </c>
      <c r="CE19" s="59">
        <f t="shared" si="40"/>
        <v>206.22956332364367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2.1</v>
      </c>
      <c r="N20" s="13">
        <f>IF('Données projet'!$A$36&gt;35,N19+M20-V19,IF(A20&lt;'Données projet'!$A$36,$K$205^A20,IF(A20='Données projet'!$A$36,'Données projet'!$B$36,N19+M20-V19)))</f>
        <v>23.975181126327602</v>
      </c>
      <c r="O20" s="13">
        <f>N20*VLOOKUP('Données projet'!$B$9,Paramètres!$A$1:$I$89,3,0)*VLOOKUP('Données projet'!$B$9,Paramètres!$A$1:$I$89,5,0)</f>
        <v>21.692743883101215</v>
      </c>
      <c r="P20" s="13">
        <f t="shared" si="33"/>
        <v>6.98746341685115</v>
      </c>
      <c r="Q20" s="20">
        <f t="shared" si="2"/>
        <v>49.951361047417038</v>
      </c>
      <c r="R20" s="59">
        <f t="shared" si="0"/>
        <v>327.39580549186149</v>
      </c>
      <c r="S20" s="59">
        <f ca="1">AVERAGE(OFFSET($R$3,0,0,'Données projet'!$E$9+1,1))-AVERAGE(OFFSET($H$3,0,0,'Données projet'!$E$9+1,1))</f>
        <v>280.79223530986889</v>
      </c>
      <c r="T20" s="59">
        <f t="shared" si="34"/>
        <v>170.29932835468685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24.31083366209619</v>
      </c>
      <c r="AK20" s="13">
        <f t="shared" si="35"/>
        <v>7.7276032052466093</v>
      </c>
      <c r="AL20" s="20">
        <f t="shared" si="4"/>
        <v>55.800277543955367</v>
      </c>
      <c r="AM20" s="59">
        <f t="shared" si="5"/>
        <v>333.24472198839982</v>
      </c>
      <c r="AN20" s="59">
        <f ca="1">AVERAGE(OFFSET($AM$3,0,0,'Données projet'!$E$10+1,1))-AVERAGE(OFFSET($H$3,0,0,'Données projet'!$E$10+1,1))</f>
        <v>327.4505861600158</v>
      </c>
      <c r="AO20" s="59">
        <f t="shared" si="36"/>
        <v>193.18009444354595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2.1</v>
      </c>
      <c r="BD20" s="12">
        <f>IF('Données projet'!$A$88&gt;35,BD19+BC20-BL19,IF(A20&lt;'Données projet'!$A$88,$BA$205^A20,IF(A20='Données projet'!$A$88,'Données projet'!$B$88,BD19+BC20-BL19)))</f>
        <v>23.975181126327602</v>
      </c>
      <c r="BE20" s="13">
        <f>BD20*VLOOKUP('Données projet'!$B$11,Paramètres!$A$1:$I$89,3,0)*VLOOKUP('Données projet'!$B$11,Paramètres!$A$1:$I$89,5,0)</f>
        <v>25.058859313237608</v>
      </c>
      <c r="BF20" s="13">
        <f t="shared" si="37"/>
        <v>7.9373269097018113</v>
      </c>
      <c r="BG20" s="20">
        <f t="shared" si="7"/>
        <v>57.468357671619486</v>
      </c>
      <c r="BH20" s="59">
        <f t="shared" si="8"/>
        <v>334.91280211606397</v>
      </c>
      <c r="BI20" s="59">
        <f ca="1">AVERAGE(OFFSET($BH$3,0,0,'Données projet'!$E$11+1,1))-AVERAGE(OFFSET($H$3,0,0,'Données projet'!$E$11+1,1))</f>
        <v>340.76197766679212</v>
      </c>
      <c r="BJ20" s="59">
        <f t="shared" si="38"/>
        <v>199.70700738826872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2.1</v>
      </c>
      <c r="BY20" s="12">
        <f>IF('Données projet'!$A$114&gt;35,BY19+BX20-CG19,IF(A20&lt;'Données projet'!$A$114,$BV$205^A20,IF(A20='Données projet'!$A$114,'Données projet'!$B$114,BY19+BX20-CG19)))</f>
        <v>23.975181126327602</v>
      </c>
      <c r="BZ20" s="13">
        <f>BY20*VLOOKUP('Données projet'!$B$12,Paramètres!$A$1:$I$89,3,0)*VLOOKUP('Données projet'!$B$12,Paramètres!$A$1:$I$89,5,0)</f>
        <v>25.80688496437903</v>
      </c>
      <c r="CA20" s="13">
        <f t="shared" si="39"/>
        <v>8.146323052908933</v>
      </c>
      <c r="CB20" s="20">
        <f t="shared" si="10"/>
        <v>59.135170630109862</v>
      </c>
      <c r="CC20" s="59">
        <f t="shared" si="11"/>
        <v>336.57961507455434</v>
      </c>
      <c r="CD20" s="59">
        <f ca="1">AVERAGE(OFFSET($CC$3,0,0,'Données projet'!$E$12+1,1))-AVERAGE(OFFSET($H$3,0,0,'Données projet'!$E$12+1,1))</f>
        <v>354.06521046071936</v>
      </c>
      <c r="CE20" s="59">
        <f t="shared" si="40"/>
        <v>206.22956332364367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2.1</v>
      </c>
      <c r="N21" s="13">
        <f>IF('Données projet'!$A$36&gt;35,N20+M21-V20,IF(A21&lt;'Données projet'!$A$36,$K$205^A21,IF(A21='Données projet'!$A$36,'Données projet'!$B$36,N20+M21-V20)))</f>
        <v>28.901764726506816</v>
      </c>
      <c r="O21" s="13">
        <f>N21*VLOOKUP('Données projet'!$B$9,Paramètres!$A$1:$I$89,3,0)*VLOOKUP('Données projet'!$B$9,Paramètres!$A$1:$I$89,5,0)</f>
        <v>26.150316724543362</v>
      </c>
      <c r="P21" s="13">
        <f t="shared" si="33"/>
        <v>8.2420396752158016</v>
      </c>
      <c r="Q21" s="20">
        <f t="shared" si="2"/>
        <v>59.900020729580547</v>
      </c>
      <c r="R21" s="59">
        <f t="shared" si="0"/>
        <v>338.56668739624723</v>
      </c>
      <c r="S21" s="59">
        <f ca="1">AVERAGE(OFFSET($R$3,0,0,'Données projet'!$E$9+1,1))-AVERAGE(OFFSET($H$3,0,0,'Données projet'!$E$9+1,1))</f>
        <v>280.79223530986889</v>
      </c>
      <c r="T21" s="59">
        <f t="shared" si="34"/>
        <v>170.29932835468685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29.306389432677911</v>
      </c>
      <c r="AK21" s="13">
        <f t="shared" si="35"/>
        <v>9.1150691477493808</v>
      </c>
      <c r="AL21" s="20">
        <f t="shared" si="4"/>
        <v>66.917373694244205</v>
      </c>
      <c r="AM21" s="59">
        <f t="shared" si="5"/>
        <v>345.58404036091088</v>
      </c>
      <c r="AN21" s="59">
        <f ca="1">AVERAGE(OFFSET($AM$3,0,0,'Données projet'!$E$10+1,1))-AVERAGE(OFFSET($H$3,0,0,'Données projet'!$E$10+1,1))</f>
        <v>327.4505861600158</v>
      </c>
      <c r="AO21" s="59">
        <f t="shared" si="36"/>
        <v>193.18009444354595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2.1</v>
      </c>
      <c r="BD21" s="12">
        <f>IF('Données projet'!$A$88&gt;35,BD20+BC21-BL20,IF(A21&lt;'Données projet'!$A$88,$BA$205^A21,IF(A21='Données projet'!$A$88,'Données projet'!$B$88,BD20+BC21-BL20)))</f>
        <v>28.901764726506816</v>
      </c>
      <c r="BE21" s="13">
        <f>BD21*VLOOKUP('Données projet'!$B$11,Paramètres!$A$1:$I$89,3,0)*VLOOKUP('Données projet'!$B$11,Paramètres!$A$1:$I$89,5,0)</f>
        <v>30.208124492144925</v>
      </c>
      <c r="BF21" s="13">
        <f t="shared" si="37"/>
        <v>9.3624480590699601</v>
      </c>
      <c r="BG21" s="20">
        <f t="shared" si="7"/>
        <v>68.918747193365917</v>
      </c>
      <c r="BH21" s="59">
        <f t="shared" si="8"/>
        <v>347.58541386003259</v>
      </c>
      <c r="BI21" s="59">
        <f ca="1">AVERAGE(OFFSET($BH$3,0,0,'Données projet'!$E$11+1,1))-AVERAGE(OFFSET($H$3,0,0,'Données projet'!$E$11+1,1))</f>
        <v>340.76197766679212</v>
      </c>
      <c r="BJ21" s="59">
        <f t="shared" si="38"/>
        <v>199.70700738826872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2.1</v>
      </c>
      <c r="BY21" s="12">
        <f>IF('Données projet'!$A$114&gt;35,BY20+BX21-CG20,IF(A21&lt;'Données projet'!$A$114,$BV$205^A21,IF(A21='Données projet'!$A$114,'Données projet'!$B$114,BY20+BX21-CG20)))</f>
        <v>28.901764726506816</v>
      </c>
      <c r="BZ21" s="13">
        <f>BY21*VLOOKUP('Données projet'!$B$12,Paramètres!$A$1:$I$89,3,0)*VLOOKUP('Données projet'!$B$12,Paramètres!$A$1:$I$89,5,0)</f>
        <v>31.109859551611933</v>
      </c>
      <c r="CA21" s="13">
        <f t="shared" si="39"/>
        <v>9.6089687778941872</v>
      </c>
      <c r="CB21" s="20">
        <f t="shared" si="10"/>
        <v>70.918626007223153</v>
      </c>
      <c r="CC21" s="59">
        <f t="shared" si="11"/>
        <v>349.58529267388985</v>
      </c>
      <c r="CD21" s="59">
        <f ca="1">AVERAGE(OFFSET($CC$3,0,0,'Données projet'!$E$12+1,1))-AVERAGE(OFFSET($H$3,0,0,'Données projet'!$E$12+1,1))</f>
        <v>354.06521046071936</v>
      </c>
      <c r="CE21" s="59">
        <f t="shared" si="40"/>
        <v>206.22956332364367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2.1</v>
      </c>
      <c r="N22" s="13">
        <f>IF('Données projet'!$A$36&gt;35,N21+M22-V21,IF(A22&lt;'Données projet'!$A$36,$K$205^A22,IF(A22='Données projet'!$A$36,'Données projet'!$B$36,N21+M22-V21)))</f>
        <v>34.840696297767764</v>
      </c>
      <c r="O22" s="13">
        <f>N22*VLOOKUP('Données projet'!$B$9,Paramètres!$A$1:$I$89,3,0)*VLOOKUP('Données projet'!$B$9,Paramètres!$A$1:$I$89,5,0)</f>
        <v>31.52386201022027</v>
      </c>
      <c r="P22" s="13">
        <f t="shared" si="33"/>
        <v>9.7218710074397983</v>
      </c>
      <c r="Q22" s="20">
        <f t="shared" si="2"/>
        <v>71.836318339091292</v>
      </c>
      <c r="R22" s="59">
        <f t="shared" si="0"/>
        <v>351.72520722798015</v>
      </c>
      <c r="S22" s="59">
        <f ca="1">AVERAGE(OFFSET($R$3,0,0,'Données projet'!$E$9+1,1))-AVERAGE(OFFSET($H$3,0,0,'Données projet'!$E$9+1,1))</f>
        <v>280.79223530986889</v>
      </c>
      <c r="T22" s="59">
        <f t="shared" si="34"/>
        <v>170.29932835468685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35.328466045936516</v>
      </c>
      <c r="AK22" s="13">
        <f t="shared" si="35"/>
        <v>10.751650073316766</v>
      </c>
      <c r="AL22" s="20">
        <f t="shared" si="4"/>
        <v>80.256202241032796</v>
      </c>
      <c r="AM22" s="59">
        <f t="shared" si="5"/>
        <v>360.14509112992164</v>
      </c>
      <c r="AN22" s="59">
        <f ca="1">AVERAGE(OFFSET($AM$3,0,0,'Données projet'!$E$10+1,1))-AVERAGE(OFFSET($H$3,0,0,'Données projet'!$E$10+1,1))</f>
        <v>327.4505861600158</v>
      </c>
      <c r="AO22" s="59">
        <f t="shared" si="36"/>
        <v>193.18009444354595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2.1</v>
      </c>
      <c r="BD22" s="12">
        <f>IF('Données projet'!$A$88&gt;35,BD21+BC22-BL21,IF(A22&lt;'Données projet'!$A$88,$BA$205^A22,IF(A22='Données projet'!$A$88,'Données projet'!$B$88,BD21+BC22-BL21)))</f>
        <v>34.840696297767764</v>
      </c>
      <c r="BE22" s="13">
        <f>BD22*VLOOKUP('Données projet'!$B$11,Paramètres!$A$1:$I$89,3,0)*VLOOKUP('Données projet'!$B$11,Paramètres!$A$1:$I$89,5,0)</f>
        <v>36.415495770426872</v>
      </c>
      <c r="BF22" s="13">
        <f t="shared" si="37"/>
        <v>11.043445061037035</v>
      </c>
      <c r="BG22" s="20">
        <f t="shared" si="7"/>
        <v>82.65765528146629</v>
      </c>
      <c r="BH22" s="59">
        <f t="shared" si="8"/>
        <v>362.54654417035516</v>
      </c>
      <c r="BI22" s="59">
        <f ca="1">AVERAGE(OFFSET($BH$3,0,0,'Données projet'!$E$11+1,1))-AVERAGE(OFFSET($H$3,0,0,'Données projet'!$E$11+1,1))</f>
        <v>340.76197766679212</v>
      </c>
      <c r="BJ22" s="59">
        <f t="shared" si="38"/>
        <v>199.70700738826872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2.1</v>
      </c>
      <c r="BY22" s="12">
        <f>IF('Données projet'!$A$114&gt;35,BY21+BX22-CG21,IF(A22&lt;'Données projet'!$A$114,$BV$205^A22,IF(A22='Données projet'!$A$114,'Données projet'!$B$114,BY21+BX22-CG21)))</f>
        <v>34.840696297767764</v>
      </c>
      <c r="BZ22" s="13">
        <f>BY22*VLOOKUP('Données projet'!$B$12,Paramètres!$A$1:$I$89,3,0)*VLOOKUP('Données projet'!$B$12,Paramètres!$A$1:$I$89,5,0)</f>
        <v>37.502525494917215</v>
      </c>
      <c r="CA22" s="13">
        <f t="shared" si="39"/>
        <v>11.334227770598273</v>
      </c>
      <c r="CB22" s="20">
        <f t="shared" si="10"/>
        <v>85.057345270772814</v>
      </c>
      <c r="CC22" s="59">
        <f t="shared" si="11"/>
        <v>364.94623415966169</v>
      </c>
      <c r="CD22" s="59">
        <f ca="1">AVERAGE(OFFSET($CC$3,0,0,'Données projet'!$E$12+1,1))-AVERAGE(OFFSET($H$3,0,0,'Données projet'!$E$12+1,1))</f>
        <v>354.06521046071936</v>
      </c>
      <c r="CE22" s="59">
        <f t="shared" si="40"/>
        <v>206.22956332364367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42</v>
      </c>
      <c r="L23" s="12">
        <f>VLOOKUP(A23,'Données projet'!$A$35:$I$55,9,0)</f>
        <v>2.1</v>
      </c>
      <c r="M23" s="12">
        <f t="array" ref="M23">INDEX(L:L,MIN(IF(ISNUMBER(L23:L219),ROW(L23:L219),"")))</f>
        <v>2.1</v>
      </c>
      <c r="N23" s="13">
        <f>IF('Données projet'!$A$36&gt;35,N22+M23-V22,IF(A23&lt;'Données projet'!$A$36,$K$205^A23,IF(A23='Données projet'!$A$36,'Données projet'!$B$36,N22+M23-V22)))</f>
        <v>42</v>
      </c>
      <c r="O23" s="13">
        <f>N23*VLOOKUP('Données projet'!$B$9,Paramètres!$A$1:$I$89,3,0)*VLOOKUP('Données projet'!$B$9,Paramètres!$A$1:$I$89,5,0)</f>
        <v>38.001600000000003</v>
      </c>
      <c r="P23" s="13">
        <f t="shared" si="33"/>
        <v>11.467401227090512</v>
      </c>
      <c r="Q23" s="20">
        <f t="shared" si="2"/>
        <v>86.158510470515978</v>
      </c>
      <c r="R23" s="59">
        <f t="shared" si="0"/>
        <v>367.26962158162712</v>
      </c>
      <c r="S23" s="59">
        <f ca="1">AVERAGE(OFFSET($R$3,0,0,'Données projet'!$E$9+1,1))-AVERAGE(OFFSET($H$3,0,0,'Données projet'!$E$9+1,1))</f>
        <v>280.79223530986889</v>
      </c>
      <c r="T23" s="59">
        <f t="shared" si="34"/>
        <v>170.29932835468685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42.588000000000001</v>
      </c>
      <c r="AK23" s="13">
        <f t="shared" si="35"/>
        <v>12.682073764365764</v>
      </c>
      <c r="AL23" s="20">
        <f t="shared" si="4"/>
        <v>96.262045139603686</v>
      </c>
      <c r="AM23" s="59">
        <f t="shared" si="5"/>
        <v>377.37315625071483</v>
      </c>
      <c r="AN23" s="59">
        <f ca="1">AVERAGE(OFFSET($AM$3,0,0,'Données projet'!$E$10+1,1))-AVERAGE(OFFSET($H$3,0,0,'Données projet'!$E$10+1,1))</f>
        <v>327.4505861600158</v>
      </c>
      <c r="AO23" s="59">
        <f t="shared" si="36"/>
        <v>193.18009444354595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42</v>
      </c>
      <c r="BB23" s="12">
        <f>VLOOKUP(A23,'Données projet'!$A$87:$I$107,9,0)</f>
        <v>2.1</v>
      </c>
      <c r="BC23" s="12">
        <f t="array" ref="BC23">INDEX(BB:BB,MIN(IF(ISNUMBER(BB23:BB219),ROW(BB23:BB219),"")))</f>
        <v>2.1</v>
      </c>
      <c r="BD23" s="12">
        <f>IF('Données projet'!$A$88&gt;35,BD22+BC23-BL22,IF(A23&lt;'Données projet'!$A$88,$BA$205^A23,IF(A23='Données projet'!$A$88,'Données projet'!$B$88,BD22+BC23-BL22)))</f>
        <v>42</v>
      </c>
      <c r="BE23" s="13">
        <f>BD23*VLOOKUP('Données projet'!$B$11,Paramètres!$A$1:$I$89,3,0)*VLOOKUP('Données projet'!$B$11,Paramètres!$A$1:$I$89,5,0)</f>
        <v>43.898400000000002</v>
      </c>
      <c r="BF23" s="13">
        <f t="shared" si="37"/>
        <v>13.026259590086106</v>
      </c>
      <c r="BG23" s="20">
        <f t="shared" si="7"/>
        <v>99.143782119399972</v>
      </c>
      <c r="BH23" s="59">
        <f t="shared" si="8"/>
        <v>380.25489323051113</v>
      </c>
      <c r="BI23" s="59">
        <f ca="1">AVERAGE(OFFSET($BH$3,0,0,'Données projet'!$E$11+1,1))-AVERAGE(OFFSET($H$3,0,0,'Données projet'!$E$11+1,1))</f>
        <v>340.76197766679212</v>
      </c>
      <c r="BJ23" s="59">
        <f t="shared" si="38"/>
        <v>199.70700738826872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42</v>
      </c>
      <c r="BW23" s="12">
        <f>VLOOKUP(A23,'Données projet'!$A$113:$I$133,9,0)</f>
        <v>2.1</v>
      </c>
      <c r="BX23" s="12">
        <f t="array" ref="BX23">INDEX(BW:BW,MIN(IF(ISNUMBER(BW23:BW219),ROW(BW23:BW219),"")))</f>
        <v>2.1</v>
      </c>
      <c r="BY23" s="12">
        <f>IF('Données projet'!$A$114&gt;35,BY22+BX23-CG22,IF(A23&lt;'Données projet'!$A$114,$BV$205^A23,IF(A23='Données projet'!$A$114,'Données projet'!$B$114,BY22+BX23-CG22)))</f>
        <v>42</v>
      </c>
      <c r="BZ23" s="13">
        <f>BY23*VLOOKUP('Données projet'!$B$12,Paramètres!$A$1:$I$89,3,0)*VLOOKUP('Données projet'!$B$12,Paramètres!$A$1:$I$89,5,0)</f>
        <v>45.208799999999997</v>
      </c>
      <c r="CA23" s="13">
        <f t="shared" si="39"/>
        <v>13.369251386406743</v>
      </c>
      <c r="CB23" s="20">
        <f t="shared" si="10"/>
        <v>102.02343949799173</v>
      </c>
      <c r="CC23" s="59">
        <f t="shared" si="11"/>
        <v>383.13455060910286</v>
      </c>
      <c r="CD23" s="59">
        <f ca="1">AVERAGE(OFFSET($CC$3,0,0,'Données projet'!$E$12+1,1))-AVERAGE(OFFSET($H$3,0,0,'Données projet'!$E$12+1,1))</f>
        <v>354.06521046071936</v>
      </c>
      <c r="CE23" s="59">
        <f t="shared" si="40"/>
        <v>206.22956332364367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5.8</v>
      </c>
      <c r="N24" s="13">
        <f>IF('Données projet'!$A$36&gt;35,N23+M24-V23,IF(A24&lt;'Données projet'!$A$36,$K$205^A24,IF(A24='Données projet'!$A$36,'Données projet'!$B$36,N23+M24-V23)))</f>
        <v>47.8</v>
      </c>
      <c r="O24" s="13">
        <f>N24*VLOOKUP('Données projet'!$B$9,Paramètres!$A$1:$I$89,3,0)*VLOOKUP('Données projet'!$B$9,Paramètres!$A$1:$I$89,5,0)</f>
        <v>43.249439999999993</v>
      </c>
      <c r="P24" s="13">
        <f t="shared" si="33"/>
        <v>12.85595739620004</v>
      </c>
      <c r="Q24" s="20">
        <f t="shared" si="2"/>
        <v>97.716900465048397</v>
      </c>
      <c r="R24" s="59">
        <f t="shared" si="0"/>
        <v>380.05023379838173</v>
      </c>
      <c r="S24" s="59">
        <f ca="1">AVERAGE(OFFSET($R$3,0,0,'Données projet'!$E$9+1,1))-AVERAGE(OFFSET($H$3,0,0,'Données projet'!$E$9+1,1))</f>
        <v>280.79223530986889</v>
      </c>
      <c r="T24" s="59">
        <f t="shared" si="34"/>
        <v>170.29932835468685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5.8</v>
      </c>
      <c r="AI24" s="13">
        <f>IF('Données projet'!$A$62&gt;35,AI23+AH24-AQ23,IF(A24&lt;'Données projet'!$A$62,$AF$205^A24,IF(A24='Données projet'!$A$62,'Données projet'!$B$62,AI23+AH24-AQ23)))</f>
        <v>47.8</v>
      </c>
      <c r="AJ24" s="13">
        <f>AI24*VLOOKUP('Données projet'!$B$10,Paramètres!$A$1:$I$89,3,0)*VLOOKUP('Données projet'!$B$10,Paramètres!$A$1:$I$89,5,0)</f>
        <v>48.469200000000001</v>
      </c>
      <c r="AK24" s="13">
        <f t="shared" si="35"/>
        <v>14.217711300184344</v>
      </c>
      <c r="AL24" s="20">
        <f t="shared" si="4"/>
        <v>109.17970384782107</v>
      </c>
      <c r="AM24" s="59">
        <f t="shared" si="5"/>
        <v>391.5130371811544</v>
      </c>
      <c r="AN24" s="59">
        <f ca="1">AVERAGE(OFFSET($AM$3,0,0,'Données projet'!$E$10+1,1))-AVERAGE(OFFSET($H$3,0,0,'Données projet'!$E$10+1,1))</f>
        <v>327.4505861600158</v>
      </c>
      <c r="AO24" s="59">
        <f t="shared" si="36"/>
        <v>193.18009444354595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5.8</v>
      </c>
      <c r="BD24" s="12">
        <f>IF('Données projet'!$A$88&gt;35,BD23+BC24-BL23,IF(A24&lt;'Données projet'!$A$88,$BA$205^A24,IF(A24='Données projet'!$A$88,'Données projet'!$B$88,BD23+BC24-BL23)))</f>
        <v>47.8</v>
      </c>
      <c r="BE24" s="13">
        <f>BD24*VLOOKUP('Données projet'!$B$11,Paramètres!$A$1:$I$89,3,0)*VLOOKUP('Données projet'!$B$11,Paramètres!$A$1:$I$89,5,0)</f>
        <v>49.960560000000008</v>
      </c>
      <c r="BF24" s="13">
        <f t="shared" si="37"/>
        <v>14.603573643727653</v>
      </c>
      <c r="BG24" s="20">
        <f t="shared" si="7"/>
        <v>112.44919942949234</v>
      </c>
      <c r="BH24" s="59">
        <f t="shared" si="8"/>
        <v>394.78253276282567</v>
      </c>
      <c r="BI24" s="59">
        <f ca="1">AVERAGE(OFFSET($BH$3,0,0,'Données projet'!$E$11+1,1))-AVERAGE(OFFSET($H$3,0,0,'Données projet'!$E$11+1,1))</f>
        <v>340.76197766679212</v>
      </c>
      <c r="BJ24" s="59">
        <f t="shared" si="38"/>
        <v>199.70700738826872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5.8</v>
      </c>
      <c r="BY24" s="12">
        <f>IF('Données projet'!$A$114&gt;35,BY23+BX24-CG23,IF(A24&lt;'Données projet'!$A$114,$BV$205^A24,IF(A24='Données projet'!$A$114,'Données projet'!$B$114,BY23+BX24-CG23)))</f>
        <v>47.8</v>
      </c>
      <c r="BZ24" s="13">
        <f>BY24*VLOOKUP('Données projet'!$B$12,Paramètres!$A$1:$I$89,3,0)*VLOOKUP('Données projet'!$B$12,Paramètres!$A$1:$I$89,5,0)</f>
        <v>51.451919999999987</v>
      </c>
      <c r="CA24" s="13">
        <f t="shared" si="39"/>
        <v>14.988097376125479</v>
      </c>
      <c r="CB24" s="20">
        <f t="shared" si="10"/>
        <v>115.71636359675186</v>
      </c>
      <c r="CC24" s="59">
        <f t="shared" si="11"/>
        <v>398.04969693008519</v>
      </c>
      <c r="CD24" s="59">
        <f ca="1">AVERAGE(OFFSET($CC$3,0,0,'Données projet'!$E$12+1,1))-AVERAGE(OFFSET($H$3,0,0,'Données projet'!$E$12+1,1))</f>
        <v>354.06521046071936</v>
      </c>
      <c r="CE24" s="59">
        <f t="shared" si="40"/>
        <v>206.22956332364367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5.8</v>
      </c>
      <c r="N25" s="13">
        <f>IF('Données projet'!$A$36&gt;35,N24+M25-V24,IF(A25&lt;'Données projet'!$A$36,$K$205^A25,IF(A25='Données projet'!$A$36,'Données projet'!$B$36,N24+M25-V24)))</f>
        <v>53.599999999999994</v>
      </c>
      <c r="O25" s="13">
        <f>N25*VLOOKUP('Données projet'!$B$9,Paramètres!$A$1:$I$89,3,0)*VLOOKUP('Données projet'!$B$9,Paramètres!$A$1:$I$89,5,0)</f>
        <v>48.497279999999989</v>
      </c>
      <c r="P25" s="13">
        <f t="shared" si="33"/>
        <v>14.224989131913244</v>
      </c>
      <c r="Q25" s="20">
        <f t="shared" si="2"/>
        <v>109.24128540474889</v>
      </c>
      <c r="R25" s="59">
        <f t="shared" si="0"/>
        <v>392.79684096030445</v>
      </c>
      <c r="S25" s="59">
        <f ca="1">AVERAGE(OFFSET($R$3,0,0,'Données projet'!$E$9+1,1))-AVERAGE(OFFSET($H$3,0,0,'Données projet'!$E$9+1,1))</f>
        <v>280.79223530986889</v>
      </c>
      <c r="T25" s="59">
        <f t="shared" si="34"/>
        <v>170.29932835468685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5.8</v>
      </c>
      <c r="AI25" s="13">
        <f>IF('Données projet'!$A$62&gt;35,AI24+AH25-AQ24,IF(A25&lt;'Données projet'!$A$62,$AF$205^A25,IF(A25='Données projet'!$A$62,'Données projet'!$B$62,AI24+AH25-AQ24)))</f>
        <v>53.599999999999994</v>
      </c>
      <c r="AJ25" s="13">
        <f>AI25*VLOOKUP('Données projet'!$B$10,Paramètres!$A$1:$I$89,3,0)*VLOOKUP('Données projet'!$B$10,Paramètres!$A$1:$I$89,5,0)</f>
        <v>54.350399999999993</v>
      </c>
      <c r="AK25" s="13">
        <f t="shared" si="35"/>
        <v>15.731756297324257</v>
      </c>
      <c r="AL25" s="20">
        <f t="shared" si="4"/>
        <v>122.05975555117305</v>
      </c>
      <c r="AM25" s="59">
        <f t="shared" si="5"/>
        <v>405.6153111067286</v>
      </c>
      <c r="AN25" s="59">
        <f ca="1">AVERAGE(OFFSET($AM$3,0,0,'Données projet'!$E$10+1,1))-AVERAGE(OFFSET($H$3,0,0,'Données projet'!$E$10+1,1))</f>
        <v>327.4505861600158</v>
      </c>
      <c r="AO25" s="59">
        <f t="shared" si="36"/>
        <v>193.18009444354595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5.8</v>
      </c>
      <c r="BD25" s="12">
        <f>IF('Données projet'!$A$88&gt;35,BD24+BC25-BL24,IF(A25&lt;'Données projet'!$A$88,$BA$205^A25,IF(A25='Données projet'!$A$88,'Données projet'!$B$88,BD24+BC25-BL24)))</f>
        <v>53.599999999999994</v>
      </c>
      <c r="BE25" s="13">
        <f>BD25*VLOOKUP('Données projet'!$B$11,Paramètres!$A$1:$I$89,3,0)*VLOOKUP('Données projet'!$B$11,Paramètres!$A$1:$I$89,5,0)</f>
        <v>56.02272</v>
      </c>
      <c r="BF25" s="13">
        <f t="shared" si="37"/>
        <v>16.158709146821149</v>
      </c>
      <c r="BG25" s="20">
        <f t="shared" si="7"/>
        <v>125.71598909738016</v>
      </c>
      <c r="BH25" s="59">
        <f t="shared" si="8"/>
        <v>409.27154465293569</v>
      </c>
      <c r="BI25" s="59">
        <f ca="1">AVERAGE(OFFSET($BH$3,0,0,'Données projet'!$E$11+1,1))-AVERAGE(OFFSET($H$3,0,0,'Données projet'!$E$11+1,1))</f>
        <v>340.76197766679212</v>
      </c>
      <c r="BJ25" s="59">
        <f t="shared" si="38"/>
        <v>199.70700738826872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5.8</v>
      </c>
      <c r="BY25" s="12">
        <f>IF('Données projet'!$A$114&gt;35,BY24+BX25-CG24,IF(A25&lt;'Données projet'!$A$114,$BV$205^A25,IF(A25='Données projet'!$A$114,'Données projet'!$B$114,BY24+BX25-CG24)))</f>
        <v>53.599999999999994</v>
      </c>
      <c r="BZ25" s="13">
        <f>BY25*VLOOKUP('Données projet'!$B$12,Paramètres!$A$1:$I$89,3,0)*VLOOKUP('Données projet'!$B$12,Paramètres!$A$1:$I$89,5,0)</f>
        <v>57.695039999999992</v>
      </c>
      <c r="CA25" s="13">
        <f t="shared" si="39"/>
        <v>16.584180836384974</v>
      </c>
      <c r="CB25" s="20">
        <f t="shared" si="10"/>
        <v>129.36964295670381</v>
      </c>
      <c r="CC25" s="59">
        <f t="shared" si="11"/>
        <v>412.92519851225939</v>
      </c>
      <c r="CD25" s="59">
        <f ca="1">AVERAGE(OFFSET($CC$3,0,0,'Données projet'!$E$12+1,1))-AVERAGE(OFFSET($H$3,0,0,'Données projet'!$E$12+1,1))</f>
        <v>354.06521046071936</v>
      </c>
      <c r="CE25" s="59">
        <f t="shared" si="40"/>
        <v>206.22956332364367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5.8</v>
      </c>
      <c r="N26" s="13">
        <f>IF('Données projet'!$A$36&gt;35,N25+M26-V25,IF(A26&lt;'Données projet'!$A$36,$K$205^A26,IF(A26='Données projet'!$A$36,'Données projet'!$B$36,N25+M26-V25)))</f>
        <v>59.399999999999991</v>
      </c>
      <c r="O26" s="13">
        <f>N26*VLOOKUP('Données projet'!$B$9,Paramètres!$A$1:$I$89,3,0)*VLOOKUP('Données projet'!$B$9,Paramètres!$A$1:$I$89,5,0)</f>
        <v>53.745119999999986</v>
      </c>
      <c r="P26" s="13">
        <f t="shared" si="33"/>
        <v>15.576850002330584</v>
      </c>
      <c r="Q26" s="20">
        <f t="shared" si="2"/>
        <v>120.73576442072574</v>
      </c>
      <c r="R26" s="59">
        <f t="shared" si="0"/>
        <v>405.5135421985035</v>
      </c>
      <c r="S26" s="59">
        <f ca="1">AVERAGE(OFFSET($R$3,0,0,'Données projet'!$E$9+1,1))-AVERAGE(OFFSET($H$3,0,0,'Données projet'!$E$9+1,1))</f>
        <v>280.79223530986889</v>
      </c>
      <c r="T26" s="59">
        <f t="shared" si="34"/>
        <v>170.29932835468685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5.8</v>
      </c>
      <c r="AI26" s="13">
        <f>IF('Données projet'!$A$62&gt;35,AI25+AH26-AQ25,IF(A26&lt;'Données projet'!$A$62,$AF$205^A26,IF(A26='Données projet'!$A$62,'Données projet'!$B$62,AI25+AH26-AQ25)))</f>
        <v>59.399999999999991</v>
      </c>
      <c r="AJ26" s="13">
        <f>AI26*VLOOKUP('Données projet'!$B$10,Paramètres!$A$1:$I$89,3,0)*VLOOKUP('Données projet'!$B$10,Paramètres!$A$1:$I$89,5,0)</f>
        <v>60.231599999999993</v>
      </c>
      <c r="AK26" s="13">
        <f t="shared" si="35"/>
        <v>17.226811623136925</v>
      </c>
      <c r="AL26" s="20">
        <f t="shared" si="4"/>
        <v>134.90673357696349</v>
      </c>
      <c r="AM26" s="59">
        <f t="shared" si="5"/>
        <v>419.68451135474129</v>
      </c>
      <c r="AN26" s="59">
        <f ca="1">AVERAGE(OFFSET($AM$3,0,0,'Données projet'!$E$10+1,1))-AVERAGE(OFFSET($H$3,0,0,'Données projet'!$E$10+1,1))</f>
        <v>327.4505861600158</v>
      </c>
      <c r="AO26" s="59">
        <f t="shared" si="36"/>
        <v>193.18009444354595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5.8</v>
      </c>
      <c r="BD26" s="12">
        <f>IF('Données projet'!$A$88&gt;35,BD25+BC26-BL25,IF(A26&lt;'Données projet'!$A$88,$BA$205^A26,IF(A26='Données projet'!$A$88,'Données projet'!$B$88,BD25+BC26-BL25)))</f>
        <v>59.399999999999991</v>
      </c>
      <c r="BE26" s="13">
        <f>BD26*VLOOKUP('Données projet'!$B$11,Paramètres!$A$1:$I$89,3,0)*VLOOKUP('Données projet'!$B$11,Paramètres!$A$1:$I$89,5,0)</f>
        <v>62.084879999999991</v>
      </c>
      <c r="BF26" s="13">
        <f t="shared" si="37"/>
        <v>17.694339607377014</v>
      </c>
      <c r="BG26" s="20">
        <f t="shared" si="7"/>
        <v>138.94880748284825</v>
      </c>
      <c r="BH26" s="59">
        <f t="shared" si="8"/>
        <v>423.72658526062605</v>
      </c>
      <c r="BI26" s="59">
        <f ca="1">AVERAGE(OFFSET($BH$3,0,0,'Données projet'!$E$11+1,1))-AVERAGE(OFFSET($H$3,0,0,'Données projet'!$E$11+1,1))</f>
        <v>340.76197766679212</v>
      </c>
      <c r="BJ26" s="59">
        <f t="shared" si="38"/>
        <v>199.70700738826872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5.8</v>
      </c>
      <c r="BY26" s="12">
        <f>IF('Données projet'!$A$114&gt;35,BY25+BX26-CG25,IF(A26&lt;'Données projet'!$A$114,$BV$205^A26,IF(A26='Données projet'!$A$114,'Données projet'!$B$114,BY25+BX26-CG25)))</f>
        <v>59.399999999999991</v>
      </c>
      <c r="BZ26" s="13">
        <f>BY26*VLOOKUP('Données projet'!$B$12,Paramètres!$A$1:$I$89,3,0)*VLOOKUP('Données projet'!$B$12,Paramètres!$A$1:$I$89,5,0)</f>
        <v>63.938159999999989</v>
      </c>
      <c r="CA26" s="13">
        <f t="shared" si="39"/>
        <v>18.160245670792225</v>
      </c>
      <c r="CB26" s="20">
        <f t="shared" si="10"/>
        <v>142.98805654329644</v>
      </c>
      <c r="CC26" s="59">
        <f t="shared" si="11"/>
        <v>427.76583432107418</v>
      </c>
      <c r="CD26" s="59">
        <f ca="1">AVERAGE(OFFSET($CC$3,0,0,'Données projet'!$E$12+1,1))-AVERAGE(OFFSET($H$3,0,0,'Données projet'!$E$12+1,1))</f>
        <v>354.06521046071936</v>
      </c>
      <c r="CE26" s="59">
        <f t="shared" si="40"/>
        <v>206.22956332364367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5.8</v>
      </c>
      <c r="N27" s="13">
        <f>IF('Données projet'!$A$36&gt;35,N26+M27-V26,IF(A27&lt;'Données projet'!$A$36,$K$205^A27,IF(A27='Données projet'!$A$36,'Données projet'!$B$36,N26+M27-V26)))</f>
        <v>65.199999999999989</v>
      </c>
      <c r="O27" s="13">
        <f>N27*VLOOKUP('Données projet'!$B$9,Paramètres!$A$1:$I$89,3,0)*VLOOKUP('Données projet'!$B$9,Paramètres!$A$1:$I$89,5,0)</f>
        <v>58.992959999999982</v>
      </c>
      <c r="P27" s="13">
        <f t="shared" si="33"/>
        <v>16.913407425602649</v>
      </c>
      <c r="Q27" s="20">
        <f t="shared" si="2"/>
        <v>132.20358993292459</v>
      </c>
      <c r="R27" s="59">
        <f t="shared" si="0"/>
        <v>418.20358993292461</v>
      </c>
      <c r="S27" s="59">
        <f ca="1">AVERAGE(OFFSET($R$3,0,0,'Données projet'!$E$9+1,1))-AVERAGE(OFFSET($H$3,0,0,'Données projet'!$E$9+1,1))</f>
        <v>280.79223530986889</v>
      </c>
      <c r="T27" s="59">
        <f t="shared" si="34"/>
        <v>170.29932835468685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5.8</v>
      </c>
      <c r="AI27" s="13">
        <f>IF('Données projet'!$A$62&gt;35,AI26+AH27-AQ26,IF(A27&lt;'Données projet'!$A$62,$AF$205^A27,IF(A27='Données projet'!$A$62,'Données projet'!$B$62,AI26+AH27-AQ26)))</f>
        <v>65.199999999999989</v>
      </c>
      <c r="AJ27" s="13">
        <f>AI27*VLOOKUP('Données projet'!$B$10,Paramètres!$A$1:$I$89,3,0)*VLOOKUP('Données projet'!$B$10,Paramètres!$A$1:$I$89,5,0)</f>
        <v>66.112799999999993</v>
      </c>
      <c r="AK27" s="13">
        <f t="shared" si="35"/>
        <v>18.704942500096539</v>
      </c>
      <c r="AL27" s="20">
        <f t="shared" si="4"/>
        <v>147.72423485433478</v>
      </c>
      <c r="AM27" s="59">
        <f t="shared" si="5"/>
        <v>433.72423485433478</v>
      </c>
      <c r="AN27" s="59">
        <f ca="1">AVERAGE(OFFSET($AM$3,0,0,'Données projet'!$E$10+1,1))-AVERAGE(OFFSET($H$3,0,0,'Données projet'!$E$10+1,1))</f>
        <v>327.4505861600158</v>
      </c>
      <c r="AO27" s="59">
        <f t="shared" si="36"/>
        <v>193.18009444354595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5.8</v>
      </c>
      <c r="BD27" s="12">
        <f>IF('Données projet'!$A$88&gt;35,BD26+BC27-BL26,IF(A27&lt;'Données projet'!$A$88,$BA$205^A27,IF(A27='Données projet'!$A$88,'Données projet'!$B$88,BD26+BC27-BL26)))</f>
        <v>65.199999999999989</v>
      </c>
      <c r="BE27" s="13">
        <f>BD27*VLOOKUP('Données projet'!$B$11,Paramètres!$A$1:$I$89,3,0)*VLOOKUP('Données projet'!$B$11,Paramètres!$A$1:$I$89,5,0)</f>
        <v>68.147040000000004</v>
      </c>
      <c r="BF27" s="13">
        <f t="shared" si="37"/>
        <v>19.212586297086322</v>
      </c>
      <c r="BG27" s="20">
        <f t="shared" si="7"/>
        <v>152.15134913409202</v>
      </c>
      <c r="BH27" s="59">
        <f t="shared" si="8"/>
        <v>438.15134913409202</v>
      </c>
      <c r="BI27" s="59">
        <f ca="1">AVERAGE(OFFSET($BH$3,0,0,'Données projet'!$E$11+1,1))-AVERAGE(OFFSET($H$3,0,0,'Données projet'!$E$11+1,1))</f>
        <v>340.76197766679212</v>
      </c>
      <c r="BJ27" s="59">
        <f t="shared" si="38"/>
        <v>199.70700738826872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5.8</v>
      </c>
      <c r="BY27" s="12">
        <f>IF('Données projet'!$A$114&gt;35,BY26+BX27-CG26,IF(A27&lt;'Données projet'!$A$114,$BV$205^A27,IF(A27='Données projet'!$A$114,'Données projet'!$B$114,BY26+BX27-CG26)))</f>
        <v>65.199999999999989</v>
      </c>
      <c r="BZ27" s="13">
        <f>BY27*VLOOKUP('Données projet'!$B$12,Paramètres!$A$1:$I$89,3,0)*VLOOKUP('Données projet'!$B$12,Paramètres!$A$1:$I$89,5,0)</f>
        <v>70.181279999999973</v>
      </c>
      <c r="CA27" s="13">
        <f t="shared" si="39"/>
        <v>19.718469005812477</v>
      </c>
      <c r="CB27" s="20">
        <f t="shared" si="10"/>
        <v>156.57539618512337</v>
      </c>
      <c r="CC27" s="59">
        <f t="shared" si="11"/>
        <v>442.5753961851234</v>
      </c>
      <c r="CD27" s="59">
        <f ca="1">AVERAGE(OFFSET($CC$3,0,0,'Données projet'!$E$12+1,1))-AVERAGE(OFFSET($H$3,0,0,'Données projet'!$E$12+1,1))</f>
        <v>354.06521046071936</v>
      </c>
      <c r="CE27" s="59">
        <f t="shared" si="40"/>
        <v>206.22956332364367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71</v>
      </c>
      <c r="L28" s="12">
        <f>VLOOKUP(A28,'Données projet'!$A$35:$I$55,9,0)</f>
        <v>5.8</v>
      </c>
      <c r="M28" s="12">
        <f t="array" ref="M28">INDEX(L:L,MIN(IF(ISNUMBER(L28:L224),ROW(L28:L224),"")))</f>
        <v>5.8</v>
      </c>
      <c r="N28" s="13">
        <f>IF('Données projet'!$A$36&gt;35,N27+M28-V27,IF(A28&lt;'Données projet'!$A$36,$K$205^A28,IF(A28='Données projet'!$A$36,'Données projet'!$B$36,N27+M28-V27)))</f>
        <v>70.999999999999986</v>
      </c>
      <c r="O28" s="13">
        <f>N28*VLOOKUP('Données projet'!$B$9,Paramètres!$A$1:$I$89,3,0)*VLOOKUP('Données projet'!$B$9,Paramètres!$A$1:$I$89,5,0)</f>
        <v>64.240799999999979</v>
      </c>
      <c r="P28" s="13">
        <f t="shared" si="33"/>
        <v>18.236177554745847</v>
      </c>
      <c r="Q28" s="20">
        <f t="shared" si="2"/>
        <v>143.64740257451564</v>
      </c>
      <c r="R28" s="59">
        <f t="shared" si="0"/>
        <v>430.86962479673787</v>
      </c>
      <c r="S28" s="59">
        <f ca="1">AVERAGE(OFFSET($R$3,0,0,'Données projet'!$E$9+1,1))-AVERAGE(OFFSET($H$3,0,0,'Données projet'!$E$9+1,1))</f>
        <v>280.79223530986889</v>
      </c>
      <c r="T28" s="59">
        <f t="shared" si="34"/>
        <v>170.29932835468685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71</v>
      </c>
      <c r="AG28" s="12">
        <f>VLOOKUP(A28,'Données projet'!$A$61:$I$81,9,0)</f>
        <v>5.8</v>
      </c>
      <c r="AH28" s="12">
        <f t="array" ref="AH28">INDEX(AG:AG,MIN(IF(ISNUMBER(AG28:AG224),ROW(AG28:AG224),"")))</f>
        <v>5.8</v>
      </c>
      <c r="AI28" s="13">
        <f>IF('Données projet'!$A$62&gt;35,AI27+AH28-AQ27,IF(A28&lt;'Données projet'!$A$62,$AF$205^A28,IF(A28='Données projet'!$A$62,'Données projet'!$B$62,AI27+AH28-AQ27)))</f>
        <v>70.999999999999986</v>
      </c>
      <c r="AJ28" s="13">
        <f>AI28*VLOOKUP('Données projet'!$B$10,Paramètres!$A$1:$I$89,3,0)*VLOOKUP('Données projet'!$B$10,Paramètres!$A$1:$I$89,5,0)</f>
        <v>71.993999999999986</v>
      </c>
      <c r="AK28" s="13">
        <f t="shared" si="35"/>
        <v>20.167825678149413</v>
      </c>
      <c r="AL28" s="20">
        <f t="shared" si="4"/>
        <v>160.51517972277688</v>
      </c>
      <c r="AM28" s="59">
        <f t="shared" si="5"/>
        <v>447.73740194499908</v>
      </c>
      <c r="AN28" s="59">
        <f ca="1">AVERAGE(OFFSET($AM$3,0,0,'Données projet'!$E$10+1,1))-AVERAGE(OFFSET($H$3,0,0,'Données projet'!$E$10+1,1))</f>
        <v>327.4505861600158</v>
      </c>
      <c r="AO28" s="59">
        <f t="shared" si="36"/>
        <v>193.18009444354595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71</v>
      </c>
      <c r="BB28" s="12">
        <f>VLOOKUP(A28,'Données projet'!$A$87:$I$107,9,0)</f>
        <v>5.8</v>
      </c>
      <c r="BC28" s="12">
        <f t="array" ref="BC28">INDEX(BB:BB,MIN(IF(ISNUMBER(BB28:BB224),ROW(BB28:BB224),"")))</f>
        <v>5.8</v>
      </c>
      <c r="BD28" s="12">
        <f>IF('Données projet'!$A$88&gt;35,BD27+BC28-BL27,IF(A28&lt;'Données projet'!$A$88,$BA$205^A28,IF(A28='Données projet'!$A$88,'Données projet'!$B$88,BD27+BC28-BL27)))</f>
        <v>70.999999999999986</v>
      </c>
      <c r="BE28" s="13">
        <f>BD28*VLOOKUP('Données projet'!$B$11,Paramètres!$A$1:$I$89,3,0)*VLOOKUP('Données projet'!$B$11,Paramètres!$A$1:$I$89,5,0)</f>
        <v>74.209199999999996</v>
      </c>
      <c r="BF28" s="13">
        <f t="shared" si="37"/>
        <v>20.71517147214108</v>
      </c>
      <c r="BG28" s="20">
        <f t="shared" si="7"/>
        <v>165.32661364731237</v>
      </c>
      <c r="BH28" s="59">
        <f t="shared" si="8"/>
        <v>452.54883586953463</v>
      </c>
      <c r="BI28" s="59">
        <f ca="1">AVERAGE(OFFSET($BH$3,0,0,'Données projet'!$E$11+1,1))-AVERAGE(OFFSET($H$3,0,0,'Données projet'!$E$11+1,1))</f>
        <v>340.76197766679212</v>
      </c>
      <c r="BJ28" s="59">
        <f t="shared" si="38"/>
        <v>199.70700738826872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71</v>
      </c>
      <c r="BW28" s="12">
        <f>VLOOKUP(A28,'Données projet'!$A$113:$I$133,9,0)</f>
        <v>5.8</v>
      </c>
      <c r="BX28" s="12">
        <f t="array" ref="BX28">INDEX(BW:BW,MIN(IF(ISNUMBER(BW28:BW224),ROW(BW28:BW224),"")))</f>
        <v>5.8</v>
      </c>
      <c r="BY28" s="12">
        <f>IF('Données projet'!$A$114&gt;35,BY27+BX28-CG27,IF(A28&lt;'Données projet'!$A$114,$BV$205^A28,IF(A28='Données projet'!$A$114,'Données projet'!$B$114,BY27+BX28-CG27)))</f>
        <v>70.999999999999986</v>
      </c>
      <c r="BZ28" s="13">
        <f>BY28*VLOOKUP('Données projet'!$B$12,Paramètres!$A$1:$I$89,3,0)*VLOOKUP('Données projet'!$B$12,Paramètres!$A$1:$I$89,5,0)</f>
        <v>76.424399999999977</v>
      </c>
      <c r="CA28" s="13">
        <f t="shared" si="39"/>
        <v>21.260618446015851</v>
      </c>
      <c r="CB28" s="20">
        <f t="shared" si="10"/>
        <v>170.13474046014423</v>
      </c>
      <c r="CC28" s="59">
        <f t="shared" si="11"/>
        <v>457.35696268236643</v>
      </c>
      <c r="CD28" s="59">
        <f ca="1">AVERAGE(OFFSET($CC$3,0,0,'Données projet'!$E$12+1,1))-AVERAGE(OFFSET($H$3,0,0,'Données projet'!$E$12+1,1))</f>
        <v>354.06521046071936</v>
      </c>
      <c r="CE28" s="59">
        <f t="shared" si="40"/>
        <v>206.22956332364367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6.8</v>
      </c>
      <c r="N29" s="13">
        <f>IF('Données projet'!$A$36&gt;35,N28+M29-V28,IF(A29&lt;'Données projet'!$A$36,$K$205^A29,IF(A29='Données projet'!$A$36,'Données projet'!$B$36,N28+M29-V28)))</f>
        <v>69.799999999999983</v>
      </c>
      <c r="O29" s="13">
        <f>N29*VLOOKUP('Données projet'!$B$9,Paramètres!$A$1:$I$89,3,0)*VLOOKUP('Données projet'!$B$9,Paramètres!$A$1:$I$89,5,0)</f>
        <v>63.155039999999985</v>
      </c>
      <c r="P29" s="13">
        <f t="shared" si="33"/>
        <v>17.963567346799877</v>
      </c>
      <c r="Q29" s="20">
        <f t="shared" si="2"/>
        <v>141.28157446234309</v>
      </c>
      <c r="R29" s="59">
        <f t="shared" si="0"/>
        <v>429.72601890678754</v>
      </c>
      <c r="S29" s="59">
        <f ca="1">AVERAGE(OFFSET($R$3,0,0,'Données projet'!$E$9+1,1))-AVERAGE(OFFSET($H$3,0,0,'Données projet'!$E$9+1,1))</f>
        <v>280.79223530986889</v>
      </c>
      <c r="T29" s="59">
        <f t="shared" si="34"/>
        <v>170.29932835468685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6.8</v>
      </c>
      <c r="AI29" s="13">
        <f>IF('Données projet'!$A$62&gt;35,AI28+AH29-AQ28,IF(A29&lt;'Données projet'!$A$62,$AF$205^A29,IF(A29='Données projet'!$A$62,'Données projet'!$B$62,AI28+AH29-AQ28)))</f>
        <v>69.799999999999983</v>
      </c>
      <c r="AJ29" s="13">
        <f>AI29*VLOOKUP('Données projet'!$B$10,Paramètres!$A$1:$I$89,3,0)*VLOOKUP('Données projet'!$B$10,Paramètres!$A$1:$I$89,5,0)</f>
        <v>70.777199999999993</v>
      </c>
      <c r="AK29" s="13">
        <f t="shared" si="35"/>
        <v>19.866339517717321</v>
      </c>
      <c r="AL29" s="20">
        <f t="shared" si="4"/>
        <v>157.87083132669099</v>
      </c>
      <c r="AM29" s="59">
        <f t="shared" si="5"/>
        <v>446.31527577113548</v>
      </c>
      <c r="AN29" s="59">
        <f ca="1">AVERAGE(OFFSET($AM$3,0,0,'Données projet'!$E$10+1,1))-AVERAGE(OFFSET($H$3,0,0,'Données projet'!$E$10+1,1))</f>
        <v>327.4505861600158</v>
      </c>
      <c r="AO29" s="59">
        <f t="shared" si="36"/>
        <v>193.18009444354595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6.8</v>
      </c>
      <c r="BD29" s="12">
        <f>IF('Données projet'!$A$88&gt;35,BD28+BC29-BL28,IF(A29&lt;'Données projet'!$A$88,$BA$205^A29,IF(A29='Données projet'!$A$88,'Données projet'!$B$88,BD28+BC29-BL28)))</f>
        <v>69.799999999999983</v>
      </c>
      <c r="BE29" s="13">
        <f>BD29*VLOOKUP('Données projet'!$B$11,Paramètres!$A$1:$I$89,3,0)*VLOOKUP('Données projet'!$B$11,Paramètres!$A$1:$I$89,5,0)</f>
        <v>72.954959999999986</v>
      </c>
      <c r="BF29" s="13">
        <f t="shared" si="37"/>
        <v>20.405503111778629</v>
      </c>
      <c r="BG29" s="20">
        <f t="shared" si="7"/>
        <v>162.60280658634773</v>
      </c>
      <c r="BH29" s="59">
        <f t="shared" si="8"/>
        <v>451.04725103079215</v>
      </c>
      <c r="BI29" s="59">
        <f ca="1">AVERAGE(OFFSET($BH$3,0,0,'Données projet'!$E$11+1,1))-AVERAGE(OFFSET($H$3,0,0,'Données projet'!$E$11+1,1))</f>
        <v>340.76197766679212</v>
      </c>
      <c r="BJ29" s="59">
        <f t="shared" si="38"/>
        <v>199.70700738826872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6.8</v>
      </c>
      <c r="BY29" s="12">
        <f>IF('Données projet'!$A$114&gt;35,BY28+BX29-CG28,IF(A29&lt;'Données projet'!$A$114,$BV$205^A29,IF(A29='Données projet'!$A$114,'Données projet'!$B$114,BY28+BX29-CG28)))</f>
        <v>69.799999999999983</v>
      </c>
      <c r="BZ29" s="13">
        <f>BY29*VLOOKUP('Données projet'!$B$12,Paramètres!$A$1:$I$89,3,0)*VLOOKUP('Données projet'!$B$12,Paramètres!$A$1:$I$89,5,0)</f>
        <v>75.132719999999978</v>
      </c>
      <c r="CA29" s="13">
        <f t="shared" si="39"/>
        <v>20.942796270934011</v>
      </c>
      <c r="CB29" s="20">
        <f t="shared" si="10"/>
        <v>167.33152417187668</v>
      </c>
      <c r="CC29" s="59">
        <f t="shared" si="11"/>
        <v>455.77596861632117</v>
      </c>
      <c r="CD29" s="59">
        <f ca="1">AVERAGE(OFFSET($CC$3,0,0,'Données projet'!$E$12+1,1))-AVERAGE(OFFSET($H$3,0,0,'Données projet'!$E$12+1,1))</f>
        <v>354.06521046071936</v>
      </c>
      <c r="CE29" s="59">
        <f t="shared" si="40"/>
        <v>206.22956332364367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6.8</v>
      </c>
      <c r="N30" s="13">
        <f>IF('Données projet'!$A$36&gt;35,N29+M30-V29,IF(A30&lt;'Données projet'!$A$36,$K$205^A30,IF(A30='Données projet'!$A$36,'Données projet'!$B$36,N29+M30-V29)))</f>
        <v>76.59999999999998</v>
      </c>
      <c r="O30" s="13">
        <f>N30*VLOOKUP('Données projet'!$B$9,Paramètres!$A$1:$I$89,3,0)*VLOOKUP('Données projet'!$B$9,Paramètres!$A$1:$I$89,5,0)</f>
        <v>69.307679999999976</v>
      </c>
      <c r="P30" s="13">
        <f t="shared" si="33"/>
        <v>19.50143078484135</v>
      </c>
      <c r="Q30" s="20">
        <f t="shared" si="2"/>
        <v>154.67586795026531</v>
      </c>
      <c r="R30" s="59">
        <f t="shared" si="0"/>
        <v>444.34253461693197</v>
      </c>
      <c r="S30" s="59">
        <f ca="1">AVERAGE(OFFSET($R$3,0,0,'Données projet'!$E$9+1,1))-AVERAGE(OFFSET($H$3,0,0,'Données projet'!$E$9+1,1))</f>
        <v>280.79223530986889</v>
      </c>
      <c r="T30" s="59">
        <f t="shared" si="34"/>
        <v>170.29932835468685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6.8</v>
      </c>
      <c r="AI30" s="13">
        <f>IF('Données projet'!$A$62&gt;35,AI29+AH30-AQ29,IF(A30&lt;'Données projet'!$A$62,$AF$205^A30,IF(A30='Données projet'!$A$62,'Données projet'!$B$62,AI29+AH30-AQ29)))</f>
        <v>76.59999999999998</v>
      </c>
      <c r="AJ30" s="13">
        <f>AI30*VLOOKUP('Données projet'!$B$10,Paramètres!$A$1:$I$89,3,0)*VLOOKUP('Données projet'!$B$10,Paramètres!$A$1:$I$89,5,0)</f>
        <v>77.672399999999996</v>
      </c>
      <c r="AK30" s="13">
        <f t="shared" si="35"/>
        <v>21.567099539498781</v>
      </c>
      <c r="AL30" s="20">
        <f t="shared" si="4"/>
        <v>172.84212836462703</v>
      </c>
      <c r="AM30" s="59">
        <f t="shared" si="5"/>
        <v>462.50879503129374</v>
      </c>
      <c r="AN30" s="59">
        <f ca="1">AVERAGE(OFFSET($AM$3,0,0,'Données projet'!$E$10+1,1))-AVERAGE(OFFSET($H$3,0,0,'Données projet'!$E$10+1,1))</f>
        <v>327.4505861600158</v>
      </c>
      <c r="AO30" s="59">
        <f t="shared" si="36"/>
        <v>193.18009444354595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6.8</v>
      </c>
      <c r="BD30" s="12">
        <f>IF('Données projet'!$A$88&gt;35,BD29+BC30-BL29,IF(A30&lt;'Données projet'!$A$88,$BA$205^A30,IF(A30='Données projet'!$A$88,'Données projet'!$B$88,BD29+BC30-BL29)))</f>
        <v>76.59999999999998</v>
      </c>
      <c r="BE30" s="13">
        <f>BD30*VLOOKUP('Données projet'!$B$11,Paramètres!$A$1:$I$89,3,0)*VLOOKUP('Données projet'!$B$11,Paramètres!$A$1:$I$89,5,0)</f>
        <v>80.062319999999985</v>
      </c>
      <c r="BF30" s="13">
        <f t="shared" si="37"/>
        <v>22.15242100200695</v>
      </c>
      <c r="BG30" s="20">
        <f t="shared" si="7"/>
        <v>178.02400724516204</v>
      </c>
      <c r="BH30" s="59">
        <f t="shared" si="8"/>
        <v>467.69067391182875</v>
      </c>
      <c r="BI30" s="59">
        <f ca="1">AVERAGE(OFFSET($BH$3,0,0,'Données projet'!$E$11+1,1))-AVERAGE(OFFSET($H$3,0,0,'Données projet'!$E$11+1,1))</f>
        <v>340.76197766679212</v>
      </c>
      <c r="BJ30" s="59">
        <f t="shared" si="38"/>
        <v>199.70700738826872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6.8</v>
      </c>
      <c r="BY30" s="12">
        <f>IF('Données projet'!$A$114&gt;35,BY29+BX30-CG29,IF(A30&lt;'Données projet'!$A$114,$BV$205^A30,IF(A30='Données projet'!$A$114,'Données projet'!$B$114,BY29+BX30-CG29)))</f>
        <v>76.59999999999998</v>
      </c>
      <c r="BZ30" s="13">
        <f>BY30*VLOOKUP('Données projet'!$B$12,Paramètres!$A$1:$I$89,3,0)*VLOOKUP('Données projet'!$B$12,Paramètres!$A$1:$I$89,5,0)</f>
        <v>82.452239999999975</v>
      </c>
      <c r="CA30" s="13">
        <f t="shared" si="39"/>
        <v>22.735711901423088</v>
      </c>
      <c r="CB30" s="20">
        <f t="shared" si="10"/>
        <v>183.20234956164515</v>
      </c>
      <c r="CC30" s="59">
        <f t="shared" si="11"/>
        <v>472.86901622831181</v>
      </c>
      <c r="CD30" s="59">
        <f ca="1">AVERAGE(OFFSET($CC$3,0,0,'Données projet'!$E$12+1,1))-AVERAGE(OFFSET($H$3,0,0,'Données projet'!$E$12+1,1))</f>
        <v>354.06521046071936</v>
      </c>
      <c r="CE30" s="59">
        <f t="shared" si="40"/>
        <v>206.22956332364367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6.8</v>
      </c>
      <c r="N31" s="13">
        <f>IF('Données projet'!$A$36&gt;35,N30+M31-V30,IF(A31&lt;'Données projet'!$A$36,$K$205^A31,IF(A31='Données projet'!$A$36,'Données projet'!$B$36,N30+M31-V30)))</f>
        <v>83.399999999999977</v>
      </c>
      <c r="O31" s="13">
        <f>N31*VLOOKUP('Données projet'!$B$9,Paramètres!$A$1:$I$89,3,0)*VLOOKUP('Données projet'!$B$9,Paramètres!$A$1:$I$89,5,0)</f>
        <v>75.460319999999982</v>
      </c>
      <c r="P31" s="13">
        <f t="shared" si="33"/>
        <v>21.023463123249066</v>
      </c>
      <c r="Q31" s="20">
        <f t="shared" si="2"/>
        <v>168.04258893965877</v>
      </c>
      <c r="R31" s="59">
        <f t="shared" si="0"/>
        <v>458.9314778285476</v>
      </c>
      <c r="S31" s="59">
        <f ca="1">AVERAGE(OFFSET($R$3,0,0,'Données projet'!$E$9+1,1))-AVERAGE(OFFSET($H$3,0,0,'Données projet'!$E$9+1,1))</f>
        <v>280.79223530986889</v>
      </c>
      <c r="T31" s="59">
        <f t="shared" si="34"/>
        <v>170.29932835468685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6.8</v>
      </c>
      <c r="AI31" s="13">
        <f>IF('Données projet'!$A$62&gt;35,AI30+AH31-AQ30,IF(A31&lt;'Données projet'!$A$62,$AF$205^A31,IF(A31='Données projet'!$A$62,'Données projet'!$B$62,AI30+AH31-AQ30)))</f>
        <v>83.399999999999977</v>
      </c>
      <c r="AJ31" s="13">
        <f>AI31*VLOOKUP('Données projet'!$B$10,Paramètres!$A$1:$I$89,3,0)*VLOOKUP('Données projet'!$B$10,Paramètres!$A$1:$I$89,5,0)</f>
        <v>84.567599999999985</v>
      </c>
      <c r="AK31" s="13">
        <f t="shared" si="35"/>
        <v>23.250351568898118</v>
      </c>
      <c r="AL31" s="20">
        <f t="shared" si="4"/>
        <v>187.78293231583086</v>
      </c>
      <c r="AM31" s="59">
        <f t="shared" si="5"/>
        <v>478.67182120471972</v>
      </c>
      <c r="AN31" s="59">
        <f ca="1">AVERAGE(OFFSET($AM$3,0,0,'Données projet'!$E$10+1,1))-AVERAGE(OFFSET($H$3,0,0,'Données projet'!$E$10+1,1))</f>
        <v>327.4505861600158</v>
      </c>
      <c r="AO31" s="59">
        <f t="shared" si="36"/>
        <v>193.18009444354595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6.8</v>
      </c>
      <c r="BD31" s="12">
        <f>IF('Données projet'!$A$88&gt;35,BD30+BC31-BL30,IF(A31&lt;'Données projet'!$A$88,$BA$205^A31,IF(A31='Données projet'!$A$88,'Données projet'!$B$88,BD30+BC31-BL30)))</f>
        <v>83.399999999999977</v>
      </c>
      <c r="BE31" s="13">
        <f>BD31*VLOOKUP('Données projet'!$B$11,Paramètres!$A$1:$I$89,3,0)*VLOOKUP('Données projet'!$B$11,Paramètres!$A$1:$I$89,5,0)</f>
        <v>87.169679999999985</v>
      </c>
      <c r="BF31" s="13">
        <f t="shared" si="37"/>
        <v>23.881355740748528</v>
      </c>
      <c r="BG31" s="20">
        <f t="shared" si="7"/>
        <v>193.41388724847033</v>
      </c>
      <c r="BH31" s="59">
        <f t="shared" si="8"/>
        <v>484.30277613735916</v>
      </c>
      <c r="BI31" s="59">
        <f ca="1">AVERAGE(OFFSET($BH$3,0,0,'Données projet'!$E$11+1,1))-AVERAGE(OFFSET($H$3,0,0,'Données projet'!$E$11+1,1))</f>
        <v>340.76197766679212</v>
      </c>
      <c r="BJ31" s="59">
        <f t="shared" si="38"/>
        <v>199.70700738826872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6.8</v>
      </c>
      <c r="BY31" s="12">
        <f>IF('Données projet'!$A$114&gt;35,BY30+BX31-CG30,IF(A31&lt;'Données projet'!$A$114,$BV$205^A31,IF(A31='Données projet'!$A$114,'Données projet'!$B$114,BY30+BX31-CG30)))</f>
        <v>83.399999999999977</v>
      </c>
      <c r="BZ31" s="13">
        <f>BY31*VLOOKUP('Données projet'!$B$12,Paramètres!$A$1:$I$89,3,0)*VLOOKUP('Données projet'!$B$12,Paramètres!$A$1:$I$89,5,0)</f>
        <v>89.771759999999972</v>
      </c>
      <c r="CA31" s="13">
        <f t="shared" si="39"/>
        <v>24.510170869715051</v>
      </c>
      <c r="CB31" s="20">
        <f t="shared" si="10"/>
        <v>199.04102959808699</v>
      </c>
      <c r="CC31" s="59">
        <f t="shared" si="11"/>
        <v>489.92991848697585</v>
      </c>
      <c r="CD31" s="59">
        <f ca="1">AVERAGE(OFFSET($CC$3,0,0,'Données projet'!$E$12+1,1))-AVERAGE(OFFSET($H$3,0,0,'Données projet'!$E$12+1,1))</f>
        <v>354.06521046071936</v>
      </c>
      <c r="CE31" s="59">
        <f t="shared" si="40"/>
        <v>206.22956332364367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6.8</v>
      </c>
      <c r="N32" s="13">
        <f>IF('Données projet'!$A$36&gt;35,N31+M32-V31,IF(A32&lt;'Données projet'!$A$36,$K$205^A32,IF(A32='Données projet'!$A$36,'Données projet'!$B$36,N31+M32-V31)))</f>
        <v>90.199999999999974</v>
      </c>
      <c r="O32" s="13">
        <f>N32*VLOOKUP('Données projet'!$B$9,Paramètres!$A$1:$I$89,3,0)*VLOOKUP('Données projet'!$B$9,Paramètres!$A$1:$I$89,5,0)</f>
        <v>81.612959999999973</v>
      </c>
      <c r="P32" s="13">
        <f t="shared" si="33"/>
        <v>22.531101896247538</v>
      </c>
      <c r="Q32" s="20">
        <f t="shared" si="2"/>
        <v>181.3842411359644</v>
      </c>
      <c r="R32" s="59">
        <f t="shared" si="0"/>
        <v>473.49535224707552</v>
      </c>
      <c r="S32" s="59">
        <f ca="1">AVERAGE(OFFSET($R$3,0,0,'Données projet'!$E$9+1,1))-AVERAGE(OFFSET($H$3,0,0,'Données projet'!$E$9+1,1))</f>
        <v>280.79223530986889</v>
      </c>
      <c r="T32" s="59">
        <f t="shared" si="34"/>
        <v>170.29932835468685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6.8</v>
      </c>
      <c r="AI32" s="13">
        <f>IF('Données projet'!$A$62&gt;35,AI31+AH32-AQ31,IF(A32&lt;'Données projet'!$A$62,$AF$205^A32,IF(A32='Données projet'!$A$62,'Données projet'!$B$62,AI31+AH32-AQ31)))</f>
        <v>90.199999999999974</v>
      </c>
      <c r="AJ32" s="13">
        <f>AI32*VLOOKUP('Données projet'!$B$10,Paramètres!$A$1:$I$89,3,0)*VLOOKUP('Données projet'!$B$10,Paramètres!$A$1:$I$89,5,0)</f>
        <v>91.462799999999987</v>
      </c>
      <c r="AK32" s="13">
        <f t="shared" si="35"/>
        <v>24.917685409456144</v>
      </c>
      <c r="AL32" s="20">
        <f t="shared" si="4"/>
        <v>202.69601208813609</v>
      </c>
      <c r="AM32" s="59">
        <f t="shared" si="5"/>
        <v>494.80712319924726</v>
      </c>
      <c r="AN32" s="59">
        <f ca="1">AVERAGE(OFFSET($AM$3,0,0,'Données projet'!$E$10+1,1))-AVERAGE(OFFSET($H$3,0,0,'Données projet'!$E$10+1,1))</f>
        <v>327.4505861600158</v>
      </c>
      <c r="AO32" s="59">
        <f t="shared" si="36"/>
        <v>193.18009444354595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6.8</v>
      </c>
      <c r="BD32" s="12">
        <f>IF('Données projet'!$A$88&gt;35,BD31+BC32-BL31,IF(A32&lt;'Données projet'!$A$88,$BA$205^A32,IF(A32='Données projet'!$A$88,'Données projet'!$B$88,BD31+BC32-BL31)))</f>
        <v>90.199999999999974</v>
      </c>
      <c r="BE32" s="13">
        <f>BD32*VLOOKUP('Données projet'!$B$11,Paramètres!$A$1:$I$89,3,0)*VLOOKUP('Données projet'!$B$11,Paramètres!$A$1:$I$89,5,0)</f>
        <v>94.277039999999971</v>
      </c>
      <c r="BF32" s="13">
        <f t="shared" si="37"/>
        <v>25.593940278103194</v>
      </c>
      <c r="BG32" s="20">
        <f t="shared" si="7"/>
        <v>208.77529065102965</v>
      </c>
      <c r="BH32" s="59">
        <f t="shared" si="8"/>
        <v>500.88640176214079</v>
      </c>
      <c r="BI32" s="59">
        <f ca="1">AVERAGE(OFFSET($BH$3,0,0,'Données projet'!$E$11+1,1))-AVERAGE(OFFSET($H$3,0,0,'Données projet'!$E$11+1,1))</f>
        <v>340.76197766679212</v>
      </c>
      <c r="BJ32" s="59">
        <f t="shared" si="38"/>
        <v>199.70700738826872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6.8</v>
      </c>
      <c r="BY32" s="12">
        <f>IF('Données projet'!$A$114&gt;35,BY31+BX32-CG31,IF(A32&lt;'Données projet'!$A$114,$BV$205^A32,IF(A32='Données projet'!$A$114,'Données projet'!$B$114,BY31+BX32-CG31)))</f>
        <v>90.199999999999974</v>
      </c>
      <c r="BZ32" s="13">
        <f>BY32*VLOOKUP('Données projet'!$B$12,Paramètres!$A$1:$I$89,3,0)*VLOOKUP('Données projet'!$B$12,Paramètres!$A$1:$I$89,5,0)</f>
        <v>97.091279999999969</v>
      </c>
      <c r="CA32" s="13">
        <f t="shared" si="39"/>
        <v>26.267849122787243</v>
      </c>
      <c r="CB32" s="20">
        <f t="shared" si="10"/>
        <v>214.85048322218771</v>
      </c>
      <c r="CC32" s="59">
        <f t="shared" si="11"/>
        <v>506.96159433329888</v>
      </c>
      <c r="CD32" s="59">
        <f ca="1">AVERAGE(OFFSET($CC$3,0,0,'Données projet'!$E$12+1,1))-AVERAGE(OFFSET($H$3,0,0,'Données projet'!$E$12+1,1))</f>
        <v>354.06521046071936</v>
      </c>
      <c r="CE32" s="59">
        <f t="shared" si="40"/>
        <v>206.22956332364367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6.8</v>
      </c>
      <c r="M33" s="12">
        <f t="array" ref="M33">INDEX(L:L,MIN(IF(ISNUMBER(L33:L229),ROW(L33:L229),"")))</f>
        <v>6.8</v>
      </c>
      <c r="N33" s="13">
        <f>IF('Données projet'!$A$36&gt;35,N32+M33-V32,IF(A33&lt;'Données projet'!$A$36,$K$205^A33,IF(A33='Données projet'!$A$36,'Données projet'!$B$36,N32+M33-V32)))</f>
        <v>96.999999999999972</v>
      </c>
      <c r="O33" s="13">
        <f>N33*VLOOKUP('Données projet'!$B$9,Paramètres!$A$1:$I$89,3,0)*VLOOKUP('Données projet'!$B$9,Paramètres!$A$1:$I$89,5,0)</f>
        <v>87.765599999999964</v>
      </c>
      <c r="P33" s="13">
        <f t="shared" si="33"/>
        <v>24.025555589247954</v>
      </c>
      <c r="Q33" s="20">
        <f t="shared" si="2"/>
        <v>194.70292931794015</v>
      </c>
      <c r="R33" s="59">
        <f t="shared" si="0"/>
        <v>488.03626265127343</v>
      </c>
      <c r="S33" s="59">
        <f ca="1">AVERAGE(OFFSET($R$3,0,0,'Données projet'!$E$9+1,1))-AVERAGE(OFFSET($H$3,0,0,'Données projet'!$E$9+1,1))</f>
        <v>280.79223530986889</v>
      </c>
      <c r="T33" s="59">
        <f t="shared" si="34"/>
        <v>170.29932835468685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6.8</v>
      </c>
      <c r="AH33" s="12">
        <f t="array" ref="AH33">INDEX(AG:AG,MIN(IF(ISNUMBER(AG33:AG229),ROW(AG33:AG229),"")))</f>
        <v>6.8</v>
      </c>
      <c r="AI33" s="13">
        <f>IF('Données projet'!$A$62&gt;35,AI32+AH33-AQ32,IF(A33&lt;'Données projet'!$A$62,$AF$205^A33,IF(A33='Données projet'!$A$62,'Données projet'!$B$62,AI32+AH33-AQ32)))</f>
        <v>96.999999999999972</v>
      </c>
      <c r="AJ33" s="13">
        <f>AI33*VLOOKUP('Données projet'!$B$10,Paramètres!$A$1:$I$89,3,0)*VLOOKUP('Données projet'!$B$10,Paramètres!$A$1:$I$89,5,0)</f>
        <v>98.357999999999976</v>
      </c>
      <c r="AK33" s="13">
        <f t="shared" si="35"/>
        <v>26.570437554143126</v>
      </c>
      <c r="AL33" s="20">
        <f t="shared" si="4"/>
        <v>217.58369540679919</v>
      </c>
      <c r="AM33" s="59">
        <f t="shared" si="5"/>
        <v>510.91702874013254</v>
      </c>
      <c r="AN33" s="59">
        <f ca="1">AVERAGE(OFFSET($AM$3,0,0,'Données projet'!$E$10+1,1))-AVERAGE(OFFSET($H$3,0,0,'Données projet'!$E$10+1,1))</f>
        <v>327.4505861600158</v>
      </c>
      <c r="AO33" s="59">
        <f t="shared" si="36"/>
        <v>193.18009444354595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97</v>
      </c>
      <c r="BB33" s="12">
        <f>VLOOKUP(A33,'Données projet'!$A$87:$I$107,9,0)</f>
        <v>6.8</v>
      </c>
      <c r="BC33" s="12">
        <f t="array" ref="BC33">INDEX(BB:BB,MIN(IF(ISNUMBER(BB33:BB229),ROW(BB33:BB229),"")))</f>
        <v>6.8</v>
      </c>
      <c r="BD33" s="12">
        <f>IF('Données projet'!$A$88&gt;35,BD32+BC33-BL32,IF(A33&lt;'Données projet'!$A$88,$BA$205^A33,IF(A33='Données projet'!$A$88,'Données projet'!$B$88,BD32+BC33-BL32)))</f>
        <v>96.999999999999972</v>
      </c>
      <c r="BE33" s="13">
        <f>BD33*VLOOKUP('Données projet'!$B$11,Paramètres!$A$1:$I$89,3,0)*VLOOKUP('Données projet'!$B$11,Paramètres!$A$1:$I$89,5,0)</f>
        <v>101.38439999999997</v>
      </c>
      <c r="BF33" s="13">
        <f t="shared" si="37"/>
        <v>27.291547378864344</v>
      </c>
      <c r="BG33" s="20">
        <f t="shared" si="7"/>
        <v>224.11060835152202</v>
      </c>
      <c r="BH33" s="59">
        <f t="shared" si="8"/>
        <v>517.4439416848553</v>
      </c>
      <c r="BI33" s="59">
        <f ca="1">AVERAGE(OFFSET($BH$3,0,0,'Données projet'!$E$11+1,1))-AVERAGE(OFFSET($H$3,0,0,'Données projet'!$E$11+1,1))</f>
        <v>340.76197766679212</v>
      </c>
      <c r="BJ33" s="59">
        <f t="shared" si="38"/>
        <v>199.70700738826872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97</v>
      </c>
      <c r="BW33" s="12">
        <f>VLOOKUP(A33,'Données projet'!$A$113:$I$133,9,0)</f>
        <v>6.8</v>
      </c>
      <c r="BX33" s="12">
        <f t="array" ref="BX33">INDEX(BW:BW,MIN(IF(ISNUMBER(BW33:BW229),ROW(BW33:BW229),"")))</f>
        <v>6.8</v>
      </c>
      <c r="BY33" s="12">
        <f>IF('Données projet'!$A$114&gt;35,BY32+BX33-CG32,IF(A33&lt;'Données projet'!$A$114,$BV$205^A33,IF(A33='Données projet'!$A$114,'Données projet'!$B$114,BY32+BX33-CG32)))</f>
        <v>96.999999999999972</v>
      </c>
      <c r="BZ33" s="13">
        <f>BY33*VLOOKUP('Données projet'!$B$12,Paramètres!$A$1:$I$89,3,0)*VLOOKUP('Données projet'!$B$12,Paramètres!$A$1:$I$89,5,0)</f>
        <v>104.41079999999997</v>
      </c>
      <c r="CA33" s="13">
        <f t="shared" si="39"/>
        <v>28.010155571424143</v>
      </c>
      <c r="CB33" s="20">
        <f t="shared" si="10"/>
        <v>230.633164286897</v>
      </c>
      <c r="CC33" s="59">
        <f t="shared" si="11"/>
        <v>523.96649762023026</v>
      </c>
      <c r="CD33" s="59">
        <f ca="1">AVERAGE(OFFSET($CC$3,0,0,'Données projet'!$E$12+1,1))-AVERAGE(OFFSET($H$3,0,0,'Données projet'!$E$12+1,1))</f>
        <v>354.06521046071936</v>
      </c>
      <c r="CE33" s="59">
        <f t="shared" si="40"/>
        <v>206.22956332364367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</v>
      </c>
      <c r="N34" s="13">
        <f>IF('Données projet'!$A$36&gt;35,N33+M34-V33,IF(A34&lt;'Données projet'!$A$36,$K$205^A34,IF(A34='Données projet'!$A$36,'Données projet'!$B$36,N33+M34-V33)))</f>
        <v>104.99999999999997</v>
      </c>
      <c r="O34" s="13">
        <f>N34*VLOOKUP('Données projet'!$B$9,Paramètres!$A$1:$I$89,3,0)*VLOOKUP('Données projet'!$B$9,Paramètres!$A$1:$I$89,5,0)</f>
        <v>95.003999999999962</v>
      </c>
      <c r="P34" s="13">
        <f t="shared" si="33"/>
        <v>25.768242550600764</v>
      </c>
      <c r="Q34" s="20">
        <f t="shared" si="2"/>
        <v>210.34498910896289</v>
      </c>
      <c r="R34" s="59">
        <f t="shared" si="0"/>
        <v>503.67832244229623</v>
      </c>
      <c r="S34" s="59">
        <f ca="1">AVERAGE(OFFSET($R$3,0,0,'Données projet'!$E$9+1,1))-AVERAGE(OFFSET($H$3,0,0,'Données projet'!$E$9+1,1))</f>
        <v>280.79223530986889</v>
      </c>
      <c r="T34" s="59">
        <f t="shared" si="34"/>
        <v>170.29932835468685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</v>
      </c>
      <c r="AI34" s="13">
        <f>IF('Données projet'!$A$62&gt;35,AI33+AH34-AQ33,IF(A34&lt;'Données projet'!$A$62,$AF$205^A34,IF(A34='Données projet'!$A$62,'Données projet'!$B$62,AI33+AH34-AQ33)))</f>
        <v>104.99999999999997</v>
      </c>
      <c r="AJ34" s="13">
        <f>AI34*VLOOKUP('Données projet'!$B$10,Paramètres!$A$1:$I$89,3,0)*VLOOKUP('Données projet'!$B$10,Paramètres!$A$1:$I$89,5,0)</f>
        <v>106.46999999999998</v>
      </c>
      <c r="AK34" s="13">
        <f t="shared" si="35"/>
        <v>28.497716817718885</v>
      </c>
      <c r="AL34" s="20">
        <f t="shared" si="4"/>
        <v>235.06877345752699</v>
      </c>
      <c r="AM34" s="59">
        <f t="shared" si="5"/>
        <v>528.40210679086033</v>
      </c>
      <c r="AN34" s="59">
        <f ca="1">AVERAGE(OFFSET($AM$3,0,0,'Données projet'!$E$10+1,1))-AVERAGE(OFFSET($H$3,0,0,'Données projet'!$E$10+1,1))</f>
        <v>327.4505861600158</v>
      </c>
      <c r="AO34" s="59">
        <f t="shared" si="36"/>
        <v>193.18009444354595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</v>
      </c>
      <c r="BD34" s="12">
        <f>IF('Données projet'!$A$88&gt;35,BD33+BC34-BL33,IF(A34&lt;'Données projet'!$A$88,$BA$205^A34,IF(A34='Données projet'!$A$88,'Données projet'!$B$88,BD33+BC34-BL33)))</f>
        <v>104.99999999999997</v>
      </c>
      <c r="BE34" s="13">
        <f>BD34*VLOOKUP('Données projet'!$B$11,Paramètres!$A$1:$I$89,3,0)*VLOOKUP('Données projet'!$B$11,Paramètres!$A$1:$I$89,5,0)</f>
        <v>109.74599999999997</v>
      </c>
      <c r="BF34" s="13">
        <f t="shared" si="37"/>
        <v>29.271132142080972</v>
      </c>
      <c r="BG34" s="20">
        <f t="shared" si="7"/>
        <v>242.12150514745761</v>
      </c>
      <c r="BH34" s="59">
        <f t="shared" si="8"/>
        <v>535.45483848079095</v>
      </c>
      <c r="BI34" s="59">
        <f ca="1">AVERAGE(OFFSET($BH$3,0,0,'Données projet'!$E$11+1,1))-AVERAGE(OFFSET($H$3,0,0,'Données projet'!$E$11+1,1))</f>
        <v>340.76197766679212</v>
      </c>
      <c r="BJ34" s="59">
        <f t="shared" si="38"/>
        <v>199.70700738826872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</v>
      </c>
      <c r="BY34" s="12">
        <f>IF('Données projet'!$A$114&gt;35,BY33+BX34-CG33,IF(A34&lt;'Données projet'!$A$114,$BV$205^A34,IF(A34='Données projet'!$A$114,'Données projet'!$B$114,BY33+BX34-CG33)))</f>
        <v>104.99999999999997</v>
      </c>
      <c r="BZ34" s="13">
        <f>BY34*VLOOKUP('Données projet'!$B$12,Paramètres!$A$1:$I$89,3,0)*VLOOKUP('Données projet'!$B$12,Paramètres!$A$1:$I$89,5,0)</f>
        <v>113.02199999999996</v>
      </c>
      <c r="CA34" s="13">
        <f t="shared" si="39"/>
        <v>30.041864379091852</v>
      </c>
      <c r="CB34" s="20">
        <f t="shared" si="10"/>
        <v>249.16956379358496</v>
      </c>
      <c r="CC34" s="59">
        <f t="shared" si="11"/>
        <v>542.50289712691824</v>
      </c>
      <c r="CD34" s="59">
        <f ca="1">AVERAGE(OFFSET($CC$3,0,0,'Données projet'!$E$12+1,1))-AVERAGE(OFFSET($H$3,0,0,'Données projet'!$E$12+1,1))</f>
        <v>354.06521046071936</v>
      </c>
      <c r="CE34" s="59">
        <f t="shared" si="40"/>
        <v>206.22956332364367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</v>
      </c>
      <c r="N35" s="13">
        <f>IF('Données projet'!$A$36&gt;35,N34+M35-V34,IF(A35&lt;'Données projet'!$A$36,$K$205^A35,IF(A35='Données projet'!$A$36,'Données projet'!$B$36,N34+M35-V34)))</f>
        <v>112.99999999999997</v>
      </c>
      <c r="O35" s="13">
        <f>N35*VLOOKUP('Données projet'!$B$9,Paramètres!$A$1:$I$89,3,0)*VLOOKUP('Données projet'!$B$9,Paramètres!$A$1:$I$89,5,0)</f>
        <v>102.24239999999998</v>
      </c>
      <c r="P35" s="13">
        <f t="shared" si="33"/>
        <v>27.495526976991481</v>
      </c>
      <c r="Q35" s="20">
        <f t="shared" ref="Q35:Q66" si="53">(O35+P35)*0.475*44/12</f>
        <v>225.96022281826006</v>
      </c>
      <c r="R35" s="59">
        <f t="shared" si="0"/>
        <v>519.29355615159341</v>
      </c>
      <c r="S35" s="59">
        <f ca="1">AVERAGE(OFFSET($R$3,0,0,'Données projet'!$E$9+1,1))-AVERAGE(OFFSET($H$3,0,0,'Données projet'!$E$9+1,1))</f>
        <v>280.79223530986889</v>
      </c>
      <c r="T35" s="59">
        <f t="shared" si="34"/>
        <v>170.29932835468685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</v>
      </c>
      <c r="AI35" s="13">
        <f>IF('Données projet'!$A$62&gt;35,AI34+AH35-AQ34,IF(A35&lt;'Données projet'!$A$62,$AF$205^A35,IF(A35='Données projet'!$A$62,'Données projet'!$B$62,AI34+AH35-AQ34)))</f>
        <v>112.99999999999997</v>
      </c>
      <c r="AJ35" s="13">
        <f>AI35*VLOOKUP('Données projet'!$B$10,Paramètres!$A$1:$I$89,3,0)*VLOOKUP('Données projet'!$B$10,Paramètres!$A$1:$I$89,5,0)</f>
        <v>114.58199999999998</v>
      </c>
      <c r="AK35" s="13">
        <f t="shared" si="35"/>
        <v>30.407962048850919</v>
      </c>
      <c r="AL35" s="20">
        <f t="shared" si="4"/>
        <v>252.52418390174861</v>
      </c>
      <c r="AM35" s="59">
        <f t="shared" si="5"/>
        <v>545.8575172350819</v>
      </c>
      <c r="AN35" s="59">
        <f ca="1">AVERAGE(OFFSET($AM$3,0,0,'Données projet'!$E$10+1,1))-AVERAGE(OFFSET($H$3,0,0,'Données projet'!$E$10+1,1))</f>
        <v>327.4505861600158</v>
      </c>
      <c r="AO35" s="59">
        <f t="shared" si="36"/>
        <v>193.18009444354595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</v>
      </c>
      <c r="BD35" s="12">
        <f>IF('Données projet'!$A$88&gt;35,BD34+BC35-BL34,IF(A35&lt;'Données projet'!$A$88,$BA$205^A35,IF(A35='Données projet'!$A$88,'Données projet'!$B$88,BD34+BC35-BL34)))</f>
        <v>112.99999999999997</v>
      </c>
      <c r="BE35" s="13">
        <f>BD35*VLOOKUP('Données projet'!$B$11,Paramètres!$A$1:$I$89,3,0)*VLOOKUP('Données projet'!$B$11,Paramètres!$A$1:$I$89,5,0)</f>
        <v>118.10759999999998</v>
      </c>
      <c r="BF35" s="13">
        <f t="shared" si="37"/>
        <v>31.233220576810588</v>
      </c>
      <c r="BG35" s="20">
        <f t="shared" si="7"/>
        <v>260.10192917127841</v>
      </c>
      <c r="BH35" s="59">
        <f t="shared" si="8"/>
        <v>553.43526250461173</v>
      </c>
      <c r="BI35" s="59">
        <f ca="1">AVERAGE(OFFSET($BH$3,0,0,'Données projet'!$E$11+1,1))-AVERAGE(OFFSET($H$3,0,0,'Données projet'!$E$11+1,1))</f>
        <v>340.76197766679212</v>
      </c>
      <c r="BJ35" s="59">
        <f t="shared" si="38"/>
        <v>199.70700738826872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</v>
      </c>
      <c r="BY35" s="12">
        <f>IF('Données projet'!$A$114&gt;35,BY34+BX35-CG34,IF(A35&lt;'Données projet'!$A$114,$BV$205^A35,IF(A35='Données projet'!$A$114,'Données projet'!$B$114,BY34+BX35-CG34)))</f>
        <v>112.99999999999997</v>
      </c>
      <c r="BZ35" s="13">
        <f>BY35*VLOOKUP('Données projet'!$B$12,Paramètres!$A$1:$I$89,3,0)*VLOOKUP('Données projet'!$B$12,Paramètres!$A$1:$I$89,5,0)</f>
        <v>121.63319999999996</v>
      </c>
      <c r="CA35" s="13">
        <f t="shared" si="39"/>
        <v>32.05561616599968</v>
      </c>
      <c r="CB35" s="20">
        <f t="shared" si="10"/>
        <v>267.67468815578269</v>
      </c>
      <c r="CC35" s="59">
        <f t="shared" si="11"/>
        <v>561.008021489116</v>
      </c>
      <c r="CD35" s="59">
        <f ca="1">AVERAGE(OFFSET($CC$3,0,0,'Données projet'!$E$12+1,1))-AVERAGE(OFFSET($H$3,0,0,'Données projet'!$E$12+1,1))</f>
        <v>354.06521046071936</v>
      </c>
      <c r="CE35" s="59">
        <f t="shared" si="40"/>
        <v>206.22956332364367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</v>
      </c>
      <c r="N36" s="13">
        <f>IF('Données projet'!$A$36&gt;35,N35+M36-V35,IF(A36&lt;'Données projet'!$A$36,$K$205^A36,IF(A36='Données projet'!$A$36,'Données projet'!$B$36,N35+M36-V35)))</f>
        <v>120.99999999999997</v>
      </c>
      <c r="O36" s="13">
        <f>N36*VLOOKUP('Données projet'!$B$9,Paramètres!$A$1:$I$89,3,0)*VLOOKUP('Données projet'!$B$9,Paramètres!$A$1:$I$89,5,0)</f>
        <v>109.48079999999997</v>
      </c>
      <c r="P36" s="13">
        <f t="shared" si="33"/>
        <v>29.208623339903898</v>
      </c>
      <c r="Q36" s="20">
        <f t="shared" si="53"/>
        <v>241.55074565033257</v>
      </c>
      <c r="R36" s="59">
        <f t="shared" si="0"/>
        <v>534.88407898366586</v>
      </c>
      <c r="S36" s="59">
        <f ca="1">AVERAGE(OFFSET($R$3,0,0,'Données projet'!$E$9+1,1))-AVERAGE(OFFSET($H$3,0,0,'Données projet'!$E$9+1,1))</f>
        <v>280.79223530986889</v>
      </c>
      <c r="T36" s="59">
        <f t="shared" si="34"/>
        <v>170.29932835468685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</v>
      </c>
      <c r="AI36" s="13">
        <f>IF('Données projet'!$A$62&gt;35,AI35+AH36-AQ35,IF(A36&lt;'Données projet'!$A$62,$AF$205^A36,IF(A36='Données projet'!$A$62,'Données projet'!$B$62,AI35+AH36-AQ35)))</f>
        <v>120.99999999999997</v>
      </c>
      <c r="AJ36" s="13">
        <f>AI36*VLOOKUP('Données projet'!$B$10,Paramètres!$A$1:$I$89,3,0)*VLOOKUP('Données projet'!$B$10,Paramètres!$A$1:$I$89,5,0)</f>
        <v>122.69399999999997</v>
      </c>
      <c r="AK36" s="13">
        <f t="shared" si="35"/>
        <v>32.302516360650685</v>
      </c>
      <c r="AL36" s="20">
        <f t="shared" si="4"/>
        <v>269.95226599479992</v>
      </c>
      <c r="AM36" s="59">
        <f t="shared" si="5"/>
        <v>563.28559932813323</v>
      </c>
      <c r="AN36" s="59">
        <f ca="1">AVERAGE(OFFSET($AM$3,0,0,'Données projet'!$E$10+1,1))-AVERAGE(OFFSET($H$3,0,0,'Données projet'!$E$10+1,1))</f>
        <v>327.4505861600158</v>
      </c>
      <c r="AO36" s="59">
        <f t="shared" si="36"/>
        <v>193.18009444354595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</v>
      </c>
      <c r="BD36" s="12">
        <f>IF('Données projet'!$A$88&gt;35,BD35+BC36-BL35,IF(A36&lt;'Données projet'!$A$88,$BA$205^A36,IF(A36='Données projet'!$A$88,'Données projet'!$B$88,BD35+BC36-BL35)))</f>
        <v>120.99999999999997</v>
      </c>
      <c r="BE36" s="13">
        <f>BD36*VLOOKUP('Données projet'!$B$11,Paramètres!$A$1:$I$89,3,0)*VLOOKUP('Données projet'!$B$11,Paramètres!$A$1:$I$89,5,0)</f>
        <v>126.46919999999997</v>
      </c>
      <c r="BF36" s="13">
        <f t="shared" si="37"/>
        <v>33.17919224765545</v>
      </c>
      <c r="BG36" s="20">
        <f t="shared" si="7"/>
        <v>278.05428316466646</v>
      </c>
      <c r="BH36" s="59">
        <f t="shared" si="8"/>
        <v>571.38761649799972</v>
      </c>
      <c r="BI36" s="59">
        <f ca="1">AVERAGE(OFFSET($BH$3,0,0,'Données projet'!$E$11+1,1))-AVERAGE(OFFSET($H$3,0,0,'Données projet'!$E$11+1,1))</f>
        <v>340.76197766679212</v>
      </c>
      <c r="BJ36" s="59">
        <f t="shared" si="38"/>
        <v>199.70700738826872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</v>
      </c>
      <c r="BY36" s="12">
        <f>IF('Données projet'!$A$114&gt;35,BY35+BX36-CG35,IF(A36&lt;'Données projet'!$A$114,$BV$205^A36,IF(A36='Données projet'!$A$114,'Données projet'!$B$114,BY35+BX36-CG35)))</f>
        <v>120.99999999999997</v>
      </c>
      <c r="BZ36" s="13">
        <f>BY36*VLOOKUP('Données projet'!$B$12,Paramètres!$A$1:$I$89,3,0)*VLOOKUP('Données projet'!$B$12,Paramètres!$A$1:$I$89,5,0)</f>
        <v>130.24439999999998</v>
      </c>
      <c r="CA36" s="13">
        <f t="shared" si="39"/>
        <v>34.052826821785409</v>
      </c>
      <c r="CB36" s="20">
        <f t="shared" si="10"/>
        <v>286.15100338127621</v>
      </c>
      <c r="CC36" s="59">
        <f t="shared" si="11"/>
        <v>579.48433671460953</v>
      </c>
      <c r="CD36" s="59">
        <f ca="1">AVERAGE(OFFSET($CC$3,0,0,'Données projet'!$E$12+1,1))-AVERAGE(OFFSET($H$3,0,0,'Données projet'!$E$12+1,1))</f>
        <v>354.06521046071936</v>
      </c>
      <c r="CE36" s="59">
        <f t="shared" si="40"/>
        <v>206.22956332364367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</v>
      </c>
      <c r="N37" s="13">
        <f>IF('Données projet'!$A$36&gt;35,N36+M37-V36,IF(A37&lt;'Données projet'!$A$36,$K$205^A37,IF(A37='Données projet'!$A$36,'Données projet'!$B$36,N36+M37-V36)))</f>
        <v>128.99999999999997</v>
      </c>
      <c r="O37" s="13">
        <f>N37*VLOOKUP('Données projet'!$B$9,Paramètres!$A$1:$I$89,3,0)*VLOOKUP('Données projet'!$B$9,Paramètres!$A$1:$I$89,5,0)</f>
        <v>116.71919999999997</v>
      </c>
      <c r="P37" s="13">
        <f t="shared" si="33"/>
        <v>30.908576435525887</v>
      </c>
      <c r="Q37" s="20">
        <f t="shared" si="53"/>
        <v>257.11837729187414</v>
      </c>
      <c r="R37" s="59">
        <f t="shared" si="0"/>
        <v>550.4517106252074</v>
      </c>
      <c r="S37" s="59">
        <f ca="1">AVERAGE(OFFSET($R$3,0,0,'Données projet'!$E$9+1,1))-AVERAGE(OFFSET($H$3,0,0,'Données projet'!$E$9+1,1))</f>
        <v>280.79223530986889</v>
      </c>
      <c r="T37" s="59">
        <f t="shared" si="34"/>
        <v>170.29932835468685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</v>
      </c>
      <c r="AI37" s="13">
        <f>IF('Données projet'!$A$62&gt;35,AI36+AH37-AQ36,IF(A37&lt;'Données projet'!$A$62,$AF$205^A37,IF(A37='Données projet'!$A$62,'Données projet'!$B$62,AI36+AH37-AQ36)))</f>
        <v>128.99999999999997</v>
      </c>
      <c r="AJ37" s="13">
        <f>AI37*VLOOKUP('Données projet'!$B$10,Paramètres!$A$1:$I$89,3,0)*VLOOKUP('Données projet'!$B$10,Paramètres!$A$1:$I$89,5,0)</f>
        <v>130.80599999999998</v>
      </c>
      <c r="AK37" s="13">
        <f t="shared" si="35"/>
        <v>34.182535218254536</v>
      </c>
      <c r="AL37" s="20">
        <f t="shared" si="4"/>
        <v>287.35503217179325</v>
      </c>
      <c r="AM37" s="59">
        <f t="shared" si="5"/>
        <v>580.68836550512651</v>
      </c>
      <c r="AN37" s="59">
        <f ca="1">AVERAGE(OFFSET($AM$3,0,0,'Données projet'!$E$10+1,1))-AVERAGE(OFFSET($H$3,0,0,'Données projet'!$E$10+1,1))</f>
        <v>327.4505861600158</v>
      </c>
      <c r="AO37" s="59">
        <f t="shared" si="36"/>
        <v>193.18009444354595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</v>
      </c>
      <c r="BD37" s="12">
        <f>IF('Données projet'!$A$88&gt;35,BD36+BC37-BL36,IF(A37&lt;'Données projet'!$A$88,$BA$205^A37,IF(A37='Données projet'!$A$88,'Données projet'!$B$88,BD36+BC37-BL36)))</f>
        <v>128.99999999999997</v>
      </c>
      <c r="BE37" s="13">
        <f>BD37*VLOOKUP('Données projet'!$B$11,Paramètres!$A$1:$I$89,3,0)*VLOOKUP('Données projet'!$B$11,Paramètres!$A$1:$I$89,5,0)</f>
        <v>134.83079999999998</v>
      </c>
      <c r="BF37" s="13">
        <f t="shared" si="37"/>
        <v>35.11023397856038</v>
      </c>
      <c r="BG37" s="20">
        <f t="shared" si="7"/>
        <v>295.98063417932593</v>
      </c>
      <c r="BH37" s="59">
        <f t="shared" si="8"/>
        <v>589.31396751265925</v>
      </c>
      <c r="BI37" s="59">
        <f ca="1">AVERAGE(OFFSET($BH$3,0,0,'Données projet'!$E$11+1,1))-AVERAGE(OFFSET($H$3,0,0,'Données projet'!$E$11+1,1))</f>
        <v>340.76197766679212</v>
      </c>
      <c r="BJ37" s="59">
        <f t="shared" si="38"/>
        <v>199.70700738826872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</v>
      </c>
      <c r="BY37" s="12">
        <f>IF('Données projet'!$A$114&gt;35,BY36+BX37-CG36,IF(A37&lt;'Données projet'!$A$114,$BV$205^A37,IF(A37='Données projet'!$A$114,'Données projet'!$B$114,BY36+BX37-CG36)))</f>
        <v>128.99999999999997</v>
      </c>
      <c r="BZ37" s="13">
        <f>BY37*VLOOKUP('Données projet'!$B$12,Paramètres!$A$1:$I$89,3,0)*VLOOKUP('Données projet'!$B$12,Paramètres!$A$1:$I$89,5,0)</f>
        <v>138.85559999999998</v>
      </c>
      <c r="CA37" s="13">
        <f t="shared" si="39"/>
        <v>36.034714420414154</v>
      </c>
      <c r="CB37" s="20">
        <f t="shared" si="10"/>
        <v>304.60063094888795</v>
      </c>
      <c r="CC37" s="59">
        <f t="shared" si="11"/>
        <v>597.93396428222127</v>
      </c>
      <c r="CD37" s="59">
        <f ca="1">AVERAGE(OFFSET($CC$3,0,0,'Données projet'!$E$12+1,1))-AVERAGE(OFFSET($H$3,0,0,'Données projet'!$E$12+1,1))</f>
        <v>354.06521046071936</v>
      </c>
      <c r="CE37" s="59">
        <f t="shared" si="40"/>
        <v>206.22956332364367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137</v>
      </c>
      <c r="L38" s="12">
        <f>VLOOKUP(A38,'Données projet'!$A$35:$I$55,9,0)</f>
        <v>8</v>
      </c>
      <c r="M38" s="12">
        <f t="array" ref="M38">INDEX(L:L,MIN(IF(ISNUMBER(L38:L234),ROW(L38:L234),"")))</f>
        <v>8</v>
      </c>
      <c r="N38" s="13">
        <f>IF('Données projet'!$A$36&gt;35,N37+M38-V37,IF(A38&lt;'Données projet'!$A$36,$K$205^A38,IF(A38='Données projet'!$A$36,'Données projet'!$B$36,N37+M38-V37)))</f>
        <v>136.99999999999997</v>
      </c>
      <c r="O38" s="13">
        <f>N38*VLOOKUP('Données projet'!$B$9,Paramètres!$A$1:$I$89,3,0)*VLOOKUP('Données projet'!$B$9,Paramètres!$A$1:$I$89,5,0)</f>
        <v>123.95759999999997</v>
      </c>
      <c r="P38" s="13">
        <f t="shared" si="33"/>
        <v>32.59629414926458</v>
      </c>
      <c r="Q38" s="20">
        <f t="shared" si="53"/>
        <v>272.66469897663575</v>
      </c>
      <c r="R38" s="59">
        <f t="shared" si="0"/>
        <v>565.99803230996906</v>
      </c>
      <c r="S38" s="59">
        <f ca="1">AVERAGE(OFFSET($R$3,0,0,'Données projet'!$E$9+1,1))-AVERAGE(OFFSET($H$3,0,0,'Données projet'!$E$9+1,1))</f>
        <v>280.79223530986889</v>
      </c>
      <c r="T38" s="59">
        <f t="shared" si="34"/>
        <v>170.29932835468685</v>
      </c>
      <c r="U38" s="15">
        <f>IF(ISNA(VLOOKUP(A38,'Données projet'!$A$35:$I$55,3,0)),0,VLOOKUP(A38,'Données projet'!$A$35:$I$55,3,0))</f>
        <v>2</v>
      </c>
      <c r="V38" s="15">
        <f>IF(ISNA(VLOOKUP(A38,'Données projet'!$A$35:$I$55,4,0)),0,VLOOKUP(A38,'Données projet'!$A$35:$I$55,4,0))</f>
        <v>42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137</v>
      </c>
      <c r="AG38" s="12">
        <f>VLOOKUP(A38,'Données projet'!$A$61:$I$81,9,0)</f>
        <v>8</v>
      </c>
      <c r="AH38" s="12">
        <f t="array" ref="AH38">INDEX(AG:AG,MIN(IF(ISNUMBER(AG38:AG234),ROW(AG38:AG234),"")))</f>
        <v>8</v>
      </c>
      <c r="AI38" s="13">
        <f>IF('Données projet'!$A$62&gt;35,AI37+AH38-AQ37,IF(A38&lt;'Données projet'!$A$62,$AF$205^A38,IF(A38='Données projet'!$A$62,'Données projet'!$B$62,AI37+AH38-AQ37)))</f>
        <v>136.99999999999997</v>
      </c>
      <c r="AJ38" s="13">
        <f>AI38*VLOOKUP('Données projet'!$B$10,Paramètres!$A$1:$I$89,3,0)*VLOOKUP('Données projet'!$B$10,Paramètres!$A$1:$I$89,5,0)</f>
        <v>138.91799999999998</v>
      </c>
      <c r="AK38" s="13">
        <f t="shared" si="35"/>
        <v>36.049022673886341</v>
      </c>
      <c r="AL38" s="20">
        <f t="shared" si="4"/>
        <v>304.73423115701871</v>
      </c>
      <c r="AM38" s="59">
        <f t="shared" si="5"/>
        <v>598.06756449035197</v>
      </c>
      <c r="AN38" s="59">
        <f ca="1">AVERAGE(OFFSET($AM$3,0,0,'Données projet'!$E$10+1,1))-AVERAGE(OFFSET($H$3,0,0,'Données projet'!$E$10+1,1))</f>
        <v>327.4505861600158</v>
      </c>
      <c r="AO38" s="59">
        <f t="shared" si="36"/>
        <v>193.18009444354595</v>
      </c>
      <c r="AP38" s="15">
        <f>IF(ISNA(VLOOKUP(A38,'Données projet'!$A$61:$I$81,3,0)),0,VLOOKUP(A38,'Données projet'!$A$61:$I$81,3,0))</f>
        <v>2</v>
      </c>
      <c r="AQ38" s="15">
        <f>IF(ISNA(VLOOKUP(A38,'Données projet'!$A$61:$I$81,4,0)),0,VLOOKUP(A38,'Données projet'!$A$61:$I$81,4,0))</f>
        <v>42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137</v>
      </c>
      <c r="BB38" s="12">
        <f>VLOOKUP(A38,'Données projet'!$A$87:$I$107,9,0)</f>
        <v>8</v>
      </c>
      <c r="BC38" s="12">
        <f t="array" ref="BC38">INDEX(BB:BB,MIN(IF(ISNUMBER(BB38:BB234),ROW(BB38:BB234),"")))</f>
        <v>8</v>
      </c>
      <c r="BD38" s="12">
        <f>IF('Données projet'!$A$88&gt;35,BD37+BC38-BL37,IF(A38&lt;'Données projet'!$A$88,$BA$205^A38,IF(A38='Données projet'!$A$88,'Données projet'!$B$88,BD37+BC38-BL37)))</f>
        <v>136.99999999999997</v>
      </c>
      <c r="BE38" s="13">
        <f>BD38*VLOOKUP('Données projet'!$B$11,Paramètres!$A$1:$I$89,3,0)*VLOOKUP('Données projet'!$B$11,Paramètres!$A$1:$I$89,5,0)</f>
        <v>143.19239999999999</v>
      </c>
      <c r="BF38" s="13">
        <f t="shared" si="37"/>
        <v>37.027377071278792</v>
      </c>
      <c r="BG38" s="20">
        <f t="shared" si="7"/>
        <v>313.88277839914383</v>
      </c>
      <c r="BH38" s="59">
        <f t="shared" si="8"/>
        <v>607.2161117324772</v>
      </c>
      <c r="BI38" s="59">
        <f ca="1">AVERAGE(OFFSET($BH$3,0,0,'Données projet'!$E$11+1,1))-AVERAGE(OFFSET($H$3,0,0,'Données projet'!$E$11+1,1))</f>
        <v>340.76197766679212</v>
      </c>
      <c r="BJ38" s="59">
        <f t="shared" si="38"/>
        <v>199.70700738826872</v>
      </c>
      <c r="BK38" s="15">
        <f>IF(ISNA(VLOOKUP(A38,'Données projet'!$A$87:$I$107,3,0)),0,VLOOKUP(A38,'Données projet'!$A$87:$I$107,3,0))</f>
        <v>2</v>
      </c>
      <c r="BL38" s="15">
        <f>IF(ISNA(VLOOKUP(A38,'Données projet'!$A$87:$I$107,4,0)),0,VLOOKUP(A38,'Données projet'!$A$87:$I$107,4,0))</f>
        <v>42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137</v>
      </c>
      <c r="BW38" s="12">
        <f>VLOOKUP(A38,'Données projet'!$A$113:$I$133,9,0)</f>
        <v>8</v>
      </c>
      <c r="BX38" s="12">
        <f t="array" ref="BX38">INDEX(BW:BW,MIN(IF(ISNUMBER(BW38:BW234),ROW(BW38:BW234),"")))</f>
        <v>8</v>
      </c>
      <c r="BY38" s="12">
        <f>IF('Données projet'!$A$114&gt;35,BY37+BX38-CG37,IF(A38&lt;'Données projet'!$A$114,$BV$205^A38,IF(A38='Données projet'!$A$114,'Données projet'!$B$114,BY37+BX38-CG37)))</f>
        <v>136.99999999999997</v>
      </c>
      <c r="BZ38" s="13">
        <f>BY38*VLOOKUP('Données projet'!$B$12,Paramètres!$A$1:$I$89,3,0)*VLOOKUP('Données projet'!$B$12,Paramètres!$A$1:$I$89,5,0)</f>
        <v>147.46679999999995</v>
      </c>
      <c r="CA38" s="13">
        <f t="shared" si="39"/>
        <v>38.002337418636273</v>
      </c>
      <c r="CB38" s="20">
        <f t="shared" si="10"/>
        <v>323.02541433745807</v>
      </c>
      <c r="CC38" s="59">
        <f t="shared" si="11"/>
        <v>616.35874767079144</v>
      </c>
      <c r="CD38" s="59">
        <f ca="1">AVERAGE(OFFSET($CC$3,0,0,'Données projet'!$E$12+1,1))-AVERAGE(OFFSET($H$3,0,0,'Données projet'!$E$12+1,1))</f>
        <v>354.06521046071936</v>
      </c>
      <c r="CE38" s="59">
        <f t="shared" si="40"/>
        <v>206.22956332364367</v>
      </c>
      <c r="CF38" s="15">
        <f>IF(ISNA(VLOOKUP(A38,'Données projet'!$A$113:$I$133,3,0)),0,VLOOKUP(A38,'Données projet'!$A$113:$I$133,3,0))</f>
        <v>2</v>
      </c>
      <c r="CG38" s="15">
        <f>IF(ISNA(VLOOKUP(A38,'Données projet'!$A$113:$I$133,4,0)),0,VLOOKUP(A38,'Données projet'!$A$113:$I$133,4,0))</f>
        <v>42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8.4</v>
      </c>
      <c r="N39" s="13">
        <f>IF('Données projet'!$A$36&gt;35,N38+M39-V38,IF(A39&lt;'Données projet'!$A$36,$K$205^A39,IF(A39='Données projet'!$A$36,'Données projet'!$B$36,N38+M39-V38)))</f>
        <v>103.39999999999998</v>
      </c>
      <c r="O39" s="13">
        <f>N39*VLOOKUP('Données projet'!$B$9,Paramètres!$A$1:$I$89,3,0)*VLOOKUP('Données projet'!$B$9,Paramètres!$A$1:$I$89,5,0)</f>
        <v>93.556319999999971</v>
      </c>
      <c r="P39" s="13">
        <f t="shared" si="33"/>
        <v>25.420979659258073</v>
      </c>
      <c r="Q39" s="20">
        <f t="shared" si="53"/>
        <v>207.21879690654112</v>
      </c>
      <c r="R39" s="59">
        <f t="shared" si="0"/>
        <v>500.55213023987443</v>
      </c>
      <c r="S39" s="59">
        <f ca="1">AVERAGE(OFFSET($R$3,0,0,'Données projet'!$E$9+1,1))-AVERAGE(OFFSET($H$3,0,0,'Données projet'!$E$9+1,1))</f>
        <v>280.79223530986889</v>
      </c>
      <c r="T39" s="59">
        <f t="shared" si="34"/>
        <v>170.29932835468685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103.39999999999998</v>
      </c>
      <c r="AJ39" s="13">
        <f>AI39*VLOOKUP('Données projet'!$B$10,Paramètres!$A$1:$I$89,3,0)*VLOOKUP('Données projet'!$B$10,Paramètres!$A$1:$I$89,5,0)</f>
        <v>104.8476</v>
      </c>
      <c r="AK39" s="13">
        <f t="shared" si="35"/>
        <v>28.113670466115643</v>
      </c>
      <c r="AL39" s="20">
        <f t="shared" si="4"/>
        <v>231.57421272848475</v>
      </c>
      <c r="AM39" s="59">
        <f t="shared" si="5"/>
        <v>524.90754606181804</v>
      </c>
      <c r="AN39" s="59">
        <f ca="1">AVERAGE(OFFSET($AM$3,0,0,'Données projet'!$E$10+1,1))-AVERAGE(OFFSET($H$3,0,0,'Données projet'!$E$10+1,1))</f>
        <v>327.4505861600158</v>
      </c>
      <c r="AO39" s="59">
        <f t="shared" si="36"/>
        <v>193.18009444354595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8.4</v>
      </c>
      <c r="BD39" s="12">
        <f>IF('Données projet'!$A$88&gt;35,BD38+BC39-BL38,IF(A39&lt;'Données projet'!$A$88,$BA$205^A39,IF(A39='Données projet'!$A$88,'Données projet'!$B$88,BD38+BC39-BL38)))</f>
        <v>103.39999999999998</v>
      </c>
      <c r="BE39" s="13">
        <f>BD39*VLOOKUP('Données projet'!$B$11,Paramètres!$A$1:$I$89,3,0)*VLOOKUP('Données projet'!$B$11,Paramètres!$A$1:$I$89,5,0)</f>
        <v>108.07368</v>
      </c>
      <c r="BF39" s="13">
        <f t="shared" si="37"/>
        <v>28.876662943781092</v>
      </c>
      <c r="BG39" s="20">
        <f t="shared" si="7"/>
        <v>238.52184729375207</v>
      </c>
      <c r="BH39" s="59">
        <f t="shared" si="8"/>
        <v>531.85518062708536</v>
      </c>
      <c r="BI39" s="59">
        <f ca="1">AVERAGE(OFFSET($BH$3,0,0,'Données projet'!$E$11+1,1))-AVERAGE(OFFSET($H$3,0,0,'Données projet'!$E$11+1,1))</f>
        <v>340.76197766679212</v>
      </c>
      <c r="BJ39" s="59">
        <f t="shared" si="38"/>
        <v>199.70700738826872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8.4</v>
      </c>
      <c r="BY39" s="12">
        <f>IF('Données projet'!$A$114&gt;35,BY38+BX39-CG38,IF(A39&lt;'Données projet'!$A$114,$BV$205^A39,IF(A39='Données projet'!$A$114,'Données projet'!$B$114,BY38+BX39-CG38)))</f>
        <v>103.39999999999998</v>
      </c>
      <c r="BZ39" s="13">
        <f>BY39*VLOOKUP('Données projet'!$B$12,Paramètres!$A$1:$I$89,3,0)*VLOOKUP('Données projet'!$B$12,Paramètres!$A$1:$I$89,5,0)</f>
        <v>111.29975999999996</v>
      </c>
      <c r="CA39" s="13">
        <f t="shared" si="39"/>
        <v>29.637008492427363</v>
      </c>
      <c r="CB39" s="20">
        <f t="shared" si="10"/>
        <v>245.46487179097758</v>
      </c>
      <c r="CC39" s="59">
        <f t="shared" si="11"/>
        <v>538.79820512431093</v>
      </c>
      <c r="CD39" s="59">
        <f ca="1">AVERAGE(OFFSET($CC$3,0,0,'Données projet'!$E$12+1,1))-AVERAGE(OFFSET($H$3,0,0,'Données projet'!$E$12+1,1))</f>
        <v>354.06521046071936</v>
      </c>
      <c r="CE39" s="59">
        <f t="shared" si="40"/>
        <v>206.22956332364367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8.4</v>
      </c>
      <c r="N40" s="13">
        <f>IF('Données projet'!$A$36&gt;35,N39+M40-V39,IF(A40&lt;'Données projet'!$A$36,$K$205^A40,IF(A40='Données projet'!$A$36,'Données projet'!$B$36,N39+M40-V39)))</f>
        <v>111.79999999999998</v>
      </c>
      <c r="O40" s="13">
        <f>N40*VLOOKUP('Données projet'!$B$9,Paramètres!$A$1:$I$89,3,0)*VLOOKUP('Données projet'!$B$9,Paramètres!$A$1:$I$89,5,0)</f>
        <v>101.15663999999997</v>
      </c>
      <c r="P40" s="13">
        <f t="shared" si="33"/>
        <v>27.237366379381644</v>
      </c>
      <c r="Q40" s="20">
        <f t="shared" si="53"/>
        <v>223.61956111075628</v>
      </c>
      <c r="R40" s="59">
        <f t="shared" si="0"/>
        <v>516.95289444408957</v>
      </c>
      <c r="S40" s="59">
        <f ca="1">AVERAGE(OFFSET($R$3,0,0,'Données projet'!$E$9+1,1))-AVERAGE(OFFSET($H$3,0,0,'Données projet'!$E$9+1,1))</f>
        <v>280.79223530986889</v>
      </c>
      <c r="T40" s="59">
        <f t="shared" si="34"/>
        <v>170.29932835468685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111.79999999999998</v>
      </c>
      <c r="AJ40" s="13">
        <f>AI40*VLOOKUP('Données projet'!$B$10,Paramètres!$A$1:$I$89,3,0)*VLOOKUP('Données projet'!$B$10,Paramètres!$A$1:$I$89,5,0)</f>
        <v>113.36519999999999</v>
      </c>
      <c r="AK40" s="13">
        <f t="shared" si="35"/>
        <v>30.122456058687586</v>
      </c>
      <c r="AL40" s="20">
        <f t="shared" si="4"/>
        <v>249.90766763554748</v>
      </c>
      <c r="AM40" s="59">
        <f t="shared" si="5"/>
        <v>543.24100096888083</v>
      </c>
      <c r="AN40" s="59">
        <f ca="1">AVERAGE(OFFSET($AM$3,0,0,'Données projet'!$E$10+1,1))-AVERAGE(OFFSET($H$3,0,0,'Données projet'!$E$10+1,1))</f>
        <v>327.4505861600158</v>
      </c>
      <c r="AO40" s="59">
        <f t="shared" si="36"/>
        <v>193.18009444354595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8.4</v>
      </c>
      <c r="BD40" s="12">
        <f>IF('Données projet'!$A$88&gt;35,BD39+BC40-BL39,IF(A40&lt;'Données projet'!$A$88,$BA$205^A40,IF(A40='Données projet'!$A$88,'Données projet'!$B$88,BD39+BC40-BL39)))</f>
        <v>111.79999999999998</v>
      </c>
      <c r="BE40" s="13">
        <f>BD40*VLOOKUP('Données projet'!$B$11,Paramètres!$A$1:$I$89,3,0)*VLOOKUP('Données projet'!$B$11,Paramètres!$A$1:$I$89,5,0)</f>
        <v>116.85336</v>
      </c>
      <c r="BF40" s="13">
        <f t="shared" si="37"/>
        <v>30.939966081410784</v>
      </c>
      <c r="BG40" s="20">
        <f t="shared" si="7"/>
        <v>257.40670959179045</v>
      </c>
      <c r="BH40" s="59">
        <f t="shared" si="8"/>
        <v>550.74004292512382</v>
      </c>
      <c r="BI40" s="59">
        <f ca="1">AVERAGE(OFFSET($BH$3,0,0,'Données projet'!$E$11+1,1))-AVERAGE(OFFSET($H$3,0,0,'Données projet'!$E$11+1,1))</f>
        <v>340.76197766679212</v>
      </c>
      <c r="BJ40" s="59">
        <f t="shared" si="38"/>
        <v>199.70700738826872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8.4</v>
      </c>
      <c r="BY40" s="12">
        <f>IF('Données projet'!$A$114&gt;35,BY39+BX40-CG39,IF(A40&lt;'Données projet'!$A$114,$BV$205^A40,IF(A40='Données projet'!$A$114,'Données projet'!$B$114,BY39+BX40-CG39)))</f>
        <v>111.79999999999998</v>
      </c>
      <c r="BZ40" s="13">
        <f>BY40*VLOOKUP('Données projet'!$B$12,Paramètres!$A$1:$I$89,3,0)*VLOOKUP('Données projet'!$B$12,Paramètres!$A$1:$I$89,5,0)</f>
        <v>120.34151999999997</v>
      </c>
      <c r="CA40" s="13">
        <f t="shared" si="39"/>
        <v>31.754640046026051</v>
      </c>
      <c r="CB40" s="20">
        <f t="shared" si="10"/>
        <v>264.90081208016198</v>
      </c>
      <c r="CC40" s="59">
        <f t="shared" si="11"/>
        <v>558.2341454134953</v>
      </c>
      <c r="CD40" s="59">
        <f ca="1">AVERAGE(OFFSET($CC$3,0,0,'Données projet'!$E$12+1,1))-AVERAGE(OFFSET($H$3,0,0,'Données projet'!$E$12+1,1))</f>
        <v>354.06521046071936</v>
      </c>
      <c r="CE40" s="59">
        <f t="shared" si="40"/>
        <v>206.22956332364367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8.4</v>
      </c>
      <c r="N41" s="13">
        <f>IF('Données projet'!$A$36&gt;35,N40+M41-V40,IF(A41&lt;'Données projet'!$A$36,$K$205^A41,IF(A41='Données projet'!$A$36,'Données projet'!$B$36,N40+M41-V40)))</f>
        <v>120.19999999999999</v>
      </c>
      <c r="O41" s="13">
        <f>N41*VLOOKUP('Données projet'!$B$9,Paramètres!$A$1:$I$89,3,0)*VLOOKUP('Données projet'!$B$9,Paramètres!$A$1:$I$89,5,0)</f>
        <v>108.75695999999999</v>
      </c>
      <c r="P41" s="13">
        <f t="shared" si="33"/>
        <v>29.037921223305585</v>
      </c>
      <c r="Q41" s="20">
        <f t="shared" si="53"/>
        <v>239.99275146392384</v>
      </c>
      <c r="R41" s="59">
        <f t="shared" si="0"/>
        <v>533.32608479725718</v>
      </c>
      <c r="S41" s="59">
        <f ca="1">AVERAGE(OFFSET($R$3,0,0,'Données projet'!$E$9+1,1))-AVERAGE(OFFSET($H$3,0,0,'Données projet'!$E$9+1,1))</f>
        <v>280.79223530986889</v>
      </c>
      <c r="T41" s="59">
        <f t="shared" si="34"/>
        <v>170.29932835468685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120.19999999999999</v>
      </c>
      <c r="AJ41" s="13">
        <f>AI41*VLOOKUP('Données projet'!$B$10,Paramètres!$A$1:$I$89,3,0)*VLOOKUP('Données projet'!$B$10,Paramètres!$A$1:$I$89,5,0)</f>
        <v>121.8828</v>
      </c>
      <c r="AK41" s="13">
        <f t="shared" si="35"/>
        <v>32.113732800054677</v>
      </c>
      <c r="AL41" s="20">
        <f t="shared" si="4"/>
        <v>268.21062796009522</v>
      </c>
      <c r="AM41" s="59">
        <f t="shared" si="5"/>
        <v>561.54396129342854</v>
      </c>
      <c r="AN41" s="59">
        <f ca="1">AVERAGE(OFFSET($AM$3,0,0,'Données projet'!$E$10+1,1))-AVERAGE(OFFSET($H$3,0,0,'Données projet'!$E$10+1,1))</f>
        <v>327.4505861600158</v>
      </c>
      <c r="AO41" s="59">
        <f t="shared" si="36"/>
        <v>193.18009444354595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8.4</v>
      </c>
      <c r="BD41" s="12">
        <f>IF('Données projet'!$A$88&gt;35,BD40+BC41-BL40,IF(A41&lt;'Données projet'!$A$88,$BA$205^A41,IF(A41='Données projet'!$A$88,'Données projet'!$B$88,BD40+BC41-BL40)))</f>
        <v>120.19999999999999</v>
      </c>
      <c r="BE41" s="13">
        <f>BD41*VLOOKUP('Données projet'!$B$11,Paramètres!$A$1:$I$89,3,0)*VLOOKUP('Données projet'!$B$11,Paramètres!$A$1:$I$89,5,0)</f>
        <v>125.63303999999999</v>
      </c>
      <c r="BF41" s="13">
        <f t="shared" si="37"/>
        <v>32.985285185422931</v>
      </c>
      <c r="BG41" s="20">
        <f t="shared" si="7"/>
        <v>276.26024969794486</v>
      </c>
      <c r="BH41" s="59">
        <f t="shared" si="8"/>
        <v>569.59358303127817</v>
      </c>
      <c r="BI41" s="59">
        <f ca="1">AVERAGE(OFFSET($BH$3,0,0,'Données projet'!$E$11+1,1))-AVERAGE(OFFSET($H$3,0,0,'Données projet'!$E$11+1,1))</f>
        <v>340.76197766679212</v>
      </c>
      <c r="BJ41" s="59">
        <f t="shared" si="38"/>
        <v>199.70700738826872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8.4</v>
      </c>
      <c r="BY41" s="12">
        <f>IF('Données projet'!$A$114&gt;35,BY40+BX41-CG40,IF(A41&lt;'Données projet'!$A$114,$BV$205^A41,IF(A41='Données projet'!$A$114,'Données projet'!$B$114,BY40+BX41-CG40)))</f>
        <v>120.19999999999999</v>
      </c>
      <c r="BZ41" s="13">
        <f>BY41*VLOOKUP('Données projet'!$B$12,Paramètres!$A$1:$I$89,3,0)*VLOOKUP('Données projet'!$B$12,Paramètres!$A$1:$I$89,5,0)</f>
        <v>129.38327999999998</v>
      </c>
      <c r="CA41" s="13">
        <f t="shared" si="39"/>
        <v>33.853814032069536</v>
      </c>
      <c r="CB41" s="20">
        <f t="shared" si="10"/>
        <v>284.30460543918775</v>
      </c>
      <c r="CC41" s="59">
        <f t="shared" si="11"/>
        <v>577.63793877252101</v>
      </c>
      <c r="CD41" s="59">
        <f ca="1">AVERAGE(OFFSET($CC$3,0,0,'Données projet'!$E$12+1,1))-AVERAGE(OFFSET($H$3,0,0,'Données projet'!$E$12+1,1))</f>
        <v>354.06521046071936</v>
      </c>
      <c r="CE41" s="59">
        <f t="shared" si="40"/>
        <v>206.22956332364367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8.4</v>
      </c>
      <c r="N42" s="13">
        <f>IF('Données projet'!$A$36&gt;35,N41+M42-V41,IF(A42&lt;'Données projet'!$A$36,$K$205^A42,IF(A42='Données projet'!$A$36,'Données projet'!$B$36,N41+M42-V41)))</f>
        <v>128.6</v>
      </c>
      <c r="O42" s="13">
        <f>N42*VLOOKUP('Données projet'!$B$9,Paramètres!$A$1:$I$89,3,0)*VLOOKUP('Données projet'!$B$9,Paramètres!$A$1:$I$89,5,0)</f>
        <v>116.35727999999999</v>
      </c>
      <c r="P42" s="13">
        <f t="shared" si="33"/>
        <v>30.823876427820704</v>
      </c>
      <c r="Q42" s="20">
        <f t="shared" si="53"/>
        <v>256.34051411178768</v>
      </c>
      <c r="R42" s="59">
        <f t="shared" si="0"/>
        <v>549.67384744512105</v>
      </c>
      <c r="S42" s="59">
        <f ca="1">AVERAGE(OFFSET($R$3,0,0,'Données projet'!$E$9+1,1))-AVERAGE(OFFSET($H$3,0,0,'Données projet'!$E$9+1,1))</f>
        <v>280.79223530986889</v>
      </c>
      <c r="T42" s="59">
        <f t="shared" si="34"/>
        <v>170.29932835468685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</v>
      </c>
      <c r="AJ42" s="13">
        <f>AI42*VLOOKUP('Données projet'!$B$10,Paramètres!$A$1:$I$89,3,0)*VLOOKUP('Données projet'!$B$10,Paramètres!$A$1:$I$89,5,0)</f>
        <v>130.40040000000002</v>
      </c>
      <c r="AK42" s="13">
        <f t="shared" si="35"/>
        <v>34.088863450406919</v>
      </c>
      <c r="AL42" s="20">
        <f t="shared" si="4"/>
        <v>286.48546717612544</v>
      </c>
      <c r="AM42" s="59">
        <f t="shared" si="5"/>
        <v>579.8188005094587</v>
      </c>
      <c r="AN42" s="59">
        <f ca="1">AVERAGE(OFFSET($AM$3,0,0,'Données projet'!$E$10+1,1))-AVERAGE(OFFSET($H$3,0,0,'Données projet'!$E$10+1,1))</f>
        <v>327.4505861600158</v>
      </c>
      <c r="AO42" s="59">
        <f t="shared" si="36"/>
        <v>193.18009444354595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8.4</v>
      </c>
      <c r="BD42" s="12">
        <f>IF('Données projet'!$A$88&gt;35,BD41+BC42-BL41,IF(A42&lt;'Données projet'!$A$88,$BA$205^A42,IF(A42='Données projet'!$A$88,'Données projet'!$B$88,BD41+BC42-BL41)))</f>
        <v>128.6</v>
      </c>
      <c r="BE42" s="13">
        <f>BD42*VLOOKUP('Données projet'!$B$11,Paramètres!$A$1:$I$89,3,0)*VLOOKUP('Données projet'!$B$11,Paramètres!$A$1:$I$89,5,0)</f>
        <v>134.41272000000001</v>
      </c>
      <c r="BF42" s="13">
        <f t="shared" si="37"/>
        <v>35.014020000711284</v>
      </c>
      <c r="BG42" s="20">
        <f t="shared" si="7"/>
        <v>295.08490550123878</v>
      </c>
      <c r="BH42" s="59">
        <f t="shared" si="8"/>
        <v>588.41823883457209</v>
      </c>
      <c r="BI42" s="59">
        <f ca="1">AVERAGE(OFFSET($BH$3,0,0,'Données projet'!$E$11+1,1))-AVERAGE(OFFSET($H$3,0,0,'Données projet'!$E$11+1,1))</f>
        <v>340.76197766679212</v>
      </c>
      <c r="BJ42" s="59">
        <f t="shared" si="38"/>
        <v>199.70700738826872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8.4</v>
      </c>
      <c r="BY42" s="12">
        <f>IF('Données projet'!$A$114&gt;35,BY41+BX42-CG41,IF(A42&lt;'Données projet'!$A$114,$BV$205^A42,IF(A42='Données projet'!$A$114,'Données projet'!$B$114,BY41+BX42-CG41)))</f>
        <v>128.6</v>
      </c>
      <c r="BZ42" s="13">
        <f>BY42*VLOOKUP('Données projet'!$B$12,Paramètres!$A$1:$I$89,3,0)*VLOOKUP('Données projet'!$B$12,Paramètres!$A$1:$I$89,5,0)</f>
        <v>138.42504</v>
      </c>
      <c r="CA42" s="13">
        <f t="shared" si="39"/>
        <v>35.935967051850263</v>
      </c>
      <c r="CB42" s="20">
        <f t="shared" si="10"/>
        <v>303.67875394863921</v>
      </c>
      <c r="CC42" s="59">
        <f t="shared" si="11"/>
        <v>597.01208728197253</v>
      </c>
      <c r="CD42" s="59">
        <f ca="1">AVERAGE(OFFSET($CC$3,0,0,'Données projet'!$E$12+1,1))-AVERAGE(OFFSET($H$3,0,0,'Données projet'!$E$12+1,1))</f>
        <v>354.06521046071936</v>
      </c>
      <c r="CE42" s="59">
        <f t="shared" si="40"/>
        <v>206.22956332364367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137</v>
      </c>
      <c r="L43" s="12">
        <f>VLOOKUP(A43,'Données projet'!$A$35:$I$55,9,0)</f>
        <v>8.4</v>
      </c>
      <c r="M43" s="12">
        <f t="array" ref="M43">INDEX(L:L,MIN(IF(ISNUMBER(L43:L239),ROW(L43:L239),"")))</f>
        <v>8.4</v>
      </c>
      <c r="N43" s="13">
        <f>IF('Données projet'!$A$36&gt;35,N42+M43-V42,IF(A43&lt;'Données projet'!$A$36,$K$205^A43,IF(A43='Données projet'!$A$36,'Données projet'!$B$36,N42+M43-V42)))</f>
        <v>137</v>
      </c>
      <c r="O43" s="13">
        <f>N43*VLOOKUP('Données projet'!$B$9,Paramètres!$A$1:$I$89,3,0)*VLOOKUP('Données projet'!$B$9,Paramètres!$A$1:$I$89,5,0)</f>
        <v>123.9576</v>
      </c>
      <c r="P43" s="13">
        <f t="shared" si="33"/>
        <v>32.59629414926458</v>
      </c>
      <c r="Q43" s="20">
        <f t="shared" si="53"/>
        <v>272.6646989766358</v>
      </c>
      <c r="R43" s="59">
        <f t="shared" si="0"/>
        <v>565.99803230996918</v>
      </c>
      <c r="S43" s="59">
        <f ca="1">AVERAGE(OFFSET($R$3,0,0,'Données projet'!$E$9+1,1))-AVERAGE(OFFSET($H$3,0,0,'Données projet'!$E$9+1,1))</f>
        <v>280.79223530986889</v>
      </c>
      <c r="T43" s="59">
        <f t="shared" si="34"/>
        <v>170.29932835468685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</v>
      </c>
      <c r="AJ43" s="13">
        <f>AI43*VLOOKUP('Données projet'!$B$10,Paramètres!$A$1:$I$89,3,0)*VLOOKUP('Données projet'!$B$10,Paramètres!$A$1:$I$89,5,0)</f>
        <v>138.91800000000001</v>
      </c>
      <c r="AK43" s="13">
        <f t="shared" si="35"/>
        <v>36.049022673886341</v>
      </c>
      <c r="AL43" s="20">
        <f t="shared" si="4"/>
        <v>304.73423115701871</v>
      </c>
      <c r="AM43" s="59">
        <f t="shared" si="5"/>
        <v>598.06756449035197</v>
      </c>
      <c r="AN43" s="59">
        <f ca="1">AVERAGE(OFFSET($AM$3,0,0,'Données projet'!$E$10+1,1))-AVERAGE(OFFSET($H$3,0,0,'Données projet'!$E$10+1,1))</f>
        <v>327.4505861600158</v>
      </c>
      <c r="AO43" s="59">
        <f t="shared" si="36"/>
        <v>193.18009444354595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137</v>
      </c>
      <c r="BB43" s="12">
        <f>VLOOKUP(A43,'Données projet'!$A$87:$I$107,9,0)</f>
        <v>8.4</v>
      </c>
      <c r="BC43" s="12">
        <f t="array" ref="BC43">INDEX(BB:BB,MIN(IF(ISNUMBER(BB43:BB239),ROW(BB43:BB239),"")))</f>
        <v>8.4</v>
      </c>
      <c r="BD43" s="12">
        <f>IF('Données projet'!$A$88&gt;35,BD42+BC43-BL42,IF(A43&lt;'Données projet'!$A$88,$BA$205^A43,IF(A43='Données projet'!$A$88,'Données projet'!$B$88,BD42+BC43-BL42)))</f>
        <v>137</v>
      </c>
      <c r="BE43" s="13">
        <f>BD43*VLOOKUP('Données projet'!$B$11,Paramètres!$A$1:$I$89,3,0)*VLOOKUP('Données projet'!$B$11,Paramètres!$A$1:$I$89,5,0)</f>
        <v>143.19240000000002</v>
      </c>
      <c r="BF43" s="13">
        <f t="shared" si="37"/>
        <v>37.027377071278792</v>
      </c>
      <c r="BG43" s="20">
        <f t="shared" si="7"/>
        <v>313.88277839914394</v>
      </c>
      <c r="BH43" s="59">
        <f t="shared" si="8"/>
        <v>607.2161117324772</v>
      </c>
      <c r="BI43" s="59">
        <f ca="1">AVERAGE(OFFSET($BH$3,0,0,'Données projet'!$E$11+1,1))-AVERAGE(OFFSET($H$3,0,0,'Données projet'!$E$11+1,1))</f>
        <v>340.76197766679212</v>
      </c>
      <c r="BJ43" s="59">
        <f t="shared" si="38"/>
        <v>199.70700738826872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137</v>
      </c>
      <c r="BW43" s="12">
        <f>VLOOKUP(A43,'Données projet'!$A$113:$I$133,9,0)</f>
        <v>8.4</v>
      </c>
      <c r="BX43" s="12">
        <f t="array" ref="BX43">INDEX(BW:BW,MIN(IF(ISNUMBER(BW43:BW239),ROW(BW43:BW239),"")))</f>
        <v>8.4</v>
      </c>
      <c r="BY43" s="12">
        <f>IF('Données projet'!$A$114&gt;35,BY42+BX43-CG42,IF(A43&lt;'Données projet'!$A$114,$BV$205^A43,IF(A43='Données projet'!$A$114,'Données projet'!$B$114,BY42+BX43-CG42)))</f>
        <v>137</v>
      </c>
      <c r="BZ43" s="13">
        <f>BY43*VLOOKUP('Données projet'!$B$12,Paramètres!$A$1:$I$89,3,0)*VLOOKUP('Données projet'!$B$12,Paramètres!$A$1:$I$89,5,0)</f>
        <v>147.46679999999998</v>
      </c>
      <c r="CA43" s="13">
        <f t="shared" si="39"/>
        <v>38.002337418636273</v>
      </c>
      <c r="CB43" s="20">
        <f t="shared" si="10"/>
        <v>323.02541433745813</v>
      </c>
      <c r="CC43" s="59">
        <f t="shared" si="11"/>
        <v>616.35874767079144</v>
      </c>
      <c r="CD43" s="59">
        <f ca="1">AVERAGE(OFFSET($CC$3,0,0,'Données projet'!$E$12+1,1))-AVERAGE(OFFSET($H$3,0,0,'Données projet'!$E$12+1,1))</f>
        <v>354.06521046071936</v>
      </c>
      <c r="CE43" s="59">
        <f t="shared" si="40"/>
        <v>206.22956332364367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8.4</v>
      </c>
      <c r="N44" s="13">
        <f>IF('Données projet'!$A$36&gt;35,N43+M44-V43,IF(A44&lt;'Données projet'!$A$36,$K$205^A44,IF(A44='Données projet'!$A$36,'Données projet'!$B$36,N43+M44-V43)))</f>
        <v>145.4</v>
      </c>
      <c r="O44" s="13">
        <f>N44*VLOOKUP('Données projet'!$B$9,Paramètres!$A$1:$I$89,3,0)*VLOOKUP('Données projet'!$B$9,Paramètres!$A$1:$I$89,5,0)</f>
        <v>131.55792</v>
      </c>
      <c r="P44" s="13">
        <f t="shared" si="33"/>
        <v>34.3560989338864</v>
      </c>
      <c r="Q44" s="20">
        <f t="shared" si="53"/>
        <v>288.96691630985214</v>
      </c>
      <c r="R44" s="59">
        <f t="shared" si="0"/>
        <v>582.30024964318545</v>
      </c>
      <c r="S44" s="59">
        <f ca="1">AVERAGE(OFFSET($R$3,0,0,'Données projet'!$E$9+1,1))-AVERAGE(OFFSET($H$3,0,0,'Données projet'!$E$9+1,1))</f>
        <v>280.79223530986889</v>
      </c>
      <c r="T44" s="59">
        <f t="shared" si="34"/>
        <v>170.29932835468685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145.4</v>
      </c>
      <c r="AJ44" s="13">
        <f>AI44*VLOOKUP('Données projet'!$B$10,Paramètres!$A$1:$I$89,3,0)*VLOOKUP('Données projet'!$B$10,Paramètres!$A$1:$I$89,5,0)</f>
        <v>147.43560000000002</v>
      </c>
      <c r="AK44" s="13">
        <f t="shared" si="35"/>
        <v>37.99523294834102</v>
      </c>
      <c r="AL44" s="20">
        <f t="shared" si="4"/>
        <v>322.95870071836066</v>
      </c>
      <c r="AM44" s="59">
        <f t="shared" si="5"/>
        <v>616.29203405169392</v>
      </c>
      <c r="AN44" s="59">
        <f ca="1">AVERAGE(OFFSET($AM$3,0,0,'Données projet'!$E$10+1,1))-AVERAGE(OFFSET($H$3,0,0,'Données projet'!$E$10+1,1))</f>
        <v>327.4505861600158</v>
      </c>
      <c r="AO44" s="59">
        <f t="shared" si="36"/>
        <v>193.18009444354595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8.4</v>
      </c>
      <c r="BD44" s="12">
        <f>IF('Données projet'!$A$88&gt;35,BD43+BC44-BL43,IF(A44&lt;'Données projet'!$A$88,$BA$205^A44,IF(A44='Données projet'!$A$88,'Données projet'!$B$88,BD43+BC44-BL43)))</f>
        <v>145.4</v>
      </c>
      <c r="BE44" s="13">
        <f>BD44*VLOOKUP('Données projet'!$B$11,Paramètres!$A$1:$I$89,3,0)*VLOOKUP('Données projet'!$B$11,Paramètres!$A$1:$I$89,5,0)</f>
        <v>151.97208000000001</v>
      </c>
      <c r="BF44" s="13">
        <f t="shared" si="37"/>
        <v>39.026406624566306</v>
      </c>
      <c r="BG44" s="20">
        <f t="shared" si="7"/>
        <v>332.65569753778635</v>
      </c>
      <c r="BH44" s="59">
        <f t="shared" si="8"/>
        <v>625.98903087111967</v>
      </c>
      <c r="BI44" s="59">
        <f ca="1">AVERAGE(OFFSET($BH$3,0,0,'Données projet'!$E$11+1,1))-AVERAGE(OFFSET($H$3,0,0,'Données projet'!$E$11+1,1))</f>
        <v>340.76197766679212</v>
      </c>
      <c r="BJ44" s="59">
        <f t="shared" si="38"/>
        <v>199.70700738826872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8.4</v>
      </c>
      <c r="BY44" s="12">
        <f>IF('Données projet'!$A$114&gt;35,BY43+BX44-CG43,IF(A44&lt;'Données projet'!$A$114,$BV$205^A44,IF(A44='Données projet'!$A$114,'Données projet'!$B$114,BY43+BX44-CG43)))</f>
        <v>145.4</v>
      </c>
      <c r="BZ44" s="13">
        <f>BY44*VLOOKUP('Données projet'!$B$12,Paramètres!$A$1:$I$89,3,0)*VLOOKUP('Données projet'!$B$12,Paramètres!$A$1:$I$89,5,0)</f>
        <v>156.50855999999999</v>
      </c>
      <c r="CA44" s="13">
        <f t="shared" si="39"/>
        <v>40.054003013194027</v>
      </c>
      <c r="CB44" s="20">
        <f t="shared" si="10"/>
        <v>342.34646391464622</v>
      </c>
      <c r="CC44" s="59">
        <f t="shared" si="11"/>
        <v>635.67979724797954</v>
      </c>
      <c r="CD44" s="59">
        <f ca="1">AVERAGE(OFFSET($CC$3,0,0,'Données projet'!$E$12+1,1))-AVERAGE(OFFSET($H$3,0,0,'Données projet'!$E$12+1,1))</f>
        <v>354.06521046071936</v>
      </c>
      <c r="CE44" s="59">
        <f t="shared" si="40"/>
        <v>206.22956332364367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8.4</v>
      </c>
      <c r="N45" s="13">
        <f>IF('Données projet'!$A$36&gt;35,N44+M45-V44,IF(A45&lt;'Données projet'!$A$36,$K$205^A45,IF(A45='Données projet'!$A$36,'Données projet'!$B$36,N44+M45-V44)))</f>
        <v>153.80000000000001</v>
      </c>
      <c r="O45" s="13">
        <f>N45*VLOOKUP('Données projet'!$B$9,Paramètres!$A$1:$I$89,3,0)*VLOOKUP('Données projet'!$B$9,Paramètres!$A$1:$I$89,5,0)</f>
        <v>139.15824000000001</v>
      </c>
      <c r="P45" s="13">
        <f t="shared" si="33"/>
        <v>36.104102468715482</v>
      </c>
      <c r="Q45" s="20">
        <f t="shared" si="53"/>
        <v>305.24857979967942</v>
      </c>
      <c r="R45" s="59">
        <f t="shared" si="0"/>
        <v>598.58191313301268</v>
      </c>
      <c r="S45" s="59">
        <f ca="1">AVERAGE(OFFSET($R$3,0,0,'Données projet'!$E$9+1,1))-AVERAGE(OFFSET($H$3,0,0,'Données projet'!$E$9+1,1))</f>
        <v>280.79223530986889</v>
      </c>
      <c r="T45" s="59">
        <f t="shared" si="34"/>
        <v>170.29932835468685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153.80000000000001</v>
      </c>
      <c r="AJ45" s="13">
        <f>AI45*VLOOKUP('Données projet'!$B$10,Paramètres!$A$1:$I$89,3,0)*VLOOKUP('Données projet'!$B$10,Paramètres!$A$1:$I$89,5,0)</f>
        <v>155.95320000000004</v>
      </c>
      <c r="AK45" s="13">
        <f t="shared" si="35"/>
        <v>39.928391937903875</v>
      </c>
      <c r="AL45" s="20">
        <f t="shared" si="4"/>
        <v>341.16043929184929</v>
      </c>
      <c r="AM45" s="59">
        <f t="shared" si="5"/>
        <v>634.4937726251826</v>
      </c>
      <c r="AN45" s="59">
        <f ca="1">AVERAGE(OFFSET($AM$3,0,0,'Données projet'!$E$10+1,1))-AVERAGE(OFFSET($H$3,0,0,'Données projet'!$E$10+1,1))</f>
        <v>327.4505861600158</v>
      </c>
      <c r="AO45" s="59">
        <f t="shared" si="36"/>
        <v>193.18009444354595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8.4</v>
      </c>
      <c r="BD45" s="12">
        <f>IF('Données projet'!$A$88&gt;35,BD44+BC45-BL44,IF(A45&lt;'Données projet'!$A$88,$BA$205^A45,IF(A45='Données projet'!$A$88,'Données projet'!$B$88,BD44+BC45-BL44)))</f>
        <v>153.80000000000001</v>
      </c>
      <c r="BE45" s="13">
        <f>BD45*VLOOKUP('Données projet'!$B$11,Paramètres!$A$1:$I$89,3,0)*VLOOKUP('Données projet'!$B$11,Paramètres!$A$1:$I$89,5,0)</f>
        <v>160.75176000000005</v>
      </c>
      <c r="BF45" s="13">
        <f t="shared" si="37"/>
        <v>41.01203068691094</v>
      </c>
      <c r="BG45" s="20">
        <f t="shared" si="7"/>
        <v>351.40526877970325</v>
      </c>
      <c r="BH45" s="59">
        <f t="shared" si="8"/>
        <v>644.73860211303656</v>
      </c>
      <c r="BI45" s="59">
        <f ca="1">AVERAGE(OFFSET($BH$3,0,0,'Données projet'!$E$11+1,1))-AVERAGE(OFFSET($H$3,0,0,'Données projet'!$E$11+1,1))</f>
        <v>340.76197766679212</v>
      </c>
      <c r="BJ45" s="59">
        <f t="shared" si="38"/>
        <v>199.70700738826872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8.4</v>
      </c>
      <c r="BY45" s="12">
        <f>IF('Données projet'!$A$114&gt;35,BY44+BX45-CG44,IF(A45&lt;'Données projet'!$A$114,$BV$205^A45,IF(A45='Données projet'!$A$114,'Données projet'!$B$114,BY44+BX45-CG44)))</f>
        <v>153.80000000000001</v>
      </c>
      <c r="BZ45" s="13">
        <f>BY45*VLOOKUP('Données projet'!$B$12,Paramètres!$A$1:$I$89,3,0)*VLOOKUP('Données projet'!$B$12,Paramètres!$A$1:$I$89,5,0)</f>
        <v>165.55032</v>
      </c>
      <c r="CA45" s="13">
        <f t="shared" si="39"/>
        <v>42.091910139548794</v>
      </c>
      <c r="CB45" s="20">
        <f t="shared" si="10"/>
        <v>361.64355082638076</v>
      </c>
      <c r="CC45" s="59">
        <f t="shared" si="11"/>
        <v>654.97688415971402</v>
      </c>
      <c r="CD45" s="59">
        <f ca="1">AVERAGE(OFFSET($CC$3,0,0,'Données projet'!$E$12+1,1))-AVERAGE(OFFSET($H$3,0,0,'Données projet'!$E$12+1,1))</f>
        <v>354.06521046071936</v>
      </c>
      <c r="CE45" s="59">
        <f t="shared" si="40"/>
        <v>206.22956332364367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8.4</v>
      </c>
      <c r="N46" s="13">
        <f>IF('Données projet'!$A$36&gt;35,N45+M46-V45,IF(A46&lt;'Données projet'!$A$36,$K$205^A46,IF(A46='Données projet'!$A$36,'Données projet'!$B$36,N45+M46-V45)))</f>
        <v>162.20000000000002</v>
      </c>
      <c r="O46" s="13">
        <f>N46*VLOOKUP('Données projet'!$B$9,Paramètres!$A$1:$I$89,3,0)*VLOOKUP('Données projet'!$B$9,Paramètres!$A$1:$I$89,5,0)</f>
        <v>146.75856000000002</v>
      </c>
      <c r="P46" s="13">
        <f t="shared" si="33"/>
        <v>37.841022770456242</v>
      </c>
      <c r="Q46" s="20">
        <f t="shared" si="53"/>
        <v>321.51093999187799</v>
      </c>
      <c r="R46" s="59">
        <f t="shared" si="0"/>
        <v>614.84427332521136</v>
      </c>
      <c r="S46" s="59">
        <f ca="1">AVERAGE(OFFSET($R$3,0,0,'Données projet'!$E$9+1,1))-AVERAGE(OFFSET($H$3,0,0,'Données projet'!$E$9+1,1))</f>
        <v>280.79223530986889</v>
      </c>
      <c r="T46" s="59">
        <f t="shared" si="34"/>
        <v>170.29932835468685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162.20000000000002</v>
      </c>
      <c r="AJ46" s="13">
        <f>AI46*VLOOKUP('Données projet'!$B$10,Paramètres!$A$1:$I$89,3,0)*VLOOKUP('Données projet'!$B$10,Paramètres!$A$1:$I$89,5,0)</f>
        <v>164.47080000000003</v>
      </c>
      <c r="AK46" s="13">
        <f t="shared" si="35"/>
        <v>41.849293714451377</v>
      </c>
      <c r="AL46" s="20">
        <f t="shared" si="4"/>
        <v>359.34082988600284</v>
      </c>
      <c r="AM46" s="59">
        <f t="shared" si="5"/>
        <v>652.67416321933615</v>
      </c>
      <c r="AN46" s="59">
        <f ca="1">AVERAGE(OFFSET($AM$3,0,0,'Données projet'!$E$10+1,1))-AVERAGE(OFFSET($H$3,0,0,'Données projet'!$E$10+1,1))</f>
        <v>327.4505861600158</v>
      </c>
      <c r="AO46" s="59">
        <f t="shared" si="36"/>
        <v>193.18009444354595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8.4</v>
      </c>
      <c r="BD46" s="12">
        <f>IF('Données projet'!$A$88&gt;35,BD45+BC46-BL45,IF(A46&lt;'Données projet'!$A$88,$BA$205^A46,IF(A46='Données projet'!$A$88,'Données projet'!$B$88,BD45+BC46-BL45)))</f>
        <v>162.20000000000002</v>
      </c>
      <c r="BE46" s="13">
        <f>BD46*VLOOKUP('Données projet'!$B$11,Paramètres!$A$1:$I$89,3,0)*VLOOKUP('Données projet'!$B$11,Paramètres!$A$1:$I$89,5,0)</f>
        <v>169.53144000000003</v>
      </c>
      <c r="BF46" s="13">
        <f t="shared" si="37"/>
        <v>42.985064880945743</v>
      </c>
      <c r="BG46" s="20">
        <f t="shared" si="7"/>
        <v>370.13291266764719</v>
      </c>
      <c r="BH46" s="59">
        <f t="shared" si="8"/>
        <v>663.4662460009805</v>
      </c>
      <c r="BI46" s="59">
        <f ca="1">AVERAGE(OFFSET($BH$3,0,0,'Données projet'!$E$11+1,1))-AVERAGE(OFFSET($H$3,0,0,'Données projet'!$E$11+1,1))</f>
        <v>340.76197766679212</v>
      </c>
      <c r="BJ46" s="59">
        <f t="shared" si="38"/>
        <v>199.70700738826872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8.4</v>
      </c>
      <c r="BY46" s="12">
        <f>IF('Données projet'!$A$114&gt;35,BY45+BX46-CG45,IF(A46&lt;'Données projet'!$A$114,$BV$205^A46,IF(A46='Données projet'!$A$114,'Données projet'!$B$114,BY45+BX46-CG45)))</f>
        <v>162.20000000000002</v>
      </c>
      <c r="BZ46" s="13">
        <f>BY46*VLOOKUP('Données projet'!$B$12,Paramètres!$A$1:$I$89,3,0)*VLOOKUP('Données projet'!$B$12,Paramètres!$A$1:$I$89,5,0)</f>
        <v>174.59208000000001</v>
      </c>
      <c r="CA46" s="13">
        <f t="shared" si="39"/>
        <v>44.116895896327598</v>
      </c>
      <c r="CB46" s="20">
        <f t="shared" si="10"/>
        <v>380.91813301943722</v>
      </c>
      <c r="CC46" s="59">
        <f t="shared" si="11"/>
        <v>674.25146635277054</v>
      </c>
      <c r="CD46" s="59">
        <f ca="1">AVERAGE(OFFSET($CC$3,0,0,'Données projet'!$E$12+1,1))-AVERAGE(OFFSET($H$3,0,0,'Données projet'!$E$12+1,1))</f>
        <v>354.06521046071936</v>
      </c>
      <c r="CE46" s="59">
        <f t="shared" si="40"/>
        <v>206.22956332364367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8.4</v>
      </c>
      <c r="N47" s="13">
        <f>IF('Données projet'!$A$36&gt;35,N46+M47-V46,IF(A47&lt;'Données projet'!$A$36,$K$205^A47,IF(A47='Données projet'!$A$36,'Données projet'!$B$36,N46+M47-V46)))</f>
        <v>170.60000000000002</v>
      </c>
      <c r="O47" s="13">
        <f>N47*VLOOKUP('Données projet'!$B$9,Paramètres!$A$1:$I$89,3,0)*VLOOKUP('Données projet'!$B$9,Paramètres!$A$1:$I$89,5,0)</f>
        <v>154.35888000000003</v>
      </c>
      <c r="P47" s="13">
        <f t="shared" si="33"/>
        <v>39.567499286120309</v>
      </c>
      <c r="Q47" s="20">
        <f t="shared" si="53"/>
        <v>337.75511058999291</v>
      </c>
      <c r="R47" s="59">
        <f t="shared" si="0"/>
        <v>631.08844392332617</v>
      </c>
      <c r="S47" s="59">
        <f ca="1">AVERAGE(OFFSET($R$3,0,0,'Données projet'!$E$9+1,1))-AVERAGE(OFFSET($H$3,0,0,'Données projet'!$E$9+1,1))</f>
        <v>280.79223530986889</v>
      </c>
      <c r="T47" s="59">
        <f t="shared" si="34"/>
        <v>170.29932835468685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170.60000000000002</v>
      </c>
      <c r="AJ47" s="13">
        <f>AI47*VLOOKUP('Données projet'!$B$10,Paramètres!$A$1:$I$89,3,0)*VLOOKUP('Données projet'!$B$10,Paramètres!$A$1:$I$89,5,0)</f>
        <v>172.98840000000004</v>
      </c>
      <c r="AK47" s="13">
        <f t="shared" si="35"/>
        <v>43.758645457754092</v>
      </c>
      <c r="AL47" s="20">
        <f t="shared" si="4"/>
        <v>377.50110417225505</v>
      </c>
      <c r="AM47" s="59">
        <f t="shared" si="5"/>
        <v>670.83443750558831</v>
      </c>
      <c r="AN47" s="59">
        <f ca="1">AVERAGE(OFFSET($AM$3,0,0,'Données projet'!$E$10+1,1))-AVERAGE(OFFSET($H$3,0,0,'Données projet'!$E$10+1,1))</f>
        <v>327.4505861600158</v>
      </c>
      <c r="AO47" s="59">
        <f t="shared" si="36"/>
        <v>193.18009444354595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8.4</v>
      </c>
      <c r="BD47" s="12">
        <f>IF('Données projet'!$A$88&gt;35,BD46+BC47-BL46,IF(A47&lt;'Données projet'!$A$88,$BA$205^A47,IF(A47='Données projet'!$A$88,'Données projet'!$B$88,BD46+BC47-BL46)))</f>
        <v>170.60000000000002</v>
      </c>
      <c r="BE47" s="13">
        <f>BD47*VLOOKUP('Données projet'!$B$11,Paramètres!$A$1:$I$89,3,0)*VLOOKUP('Données projet'!$B$11,Paramètres!$A$1:$I$89,5,0)</f>
        <v>178.31112000000005</v>
      </c>
      <c r="BF47" s="13">
        <f t="shared" si="37"/>
        <v>44.946235578984847</v>
      </c>
      <c r="BG47" s="20">
        <f t="shared" si="7"/>
        <v>388.83989430006528</v>
      </c>
      <c r="BH47" s="59">
        <f t="shared" si="8"/>
        <v>682.1732276333986</v>
      </c>
      <c r="BI47" s="59">
        <f ca="1">AVERAGE(OFFSET($BH$3,0,0,'Données projet'!$E$11+1,1))-AVERAGE(OFFSET($H$3,0,0,'Données projet'!$E$11+1,1))</f>
        <v>340.76197766679212</v>
      </c>
      <c r="BJ47" s="59">
        <f t="shared" si="38"/>
        <v>199.70700738826872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8.4</v>
      </c>
      <c r="BY47" s="12">
        <f>IF('Données projet'!$A$114&gt;35,BY46+BX47-CG46,IF(A47&lt;'Données projet'!$A$114,$BV$205^A47,IF(A47='Données projet'!$A$114,'Données projet'!$B$114,BY46+BX47-CG46)))</f>
        <v>170.60000000000002</v>
      </c>
      <c r="BZ47" s="13">
        <f>BY47*VLOOKUP('Données projet'!$B$12,Paramètres!$A$1:$I$89,3,0)*VLOOKUP('Données projet'!$B$12,Paramètres!$A$1:$I$89,5,0)</f>
        <v>183.63384000000002</v>
      </c>
      <c r="CA47" s="13">
        <f t="shared" si="39"/>
        <v>46.129705781806493</v>
      </c>
      <c r="CB47" s="20">
        <f t="shared" si="10"/>
        <v>400.17150890331294</v>
      </c>
      <c r="CC47" s="59">
        <f t="shared" si="11"/>
        <v>693.50484223664625</v>
      </c>
      <c r="CD47" s="59">
        <f ca="1">AVERAGE(OFFSET($CC$3,0,0,'Données projet'!$E$12+1,1))-AVERAGE(OFFSET($H$3,0,0,'Données projet'!$E$12+1,1))</f>
        <v>354.06521046071936</v>
      </c>
      <c r="CE47" s="59">
        <f t="shared" si="40"/>
        <v>206.22956332364367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179</v>
      </c>
      <c r="L48" s="12">
        <f>VLOOKUP(A48,'Données projet'!$A$35:$I$55,9,0)</f>
        <v>8.4</v>
      </c>
      <c r="M48" s="12">
        <f t="array" ref="M48">INDEX(L:L,MIN(IF(ISNUMBER(L48:L244),ROW(L48:L244),"")))</f>
        <v>8.4</v>
      </c>
      <c r="N48" s="13">
        <f>IF('Données projet'!$A$36&gt;35,N47+M48-V47,IF(A48&lt;'Données projet'!$A$36,$K$205^A48,IF(A48='Données projet'!$A$36,'Données projet'!$B$36,N47+M48-V47)))</f>
        <v>179.00000000000003</v>
      </c>
      <c r="O48" s="13">
        <f>N48*VLOOKUP('Données projet'!$B$9,Paramètres!$A$1:$I$89,3,0)*VLOOKUP('Données projet'!$B$9,Paramètres!$A$1:$I$89,5,0)</f>
        <v>161.95920000000001</v>
      </c>
      <c r="P48" s="13">
        <f t="shared" si="33"/>
        <v>41.284104935125683</v>
      </c>
      <c r="Q48" s="20">
        <f t="shared" si="53"/>
        <v>353.98208942867723</v>
      </c>
      <c r="R48" s="59">
        <f t="shared" si="0"/>
        <v>647.31542276201048</v>
      </c>
      <c r="S48" s="59">
        <f ca="1">AVERAGE(OFFSET($R$3,0,0,'Données projet'!$E$9+1,1))-AVERAGE(OFFSET($H$3,0,0,'Données projet'!$E$9+1,1))</f>
        <v>280.79223530986889</v>
      </c>
      <c r="T48" s="59">
        <f t="shared" si="34"/>
        <v>170.29932835468685</v>
      </c>
      <c r="U48" s="15">
        <f>IF(ISNA(VLOOKUP(A48,'Données projet'!$A$35:$I$55,3,0)),0,VLOOKUP(A48,'Données projet'!$A$35:$I$55,3,0))</f>
        <v>3</v>
      </c>
      <c r="V48" s="15">
        <f>IF(ISNA(VLOOKUP(A48,'Données projet'!$A$35:$I$55,4,0)),0,VLOOKUP(A48,'Données projet'!$A$35:$I$55,4,0))</f>
        <v>42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179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179.00000000000003</v>
      </c>
      <c r="AJ48" s="13">
        <f>AI48*VLOOKUP('Données projet'!$B$10,Paramètres!$A$1:$I$89,3,0)*VLOOKUP('Données projet'!$B$10,Paramètres!$A$1:$I$89,5,0)</f>
        <v>181.50600000000003</v>
      </c>
      <c r="AK48" s="13">
        <f t="shared" si="35"/>
        <v>45.657080773122978</v>
      </c>
      <c r="AL48" s="20">
        <f t="shared" si="4"/>
        <v>395.64236567985586</v>
      </c>
      <c r="AM48" s="59">
        <f t="shared" si="5"/>
        <v>688.97569901318911</v>
      </c>
      <c r="AN48" s="59">
        <f ca="1">AVERAGE(OFFSET($AM$3,0,0,'Données projet'!$E$10+1,1))-AVERAGE(OFFSET($H$3,0,0,'Données projet'!$E$10+1,1))</f>
        <v>327.4505861600158</v>
      </c>
      <c r="AO48" s="59">
        <f t="shared" si="36"/>
        <v>193.18009444354595</v>
      </c>
      <c r="AP48" s="15">
        <f>IF(ISNA(VLOOKUP(A48,'Données projet'!$A$61:$I$81,3,0)),0,VLOOKUP(A48,'Données projet'!$A$61:$I$81,3,0))</f>
        <v>3</v>
      </c>
      <c r="AQ48" s="15">
        <f>IF(ISNA(VLOOKUP(A48,'Données projet'!$A$61:$I$81,4,0)),0,VLOOKUP(A48,'Données projet'!$A$61:$I$81,4,0))</f>
        <v>42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179</v>
      </c>
      <c r="BB48" s="12">
        <f>VLOOKUP(A48,'Données projet'!$A$87:$I$107,9,0)</f>
        <v>8.4</v>
      </c>
      <c r="BC48" s="12">
        <f t="array" ref="BC48">INDEX(BB:BB,MIN(IF(ISNUMBER(BB48:BB244),ROW(BB48:BB244),"")))</f>
        <v>8.4</v>
      </c>
      <c r="BD48" s="12">
        <f>IF('Données projet'!$A$88&gt;35,BD47+BC48-BL47,IF(A48&lt;'Données projet'!$A$88,$BA$205^A48,IF(A48='Données projet'!$A$88,'Données projet'!$B$88,BD47+BC48-BL47)))</f>
        <v>179.00000000000003</v>
      </c>
      <c r="BE48" s="13">
        <f>BD48*VLOOKUP('Données projet'!$B$11,Paramètres!$A$1:$I$89,3,0)*VLOOKUP('Données projet'!$B$11,Paramètres!$A$1:$I$89,5,0)</f>
        <v>187.09080000000003</v>
      </c>
      <c r="BF48" s="13">
        <f t="shared" si="37"/>
        <v>46.896193582104758</v>
      </c>
      <c r="BG48" s="20">
        <f t="shared" si="7"/>
        <v>407.52734715549917</v>
      </c>
      <c r="BH48" s="59">
        <f t="shared" si="8"/>
        <v>700.86068048883249</v>
      </c>
      <c r="BI48" s="59">
        <f ca="1">AVERAGE(OFFSET($BH$3,0,0,'Données projet'!$E$11+1,1))-AVERAGE(OFFSET($H$3,0,0,'Données projet'!$E$11+1,1))</f>
        <v>340.76197766679212</v>
      </c>
      <c r="BJ48" s="59">
        <f t="shared" si="38"/>
        <v>199.70700738826872</v>
      </c>
      <c r="BK48" s="15">
        <f>IF(ISNA(VLOOKUP(A48,'Données projet'!$A$87:$I$107,3,0)),0,VLOOKUP(A48,'Données projet'!$A$87:$I$107,3,0))</f>
        <v>3</v>
      </c>
      <c r="BL48" s="15">
        <f>IF(ISNA(VLOOKUP(A48,'Données projet'!$A$87:$I$107,4,0)),0,VLOOKUP(A48,'Données projet'!$A$87:$I$107,4,0))</f>
        <v>42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179</v>
      </c>
      <c r="BW48" s="12">
        <f>VLOOKUP(A48,'Données projet'!$A$113:$I$133,9,0)</f>
        <v>8.4</v>
      </c>
      <c r="BX48" s="12">
        <f t="array" ref="BX48">INDEX(BW:BW,MIN(IF(ISNUMBER(BW48:BW244),ROW(BW48:BW244),"")))</f>
        <v>8.4</v>
      </c>
      <c r="BY48" s="12">
        <f>IF('Données projet'!$A$114&gt;35,BY47+BX48-CG47,IF(A48&lt;'Données projet'!$A$114,$BV$205^A48,IF(A48='Données projet'!$A$114,'Données projet'!$B$114,BY47+BX48-CG47)))</f>
        <v>179.00000000000003</v>
      </c>
      <c r="BZ48" s="13">
        <f>BY48*VLOOKUP('Données projet'!$B$12,Paramètres!$A$1:$I$89,3,0)*VLOOKUP('Données projet'!$B$12,Paramètres!$A$1:$I$89,5,0)</f>
        <v>192.6756</v>
      </c>
      <c r="CA48" s="13">
        <f t="shared" si="39"/>
        <v>48.131007733172986</v>
      </c>
      <c r="CB48" s="20">
        <f t="shared" si="10"/>
        <v>419.40484180194295</v>
      </c>
      <c r="CC48" s="59">
        <f t="shared" si="11"/>
        <v>712.73817513527626</v>
      </c>
      <c r="CD48" s="59">
        <f ca="1">AVERAGE(OFFSET($CC$3,0,0,'Données projet'!$E$12+1,1))-AVERAGE(OFFSET($H$3,0,0,'Données projet'!$E$12+1,1))</f>
        <v>354.06521046071936</v>
      </c>
      <c r="CE48" s="59">
        <f t="shared" si="40"/>
        <v>206.22956332364367</v>
      </c>
      <c r="CF48" s="15">
        <f>IF(ISNA(VLOOKUP(A48,'Données projet'!$A$113:$I$133,3,0)),0,VLOOKUP(A48,'Données projet'!$A$113:$I$133,3,0))</f>
        <v>3</v>
      </c>
      <c r="CG48" s="15">
        <f>IF(ISNA(VLOOKUP(A48,'Données projet'!$A$113:$I$133,4,0)),0,VLOOKUP(A48,'Données projet'!$A$113:$I$133,4,0))</f>
        <v>42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145.20000000000002</v>
      </c>
      <c r="O49" s="13">
        <f>N49*VLOOKUP('Données projet'!$B$9,Paramètres!$A$1:$I$89,3,0)*VLOOKUP('Données projet'!$B$9,Paramètres!$A$1:$I$89,5,0)</f>
        <v>131.37696000000003</v>
      </c>
      <c r="P49" s="13">
        <f t="shared" si="33"/>
        <v>34.314338988223334</v>
      </c>
      <c r="Q49" s="20">
        <f t="shared" si="53"/>
        <v>288.57901240448905</v>
      </c>
      <c r="R49" s="59">
        <f t="shared" si="0"/>
        <v>581.91234573782231</v>
      </c>
      <c r="S49" s="59">
        <f ca="1">AVERAGE(OFFSET($R$3,0,0,'Données projet'!$E$9+1,1))-AVERAGE(OFFSET($H$3,0,0,'Données projet'!$E$9+1,1))</f>
        <v>280.79223530986889</v>
      </c>
      <c r="T49" s="59">
        <f t="shared" si="34"/>
        <v>170.29932835468685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145.20000000000002</v>
      </c>
      <c r="AJ49" s="13">
        <f>AI49*VLOOKUP('Données projet'!$B$10,Paramètres!$A$1:$I$89,3,0)*VLOOKUP('Données projet'!$B$10,Paramètres!$A$1:$I$89,5,0)</f>
        <v>147.23280000000003</v>
      </c>
      <c r="AK49" s="13">
        <f t="shared" si="35"/>
        <v>37.949049623906205</v>
      </c>
      <c r="AL49" s="20">
        <f t="shared" si="4"/>
        <v>322.52505476163668</v>
      </c>
      <c r="AM49" s="59">
        <f t="shared" si="5"/>
        <v>615.85838809497</v>
      </c>
      <c r="AN49" s="59">
        <f ca="1">AVERAGE(OFFSET($AM$3,0,0,'Données projet'!$E$10+1,1))-AVERAGE(OFFSET($H$3,0,0,'Données projet'!$E$10+1,1))</f>
        <v>327.4505861600158</v>
      </c>
      <c r="AO49" s="59">
        <f t="shared" si="36"/>
        <v>193.18009444354595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8.1999999999999993</v>
      </c>
      <c r="BD49" s="12">
        <f>IF('Données projet'!$A$88&gt;35,BD48+BC49-BL48,IF(A49&lt;'Données projet'!$A$88,$BA$205^A49,IF(A49='Données projet'!$A$88,'Données projet'!$B$88,BD48+BC49-BL48)))</f>
        <v>145.20000000000002</v>
      </c>
      <c r="BE49" s="13">
        <f>BD49*VLOOKUP('Données projet'!$B$11,Paramètres!$A$1:$I$89,3,0)*VLOOKUP('Données projet'!$B$11,Paramètres!$A$1:$I$89,5,0)</f>
        <v>151.76304000000005</v>
      </c>
      <c r="BF49" s="13">
        <f t="shared" si="37"/>
        <v>38.978969905304233</v>
      </c>
      <c r="BG49" s="20">
        <f t="shared" si="7"/>
        <v>332.20900058507158</v>
      </c>
      <c r="BH49" s="59">
        <f t="shared" si="8"/>
        <v>625.54233391840489</v>
      </c>
      <c r="BI49" s="59">
        <f ca="1">AVERAGE(OFFSET($BH$3,0,0,'Données projet'!$E$11+1,1))-AVERAGE(OFFSET($H$3,0,0,'Données projet'!$E$11+1,1))</f>
        <v>340.76197766679212</v>
      </c>
      <c r="BJ49" s="59">
        <f t="shared" si="38"/>
        <v>199.70700738826872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8.1999999999999993</v>
      </c>
      <c r="BY49" s="12">
        <f>IF('Données projet'!$A$114&gt;35,BY48+BX49-CG48,IF(A49&lt;'Données projet'!$A$114,$BV$205^A49,IF(A49='Données projet'!$A$114,'Données projet'!$B$114,BY48+BX49-CG48)))</f>
        <v>145.20000000000002</v>
      </c>
      <c r="BZ49" s="13">
        <f>BY49*VLOOKUP('Données projet'!$B$12,Paramètres!$A$1:$I$89,3,0)*VLOOKUP('Données projet'!$B$12,Paramètres!$A$1:$I$89,5,0)</f>
        <v>156.29328000000001</v>
      </c>
      <c r="CA49" s="13">
        <f t="shared" si="39"/>
        <v>40.005317247308959</v>
      </c>
      <c r="CB49" s="20">
        <f t="shared" si="10"/>
        <v>341.8867235390631</v>
      </c>
      <c r="CC49" s="59">
        <f t="shared" si="11"/>
        <v>635.22005687239641</v>
      </c>
      <c r="CD49" s="59">
        <f ca="1">AVERAGE(OFFSET($CC$3,0,0,'Données projet'!$E$12+1,1))-AVERAGE(OFFSET($H$3,0,0,'Données projet'!$E$12+1,1))</f>
        <v>354.06521046071936</v>
      </c>
      <c r="CE49" s="59">
        <f t="shared" si="40"/>
        <v>206.22956332364367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153.4</v>
      </c>
      <c r="O50" s="13">
        <f>N50*VLOOKUP('Données projet'!$B$9,Paramètres!$A$1:$I$89,3,0)*VLOOKUP('Données projet'!$B$9,Paramètres!$A$1:$I$89,5,0)</f>
        <v>138.79632000000001</v>
      </c>
      <c r="P50" s="13">
        <f t="shared" si="33"/>
        <v>36.021120886354588</v>
      </c>
      <c r="Q50" s="20">
        <f t="shared" si="53"/>
        <v>304.47370954373423</v>
      </c>
      <c r="R50" s="59">
        <f t="shared" si="0"/>
        <v>597.80704287706749</v>
      </c>
      <c r="S50" s="59">
        <f ca="1">AVERAGE(OFFSET($R$3,0,0,'Données projet'!$E$9+1,1))-AVERAGE(OFFSET($H$3,0,0,'Données projet'!$E$9+1,1))</f>
        <v>280.79223530986889</v>
      </c>
      <c r="T50" s="59">
        <f t="shared" si="34"/>
        <v>170.29932835468685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</v>
      </c>
      <c r="AJ50" s="13">
        <f>AI50*VLOOKUP('Données projet'!$B$10,Paramètres!$A$1:$I$89,3,0)*VLOOKUP('Données projet'!$B$10,Paramètres!$A$1:$I$89,5,0)</f>
        <v>155.54760000000002</v>
      </c>
      <c r="AK50" s="13">
        <f t="shared" si="35"/>
        <v>39.836620617816237</v>
      </c>
      <c r="AL50" s="20">
        <f t="shared" si="4"/>
        <v>340.29418424269664</v>
      </c>
      <c r="AM50" s="59">
        <f t="shared" si="5"/>
        <v>633.62751757602996</v>
      </c>
      <c r="AN50" s="59">
        <f ca="1">AVERAGE(OFFSET($AM$3,0,0,'Données projet'!$E$10+1,1))-AVERAGE(OFFSET($H$3,0,0,'Données projet'!$E$10+1,1))</f>
        <v>327.4505861600158</v>
      </c>
      <c r="AO50" s="59">
        <f t="shared" si="36"/>
        <v>193.18009444354595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8.1999999999999993</v>
      </c>
      <c r="BD50" s="12">
        <f>IF('Données projet'!$A$88&gt;35,BD49+BC50-BL49,IF(A50&lt;'Données projet'!$A$88,$BA$205^A50,IF(A50='Données projet'!$A$88,'Données projet'!$B$88,BD49+BC50-BL49)))</f>
        <v>153.4</v>
      </c>
      <c r="BE50" s="13">
        <f>BD50*VLOOKUP('Données projet'!$B$11,Paramètres!$A$1:$I$89,3,0)*VLOOKUP('Données projet'!$B$11,Paramètres!$A$1:$I$89,5,0)</f>
        <v>160.33368000000002</v>
      </c>
      <c r="BF50" s="13">
        <f t="shared" si="37"/>
        <v>40.917768734126462</v>
      </c>
      <c r="BG50" s="20">
        <f t="shared" si="7"/>
        <v>350.51293987860362</v>
      </c>
      <c r="BH50" s="59">
        <f t="shared" si="8"/>
        <v>643.84627321193693</v>
      </c>
      <c r="BI50" s="59">
        <f ca="1">AVERAGE(OFFSET($BH$3,0,0,'Données projet'!$E$11+1,1))-AVERAGE(OFFSET($H$3,0,0,'Données projet'!$E$11+1,1))</f>
        <v>340.76197766679212</v>
      </c>
      <c r="BJ50" s="59">
        <f t="shared" si="38"/>
        <v>199.70700738826872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8.1999999999999993</v>
      </c>
      <c r="BY50" s="12">
        <f>IF('Données projet'!$A$114&gt;35,BY49+BX50-CG49,IF(A50&lt;'Données projet'!$A$114,$BV$205^A50,IF(A50='Données projet'!$A$114,'Données projet'!$B$114,BY49+BX50-CG49)))</f>
        <v>153.4</v>
      </c>
      <c r="BZ50" s="13">
        <f>BY50*VLOOKUP('Données projet'!$B$12,Paramètres!$A$1:$I$89,3,0)*VLOOKUP('Données projet'!$B$12,Paramètres!$A$1:$I$89,5,0)</f>
        <v>165.11975999999999</v>
      </c>
      <c r="CA50" s="13">
        <f t="shared" si="39"/>
        <v>41.995166194425131</v>
      </c>
      <c r="CB50" s="20">
        <f t="shared" si="10"/>
        <v>360.72516312195711</v>
      </c>
      <c r="CC50" s="59">
        <f t="shared" si="11"/>
        <v>654.05849645529042</v>
      </c>
      <c r="CD50" s="59">
        <f ca="1">AVERAGE(OFFSET($CC$3,0,0,'Données projet'!$E$12+1,1))-AVERAGE(OFFSET($H$3,0,0,'Données projet'!$E$12+1,1))</f>
        <v>354.06521046071936</v>
      </c>
      <c r="CE50" s="59">
        <f t="shared" si="40"/>
        <v>206.22956332364367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161.6</v>
      </c>
      <c r="O51" s="13">
        <f>N51*VLOOKUP('Données projet'!$B$9,Paramètres!$A$1:$I$89,3,0)*VLOOKUP('Données projet'!$B$9,Paramètres!$A$1:$I$89,5,0)</f>
        <v>146.21567999999999</v>
      </c>
      <c r="P51" s="13">
        <f t="shared" si="33"/>
        <v>37.717310552893402</v>
      </c>
      <c r="Q51" s="20">
        <f t="shared" si="53"/>
        <v>320.34995854628932</v>
      </c>
      <c r="R51" s="59">
        <f t="shared" si="0"/>
        <v>613.68329187962263</v>
      </c>
      <c r="S51" s="59">
        <f ca="1">AVERAGE(OFFSET($R$3,0,0,'Données projet'!$E$9+1,1))-AVERAGE(OFFSET($H$3,0,0,'Données projet'!$E$9+1,1))</f>
        <v>280.79223530986889</v>
      </c>
      <c r="T51" s="59">
        <f t="shared" si="34"/>
        <v>170.29932835468685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</v>
      </c>
      <c r="AJ51" s="13">
        <f>AI51*VLOOKUP('Données projet'!$B$10,Paramètres!$A$1:$I$89,3,0)*VLOOKUP('Données projet'!$B$10,Paramètres!$A$1:$I$89,5,0)</f>
        <v>163.86240000000001</v>
      </c>
      <c r="AK51" s="13">
        <f t="shared" si="35"/>
        <v>41.712477409029084</v>
      </c>
      <c r="AL51" s="20">
        <f t="shared" si="4"/>
        <v>358.0429114873923</v>
      </c>
      <c r="AM51" s="59">
        <f t="shared" si="5"/>
        <v>651.37624482072556</v>
      </c>
      <c r="AN51" s="59">
        <f ca="1">AVERAGE(OFFSET($AM$3,0,0,'Données projet'!$E$10+1,1))-AVERAGE(OFFSET($H$3,0,0,'Données projet'!$E$10+1,1))</f>
        <v>327.4505861600158</v>
      </c>
      <c r="AO51" s="59">
        <f t="shared" si="36"/>
        <v>193.18009444354595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8.1999999999999993</v>
      </c>
      <c r="BD51" s="12">
        <f>IF('Données projet'!$A$88&gt;35,BD50+BC51-BL50,IF(A51&lt;'Données projet'!$A$88,$BA$205^A51,IF(A51='Données projet'!$A$88,'Données projet'!$B$88,BD50+BC51-BL50)))</f>
        <v>161.6</v>
      </c>
      <c r="BE51" s="13">
        <f>BD51*VLOOKUP('Données projet'!$B$11,Paramètres!$A$1:$I$89,3,0)*VLOOKUP('Données projet'!$B$11,Paramètres!$A$1:$I$89,5,0)</f>
        <v>168.90432000000001</v>
      </c>
      <c r="BF51" s="13">
        <f t="shared" si="37"/>
        <v>42.844535442014788</v>
      </c>
      <c r="BG51" s="20">
        <f t="shared" si="7"/>
        <v>368.79592322817575</v>
      </c>
      <c r="BH51" s="59">
        <f t="shared" si="8"/>
        <v>662.12925656150901</v>
      </c>
      <c r="BI51" s="59">
        <f ca="1">AVERAGE(OFFSET($BH$3,0,0,'Données projet'!$E$11+1,1))-AVERAGE(OFFSET($H$3,0,0,'Données projet'!$E$11+1,1))</f>
        <v>340.76197766679212</v>
      </c>
      <c r="BJ51" s="59">
        <f t="shared" si="38"/>
        <v>199.70700738826872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8.1999999999999993</v>
      </c>
      <c r="BY51" s="12">
        <f>IF('Données projet'!$A$114&gt;35,BY50+BX51-CG50,IF(A51&lt;'Données projet'!$A$114,$BV$205^A51,IF(A51='Données projet'!$A$114,'Données projet'!$B$114,BY50+BX51-CG50)))</f>
        <v>161.6</v>
      </c>
      <c r="BZ51" s="13">
        <f>BY51*VLOOKUP('Données projet'!$B$12,Paramètres!$A$1:$I$89,3,0)*VLOOKUP('Données projet'!$B$12,Paramètres!$A$1:$I$89,5,0)</f>
        <v>173.94623999999999</v>
      </c>
      <c r="CA51" s="13">
        <f t="shared" si="39"/>
        <v>43.972666205274265</v>
      </c>
      <c r="CB51" s="20">
        <f t="shared" si="10"/>
        <v>379.542094974186</v>
      </c>
      <c r="CC51" s="59">
        <f t="shared" si="11"/>
        <v>672.87542830751931</v>
      </c>
      <c r="CD51" s="59">
        <f ca="1">AVERAGE(OFFSET($CC$3,0,0,'Données projet'!$E$12+1,1))-AVERAGE(OFFSET($H$3,0,0,'Données projet'!$E$12+1,1))</f>
        <v>354.06521046071936</v>
      </c>
      <c r="CE51" s="59">
        <f t="shared" si="40"/>
        <v>206.22956332364367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169.79999999999998</v>
      </c>
      <c r="O52" s="13">
        <f>N52*VLOOKUP('Données projet'!$B$9,Paramètres!$A$1:$I$89,3,0)*VLOOKUP('Données projet'!$B$9,Paramètres!$A$1:$I$89,5,0)</f>
        <v>153.63503999999998</v>
      </c>
      <c r="P52" s="13">
        <f t="shared" si="33"/>
        <v>39.403506785222667</v>
      </c>
      <c r="Q52" s="20">
        <f t="shared" si="53"/>
        <v>336.20880231759611</v>
      </c>
      <c r="R52" s="59">
        <f t="shared" si="0"/>
        <v>629.54213565092937</v>
      </c>
      <c r="S52" s="59">
        <f ca="1">AVERAGE(OFFSET($R$3,0,0,'Données projet'!$E$9+1,1))-AVERAGE(OFFSET($H$3,0,0,'Données projet'!$E$9+1,1))</f>
        <v>280.79223530986889</v>
      </c>
      <c r="T52" s="59">
        <f t="shared" si="34"/>
        <v>170.29932835468685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169.79999999999998</v>
      </c>
      <c r="AJ52" s="13">
        <f>AI52*VLOOKUP('Données projet'!$B$10,Paramètres!$A$1:$I$89,3,0)*VLOOKUP('Données projet'!$B$10,Paramètres!$A$1:$I$89,5,0)</f>
        <v>172.1772</v>
      </c>
      <c r="AK52" s="13">
        <f t="shared" si="35"/>
        <v>43.577282221917017</v>
      </c>
      <c r="AL52" s="20">
        <f t="shared" si="4"/>
        <v>375.77238986983883</v>
      </c>
      <c r="AM52" s="59">
        <f t="shared" si="5"/>
        <v>669.10572320317215</v>
      </c>
      <c r="AN52" s="59">
        <f ca="1">AVERAGE(OFFSET($AM$3,0,0,'Données projet'!$E$10+1,1))-AVERAGE(OFFSET($H$3,0,0,'Données projet'!$E$10+1,1))</f>
        <v>327.4505861600158</v>
      </c>
      <c r="AO52" s="59">
        <f t="shared" si="36"/>
        <v>193.18009444354595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8.1999999999999993</v>
      </c>
      <c r="BD52" s="12">
        <f>IF('Données projet'!$A$88&gt;35,BD51+BC52-BL51,IF(A52&lt;'Données projet'!$A$88,$BA$205^A52,IF(A52='Données projet'!$A$88,'Données projet'!$B$88,BD51+BC52-BL51)))</f>
        <v>169.79999999999998</v>
      </c>
      <c r="BE52" s="13">
        <f>BD52*VLOOKUP('Données projet'!$B$11,Paramètres!$A$1:$I$89,3,0)*VLOOKUP('Données projet'!$B$11,Paramètres!$A$1:$I$89,5,0)</f>
        <v>177.47495999999998</v>
      </c>
      <c r="BF52" s="13">
        <f t="shared" si="37"/>
        <v>44.759950225815722</v>
      </c>
      <c r="BG52" s="20">
        <f t="shared" si="7"/>
        <v>387.05913530996236</v>
      </c>
      <c r="BH52" s="59">
        <f t="shared" si="8"/>
        <v>680.39246864329562</v>
      </c>
      <c r="BI52" s="59">
        <f ca="1">AVERAGE(OFFSET($BH$3,0,0,'Données projet'!$E$11+1,1))-AVERAGE(OFFSET($H$3,0,0,'Données projet'!$E$11+1,1))</f>
        <v>340.76197766679212</v>
      </c>
      <c r="BJ52" s="59">
        <f t="shared" si="38"/>
        <v>199.70700738826872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8.1999999999999993</v>
      </c>
      <c r="BY52" s="12">
        <f>IF('Données projet'!$A$114&gt;35,BY51+BX52-CG51,IF(A52&lt;'Données projet'!$A$114,$BV$205^A52,IF(A52='Données projet'!$A$114,'Données projet'!$B$114,BY51+BX52-CG51)))</f>
        <v>169.79999999999998</v>
      </c>
      <c r="BZ52" s="13">
        <f>BY52*VLOOKUP('Données projet'!$B$12,Paramètres!$A$1:$I$89,3,0)*VLOOKUP('Données projet'!$B$12,Paramètres!$A$1:$I$89,5,0)</f>
        <v>182.77271999999996</v>
      </c>
      <c r="CA52" s="13">
        <f t="shared" si="39"/>
        <v>45.938515386827795</v>
      </c>
      <c r="CB52" s="20">
        <f t="shared" si="10"/>
        <v>398.33873496539167</v>
      </c>
      <c r="CC52" s="59">
        <f t="shared" si="11"/>
        <v>691.67206829872498</v>
      </c>
      <c r="CD52" s="59">
        <f ca="1">AVERAGE(OFFSET($CC$3,0,0,'Données projet'!$E$12+1,1))-AVERAGE(OFFSET($H$3,0,0,'Données projet'!$E$12+1,1))</f>
        <v>354.06521046071936</v>
      </c>
      <c r="CE52" s="59">
        <f t="shared" si="40"/>
        <v>206.22956332364367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178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177.99999999999997</v>
      </c>
      <c r="O53" s="13">
        <f>N53*VLOOKUP('Données projet'!$B$9,Paramètres!$A$1:$I$89,3,0)*VLOOKUP('Données projet'!$B$9,Paramètres!$A$1:$I$89,5,0)</f>
        <v>161.05439999999999</v>
      </c>
      <c r="P53" s="13">
        <f t="shared" si="33"/>
        <v>41.080247278685491</v>
      </c>
      <c r="Q53" s="20">
        <f t="shared" si="53"/>
        <v>352.05117734371055</v>
      </c>
      <c r="R53" s="59">
        <f t="shared" si="0"/>
        <v>645.38451067704386</v>
      </c>
      <c r="S53" s="59">
        <f ca="1">AVERAGE(OFFSET($R$3,0,0,'Données projet'!$E$9+1,1))-AVERAGE(OFFSET($H$3,0,0,'Données projet'!$E$9+1,1))</f>
        <v>280.79223530986889</v>
      </c>
      <c r="T53" s="59">
        <f t="shared" si="34"/>
        <v>170.29932835468685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177.99999999999997</v>
      </c>
      <c r="AJ53" s="13">
        <f>AI53*VLOOKUP('Données projet'!$B$10,Paramètres!$A$1:$I$89,3,0)*VLOOKUP('Données projet'!$B$10,Paramètres!$A$1:$I$89,5,0)</f>
        <v>180.49199999999999</v>
      </c>
      <c r="AK53" s="13">
        <f t="shared" si="35"/>
        <v>45.431629706642617</v>
      </c>
      <c r="AL53" s="20">
        <f t="shared" si="4"/>
        <v>393.48365507240254</v>
      </c>
      <c r="AM53" s="59">
        <f t="shared" si="5"/>
        <v>686.81698840573586</v>
      </c>
      <c r="AN53" s="59">
        <f ca="1">AVERAGE(OFFSET($AM$3,0,0,'Données projet'!$E$10+1,1))-AVERAGE(OFFSET($H$3,0,0,'Données projet'!$E$10+1,1))</f>
        <v>327.4505861600158</v>
      </c>
      <c r="AO53" s="59">
        <f t="shared" si="36"/>
        <v>193.18009444354595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178</v>
      </c>
      <c r="BB53" s="12">
        <f>VLOOKUP(A53,'Données projet'!$A$87:$I$107,9,0)</f>
        <v>8.1999999999999993</v>
      </c>
      <c r="BC53" s="12">
        <f t="array" ref="BC53">INDEX(BB:BB,MIN(IF(ISNUMBER(BB53:BB249),ROW(BB53:BB249),"")))</f>
        <v>8.1999999999999993</v>
      </c>
      <c r="BD53" s="12">
        <f>IF('Données projet'!$A$88&gt;35,BD52+BC53-BL52,IF(A53&lt;'Données projet'!$A$88,$BA$205^A53,IF(A53='Données projet'!$A$88,'Données projet'!$B$88,BD52+BC53-BL52)))</f>
        <v>177.99999999999997</v>
      </c>
      <c r="BE53" s="13">
        <f>BD53*VLOOKUP('Données projet'!$B$11,Paramètres!$A$1:$I$89,3,0)*VLOOKUP('Données projet'!$B$11,Paramètres!$A$1:$I$89,5,0)</f>
        <v>186.04559999999998</v>
      </c>
      <c r="BF53" s="13">
        <f t="shared" si="37"/>
        <v>46.664623874231999</v>
      </c>
      <c r="BG53" s="20">
        <f t="shared" si="7"/>
        <v>405.30363991428732</v>
      </c>
      <c r="BH53" s="59">
        <f t="shared" si="8"/>
        <v>698.63697324762063</v>
      </c>
      <c r="BI53" s="59">
        <f ca="1">AVERAGE(OFFSET($BH$3,0,0,'Données projet'!$E$11+1,1))-AVERAGE(OFFSET($H$3,0,0,'Données projet'!$E$11+1,1))</f>
        <v>340.76197766679212</v>
      </c>
      <c r="BJ53" s="59">
        <f t="shared" si="38"/>
        <v>199.70700738826872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178</v>
      </c>
      <c r="BW53" s="12">
        <f>VLOOKUP(A53,'Données projet'!$A$113:$I$133,9,0)</f>
        <v>8.1999999999999993</v>
      </c>
      <c r="BX53" s="12">
        <f t="array" ref="BX53">INDEX(BW:BW,MIN(IF(ISNUMBER(BW53:BW249),ROW(BW53:BW249),"")))</f>
        <v>8.1999999999999993</v>
      </c>
      <c r="BY53" s="12">
        <f>IF('Données projet'!$A$114&gt;35,BY52+BX53-CG52,IF(A53&lt;'Données projet'!$A$114,$BV$205^A53,IF(A53='Données projet'!$A$114,'Données projet'!$B$114,BY52+BX53-CG52)))</f>
        <v>177.99999999999997</v>
      </c>
      <c r="BZ53" s="13">
        <f>BY53*VLOOKUP('Données projet'!$B$12,Paramètres!$A$1:$I$89,3,0)*VLOOKUP('Données projet'!$B$12,Paramètres!$A$1:$I$89,5,0)</f>
        <v>191.59919999999994</v>
      </c>
      <c r="CA53" s="13">
        <f t="shared" si="39"/>
        <v>47.893340610341816</v>
      </c>
      <c r="CB53" s="20">
        <f t="shared" si="10"/>
        <v>417.11617489634523</v>
      </c>
      <c r="CC53" s="59">
        <f t="shared" si="11"/>
        <v>710.44950822967849</v>
      </c>
      <c r="CD53" s="59">
        <f ca="1">AVERAGE(OFFSET($CC$3,0,0,'Données projet'!$E$12+1,1))-AVERAGE(OFFSET($H$3,0,0,'Données projet'!$E$12+1,1))</f>
        <v>354.06521046071936</v>
      </c>
      <c r="CE53" s="59">
        <f t="shared" si="40"/>
        <v>206.22956332364367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</v>
      </c>
      <c r="N54" s="13">
        <f>IF('Données projet'!$A$36&gt;35,N53+M54-V53,IF(A54&lt;'Données projet'!$A$36,$K$205^A54,IF(A54='Données projet'!$A$36,'Données projet'!$B$36,N53+M54-V53)))</f>
        <v>185.99999999999997</v>
      </c>
      <c r="O54" s="13">
        <f>N54*VLOOKUP('Données projet'!$B$9,Paramètres!$A$1:$I$89,3,0)*VLOOKUP('Données projet'!$B$9,Paramètres!$A$1:$I$89,5,0)</f>
        <v>168.29279999999997</v>
      </c>
      <c r="P54" s="13">
        <f t="shared" si="33"/>
        <v>42.707443263135104</v>
      </c>
      <c r="Q54" s="20">
        <f t="shared" si="53"/>
        <v>367.49209034996028</v>
      </c>
      <c r="R54" s="59">
        <f t="shared" si="0"/>
        <v>660.82542368329359</v>
      </c>
      <c r="S54" s="59">
        <f ca="1">AVERAGE(OFFSET($R$3,0,0,'Données projet'!$E$9+1,1))-AVERAGE(OFFSET($H$3,0,0,'Données projet'!$E$9+1,1))</f>
        <v>280.79223530986889</v>
      </c>
      <c r="T54" s="59">
        <f t="shared" si="34"/>
        <v>170.29932835468685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185.99999999999997</v>
      </c>
      <c r="AJ54" s="13">
        <f>AI54*VLOOKUP('Données projet'!$B$10,Paramètres!$A$1:$I$89,3,0)*VLOOKUP('Données projet'!$B$10,Paramètres!$A$1:$I$89,5,0)</f>
        <v>188.60399999999998</v>
      </c>
      <c r="AK54" s="13">
        <f t="shared" si="35"/>
        <v>47.231184731814224</v>
      </c>
      <c r="AL54" s="20">
        <f t="shared" si="4"/>
        <v>410.74628007457636</v>
      </c>
      <c r="AM54" s="59">
        <f t="shared" si="5"/>
        <v>704.07961340790962</v>
      </c>
      <c r="AN54" s="59">
        <f ca="1">AVERAGE(OFFSET($AM$3,0,0,'Données projet'!$E$10+1,1))-AVERAGE(OFFSET($H$3,0,0,'Données projet'!$E$10+1,1))</f>
        <v>327.4505861600158</v>
      </c>
      <c r="AO54" s="59">
        <f t="shared" si="36"/>
        <v>193.18009444354595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</v>
      </c>
      <c r="BD54" s="12">
        <f>IF('Données projet'!$A$88&gt;35,BD53+BC54-BL53,IF(A54&lt;'Données projet'!$A$88,$BA$205^A54,IF(A54='Données projet'!$A$88,'Données projet'!$B$88,BD53+BC54-BL53)))</f>
        <v>185.99999999999997</v>
      </c>
      <c r="BE54" s="13">
        <f>BD54*VLOOKUP('Données projet'!$B$11,Paramètres!$A$1:$I$89,3,0)*VLOOKUP('Données projet'!$B$11,Paramètres!$A$1:$I$89,5,0)</f>
        <v>194.40719999999999</v>
      </c>
      <c r="BF54" s="13">
        <f t="shared" si="37"/>
        <v>48.513018020179601</v>
      </c>
      <c r="BG54" s="20">
        <f t="shared" si="7"/>
        <v>423.08604638514612</v>
      </c>
      <c r="BH54" s="59">
        <f t="shared" si="8"/>
        <v>716.41937971847938</v>
      </c>
      <c r="BI54" s="59">
        <f ca="1">AVERAGE(OFFSET($BH$3,0,0,'Données projet'!$E$11+1,1))-AVERAGE(OFFSET($H$3,0,0,'Données projet'!$E$11+1,1))</f>
        <v>340.76197766679212</v>
      </c>
      <c r="BJ54" s="59">
        <f t="shared" si="38"/>
        <v>199.70700738826872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</v>
      </c>
      <c r="BY54" s="12">
        <f>IF('Données projet'!$A$114&gt;35,BY53+BX54-CG53,IF(A54&lt;'Données projet'!$A$114,$BV$205^A54,IF(A54='Données projet'!$A$114,'Données projet'!$B$114,BY53+BX54-CG53)))</f>
        <v>185.99999999999997</v>
      </c>
      <c r="BZ54" s="13">
        <f>BY54*VLOOKUP('Données projet'!$B$12,Paramètres!$A$1:$I$89,3,0)*VLOOKUP('Données projet'!$B$12,Paramètres!$A$1:$I$89,5,0)</f>
        <v>200.21039999999996</v>
      </c>
      <c r="CA54" s="13">
        <f t="shared" si="39"/>
        <v>49.790404447235048</v>
      </c>
      <c r="CB54" s="20">
        <f t="shared" si="10"/>
        <v>435.41806774560092</v>
      </c>
      <c r="CC54" s="59">
        <f t="shared" si="11"/>
        <v>728.75140107893424</v>
      </c>
      <c r="CD54" s="59">
        <f ca="1">AVERAGE(OFFSET($CC$3,0,0,'Données projet'!$E$12+1,1))-AVERAGE(OFFSET($H$3,0,0,'Données projet'!$E$12+1,1))</f>
        <v>354.06521046071936</v>
      </c>
      <c r="CE54" s="59">
        <f t="shared" si="40"/>
        <v>206.22956332364367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</v>
      </c>
      <c r="N55" s="13">
        <f>IF('Données projet'!$A$36&gt;35,N54+M55-V54,IF(A55&lt;'Données projet'!$A$36,$K$205^A55,IF(A55='Données projet'!$A$36,'Données projet'!$B$36,N54+M55-V54)))</f>
        <v>193.99999999999997</v>
      </c>
      <c r="O55" s="13">
        <f>N55*VLOOKUP('Données projet'!$B$9,Paramètres!$A$1:$I$89,3,0)*VLOOKUP('Données projet'!$B$9,Paramètres!$A$1:$I$89,5,0)</f>
        <v>175.53119999999998</v>
      </c>
      <c r="P55" s="13">
        <f t="shared" si="33"/>
        <v>44.326510481422488</v>
      </c>
      <c r="Q55" s="20">
        <f t="shared" si="53"/>
        <v>382.9188457551441</v>
      </c>
      <c r="R55" s="59">
        <f t="shared" si="0"/>
        <v>676.25217908847742</v>
      </c>
      <c r="S55" s="59">
        <f ca="1">AVERAGE(OFFSET($R$3,0,0,'Données projet'!$E$9+1,1))-AVERAGE(OFFSET($H$3,0,0,'Données projet'!$E$9+1,1))</f>
        <v>280.79223530986889</v>
      </c>
      <c r="T55" s="59">
        <f t="shared" si="34"/>
        <v>170.29932835468685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193.99999999999997</v>
      </c>
      <c r="AJ55" s="13">
        <f>AI55*VLOOKUP('Données projet'!$B$10,Paramètres!$A$1:$I$89,3,0)*VLOOKUP('Données projet'!$B$10,Paramètres!$A$1:$I$89,5,0)</f>
        <v>196.71599999999998</v>
      </c>
      <c r="AK55" s="13">
        <f t="shared" si="35"/>
        <v>49.021749959730009</v>
      </c>
      <c r="AL55" s="20">
        <f t="shared" si="4"/>
        <v>427.99324784652975</v>
      </c>
      <c r="AM55" s="59">
        <f t="shared" si="5"/>
        <v>721.32658117986307</v>
      </c>
      <c r="AN55" s="59">
        <f ca="1">AVERAGE(OFFSET($AM$3,0,0,'Données projet'!$E$10+1,1))-AVERAGE(OFFSET($H$3,0,0,'Données projet'!$E$10+1,1))</f>
        <v>327.4505861600158</v>
      </c>
      <c r="AO55" s="59">
        <f t="shared" si="36"/>
        <v>193.18009444354595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</v>
      </c>
      <c r="BD55" s="12">
        <f>IF('Données projet'!$A$88&gt;35,BD54+BC55-BL54,IF(A55&lt;'Données projet'!$A$88,$BA$205^A55,IF(A55='Données projet'!$A$88,'Données projet'!$B$88,BD54+BC55-BL54)))</f>
        <v>193.99999999999997</v>
      </c>
      <c r="BE55" s="13">
        <f>BD55*VLOOKUP('Données projet'!$B$11,Paramètres!$A$1:$I$89,3,0)*VLOOKUP('Données projet'!$B$11,Paramètres!$A$1:$I$89,5,0)</f>
        <v>202.7688</v>
      </c>
      <c r="BF55" s="13">
        <f t="shared" si="37"/>
        <v>50.352178389783333</v>
      </c>
      <c r="BG55" s="20">
        <f t="shared" si="7"/>
        <v>440.85237069553926</v>
      </c>
      <c r="BH55" s="59">
        <f t="shared" si="8"/>
        <v>734.18570402887258</v>
      </c>
      <c r="BI55" s="59">
        <f ca="1">AVERAGE(OFFSET($BH$3,0,0,'Données projet'!$E$11+1,1))-AVERAGE(OFFSET($H$3,0,0,'Données projet'!$E$11+1,1))</f>
        <v>340.76197766679212</v>
      </c>
      <c r="BJ55" s="59">
        <f t="shared" si="38"/>
        <v>199.70700738826872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</v>
      </c>
      <c r="BY55" s="12">
        <f>IF('Données projet'!$A$114&gt;35,BY54+BX55-CG54,IF(A55&lt;'Données projet'!$A$114,$BV$205^A55,IF(A55='Données projet'!$A$114,'Données projet'!$B$114,BY54+BX55-CG54)))</f>
        <v>193.99999999999997</v>
      </c>
      <c r="BZ55" s="13">
        <f>BY55*VLOOKUP('Données projet'!$B$12,Paramètres!$A$1:$I$89,3,0)*VLOOKUP('Données projet'!$B$12,Paramètres!$A$1:$I$89,5,0)</f>
        <v>208.82159999999993</v>
      </c>
      <c r="CA55" s="13">
        <f t="shared" si="39"/>
        <v>51.6779913750944</v>
      </c>
      <c r="CB55" s="20">
        <f t="shared" si="10"/>
        <v>453.70345497828924</v>
      </c>
      <c r="CC55" s="59">
        <f t="shared" si="11"/>
        <v>747.03678831162256</v>
      </c>
      <c r="CD55" s="59">
        <f ca="1">AVERAGE(OFFSET($CC$3,0,0,'Données projet'!$E$12+1,1))-AVERAGE(OFFSET($H$3,0,0,'Données projet'!$E$12+1,1))</f>
        <v>354.06521046071936</v>
      </c>
      <c r="CE55" s="59">
        <f t="shared" si="40"/>
        <v>206.22956332364367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</v>
      </c>
      <c r="N56" s="13">
        <f>IF('Données projet'!$A$36&gt;35,N55+M56-V55,IF(A56&lt;'Données projet'!$A$36,$K$205^A56,IF(A56='Données projet'!$A$36,'Données projet'!$B$36,N55+M56-V55)))</f>
        <v>201.99999999999997</v>
      </c>
      <c r="O56" s="13">
        <f>N56*VLOOKUP('Données projet'!$B$9,Paramètres!$A$1:$I$89,3,0)*VLOOKUP('Données projet'!$B$9,Paramètres!$A$1:$I$89,5,0)</f>
        <v>182.76959999999997</v>
      </c>
      <c r="P56" s="13">
        <f t="shared" si="33"/>
        <v>45.937822477650357</v>
      </c>
      <c r="Q56" s="20">
        <f t="shared" si="53"/>
        <v>398.33209414857424</v>
      </c>
      <c r="R56" s="59">
        <f t="shared" si="0"/>
        <v>691.6654274819075</v>
      </c>
      <c r="S56" s="59">
        <f ca="1">AVERAGE(OFFSET($R$3,0,0,'Données projet'!$E$9+1,1))-AVERAGE(OFFSET($H$3,0,0,'Données projet'!$E$9+1,1))</f>
        <v>280.79223530986889</v>
      </c>
      <c r="T56" s="59">
        <f t="shared" si="34"/>
        <v>170.29932835468685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201.99999999999997</v>
      </c>
      <c r="AJ56" s="13">
        <f>AI56*VLOOKUP('Données projet'!$B$10,Paramètres!$A$1:$I$89,3,0)*VLOOKUP('Données projet'!$B$10,Paramètres!$A$1:$I$89,5,0)</f>
        <v>204.82799999999997</v>
      </c>
      <c r="AK56" s="13">
        <f t="shared" si="35"/>
        <v>50.80373850176295</v>
      </c>
      <c r="AL56" s="20">
        <f t="shared" si="4"/>
        <v>445.2252778905704</v>
      </c>
      <c r="AM56" s="59">
        <f t="shared" si="5"/>
        <v>738.55861122390365</v>
      </c>
      <c r="AN56" s="59">
        <f ca="1">AVERAGE(OFFSET($AM$3,0,0,'Données projet'!$E$10+1,1))-AVERAGE(OFFSET($H$3,0,0,'Données projet'!$E$10+1,1))</f>
        <v>327.4505861600158</v>
      </c>
      <c r="AO56" s="59">
        <f t="shared" si="36"/>
        <v>193.18009444354595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</v>
      </c>
      <c r="BD56" s="12">
        <f>IF('Données projet'!$A$88&gt;35,BD55+BC56-BL55,IF(A56&lt;'Données projet'!$A$88,$BA$205^A56,IF(A56='Données projet'!$A$88,'Données projet'!$B$88,BD55+BC56-BL55)))</f>
        <v>201.99999999999997</v>
      </c>
      <c r="BE56" s="13">
        <f>BD56*VLOOKUP('Données projet'!$B$11,Paramètres!$A$1:$I$89,3,0)*VLOOKUP('Données projet'!$B$11,Paramètres!$A$1:$I$89,5,0)</f>
        <v>211.13039999999998</v>
      </c>
      <c r="BF56" s="13">
        <f t="shared" si="37"/>
        <v>52.182529306074585</v>
      </c>
      <c r="BG56" s="20">
        <f t="shared" si="7"/>
        <v>458.60335187474652</v>
      </c>
      <c r="BH56" s="59">
        <f t="shared" si="8"/>
        <v>751.93668520807978</v>
      </c>
      <c r="BI56" s="59">
        <f ca="1">AVERAGE(OFFSET($BH$3,0,0,'Données projet'!$E$11+1,1))-AVERAGE(OFFSET($H$3,0,0,'Données projet'!$E$11+1,1))</f>
        <v>340.76197766679212</v>
      </c>
      <c r="BJ56" s="59">
        <f t="shared" si="38"/>
        <v>199.70700738826872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</v>
      </c>
      <c r="BY56" s="12">
        <f>IF('Données projet'!$A$114&gt;35,BY55+BX56-CG55,IF(A56&lt;'Données projet'!$A$114,$BV$205^A56,IF(A56='Données projet'!$A$114,'Données projet'!$B$114,BY55+BX56-CG55)))</f>
        <v>201.99999999999997</v>
      </c>
      <c r="BZ56" s="13">
        <f>BY56*VLOOKUP('Données projet'!$B$12,Paramètres!$A$1:$I$89,3,0)*VLOOKUP('Données projet'!$B$12,Paramètres!$A$1:$I$89,5,0)</f>
        <v>217.43279999999996</v>
      </c>
      <c r="CA56" s="13">
        <f t="shared" si="39"/>
        <v>53.556536889714792</v>
      </c>
      <c r="CB56" s="20">
        <f t="shared" si="10"/>
        <v>471.97309508291983</v>
      </c>
      <c r="CC56" s="59">
        <f t="shared" si="11"/>
        <v>765.30642841625308</v>
      </c>
      <c r="CD56" s="59">
        <f ca="1">AVERAGE(OFFSET($CC$3,0,0,'Données projet'!$E$12+1,1))-AVERAGE(OFFSET($H$3,0,0,'Données projet'!$E$12+1,1))</f>
        <v>354.06521046071936</v>
      </c>
      <c r="CE56" s="59">
        <f t="shared" si="40"/>
        <v>206.22956332364367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</v>
      </c>
      <c r="N57" s="13">
        <f>IF('Données projet'!$A$36&gt;35,N56+M57-V56,IF(A57&lt;'Données projet'!$A$36,$K$205^A57,IF(A57='Données projet'!$A$36,'Données projet'!$B$36,N56+M57-V56)))</f>
        <v>209.99999999999997</v>
      </c>
      <c r="O57" s="13">
        <f>N57*VLOOKUP('Données projet'!$B$9,Paramètres!$A$1:$I$89,3,0)*VLOOKUP('Données projet'!$B$9,Paramètres!$A$1:$I$89,5,0)</f>
        <v>190.00799999999995</v>
      </c>
      <c r="P57" s="13">
        <f t="shared" si="33"/>
        <v>47.541721533308163</v>
      </c>
      <c r="Q57" s="20">
        <f t="shared" si="53"/>
        <v>413.73243167051163</v>
      </c>
      <c r="R57" s="59">
        <f t="shared" si="0"/>
        <v>707.06576500384494</v>
      </c>
      <c r="S57" s="59">
        <f ca="1">AVERAGE(OFFSET($R$3,0,0,'Données projet'!$E$9+1,1))-AVERAGE(OFFSET($H$3,0,0,'Données projet'!$E$9+1,1))</f>
        <v>280.79223530986889</v>
      </c>
      <c r="T57" s="59">
        <f t="shared" si="34"/>
        <v>170.29932835468685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209.99999999999997</v>
      </c>
      <c r="AJ57" s="13">
        <f>AI57*VLOOKUP('Données projet'!$B$10,Paramètres!$A$1:$I$89,3,0)*VLOOKUP('Données projet'!$B$10,Paramètres!$A$1:$I$89,5,0)</f>
        <v>212.94</v>
      </c>
      <c r="AK57" s="13">
        <f t="shared" si="35"/>
        <v>52.577528895212865</v>
      </c>
      <c r="AL57" s="20">
        <f t="shared" si="4"/>
        <v>462.44302949249573</v>
      </c>
      <c r="AM57" s="59">
        <f t="shared" si="5"/>
        <v>755.77636282582898</v>
      </c>
      <c r="AN57" s="59">
        <f ca="1">AVERAGE(OFFSET($AM$3,0,0,'Données projet'!$E$10+1,1))-AVERAGE(OFFSET($H$3,0,0,'Données projet'!$E$10+1,1))</f>
        <v>327.4505861600158</v>
      </c>
      <c r="AO57" s="59">
        <f t="shared" si="36"/>
        <v>193.18009444354595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</v>
      </c>
      <c r="BD57" s="12">
        <f>IF('Données projet'!$A$88&gt;35,BD56+BC57-BL56,IF(A57&lt;'Données projet'!$A$88,$BA$205^A57,IF(A57='Données projet'!$A$88,'Données projet'!$B$88,BD56+BC57-BL56)))</f>
        <v>209.99999999999997</v>
      </c>
      <c r="BE57" s="13">
        <f>BD57*VLOOKUP('Données projet'!$B$11,Paramètres!$A$1:$I$89,3,0)*VLOOKUP('Données projet'!$B$11,Paramètres!$A$1:$I$89,5,0)</f>
        <v>219.49199999999999</v>
      </c>
      <c r="BF57" s="13">
        <f t="shared" si="37"/>
        <v>54.004459579686618</v>
      </c>
      <c r="BG57" s="20">
        <f t="shared" si="7"/>
        <v>476.33966710128743</v>
      </c>
      <c r="BH57" s="59">
        <f t="shared" si="8"/>
        <v>769.67300043462069</v>
      </c>
      <c r="BI57" s="59">
        <f ca="1">AVERAGE(OFFSET($BH$3,0,0,'Données projet'!$E$11+1,1))-AVERAGE(OFFSET($H$3,0,0,'Données projet'!$E$11+1,1))</f>
        <v>340.76197766679212</v>
      </c>
      <c r="BJ57" s="59">
        <f t="shared" si="38"/>
        <v>199.70700738826872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</v>
      </c>
      <c r="BY57" s="12">
        <f>IF('Données projet'!$A$114&gt;35,BY56+BX57-CG56,IF(A57&lt;'Données projet'!$A$114,$BV$205^A57,IF(A57='Données projet'!$A$114,'Données projet'!$B$114,BY56+BX57-CG56)))</f>
        <v>209.99999999999997</v>
      </c>
      <c r="BZ57" s="13">
        <f>BY57*VLOOKUP('Données projet'!$B$12,Paramètres!$A$1:$I$89,3,0)*VLOOKUP('Données projet'!$B$12,Paramètres!$A$1:$I$89,5,0)</f>
        <v>226.04399999999998</v>
      </c>
      <c r="CA57" s="13">
        <f t="shared" si="39"/>
        <v>55.426440039423504</v>
      </c>
      <c r="CB57" s="20">
        <f t="shared" si="10"/>
        <v>490.22768306866254</v>
      </c>
      <c r="CC57" s="59">
        <f t="shared" si="11"/>
        <v>783.56101640199586</v>
      </c>
      <c r="CD57" s="59">
        <f ca="1">AVERAGE(OFFSET($CC$3,0,0,'Données projet'!$E$12+1,1))-AVERAGE(OFFSET($H$3,0,0,'Données projet'!$E$12+1,1))</f>
        <v>354.06521046071936</v>
      </c>
      <c r="CE57" s="59">
        <f t="shared" si="40"/>
        <v>206.22956332364367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218</v>
      </c>
      <c r="L58" s="12">
        <f>VLOOKUP(A58,'Données projet'!$A$35:$I$55,9,0)</f>
        <v>8</v>
      </c>
      <c r="M58" s="12">
        <f t="array" ref="M58">INDEX(L:L,MIN(IF(ISNUMBER(L58:L254),ROW(L58:L254),"")))</f>
        <v>8</v>
      </c>
      <c r="N58" s="13">
        <f>IF('Données projet'!$A$36&gt;35,N57+M58-V57,IF(A58&lt;'Données projet'!$A$36,$K$205^A58,IF(A58='Données projet'!$A$36,'Données projet'!$B$36,N57+M58-V57)))</f>
        <v>217.99999999999997</v>
      </c>
      <c r="O58" s="13">
        <f>N58*VLOOKUP('Données projet'!$B$9,Paramètres!$A$1:$I$89,3,0)*VLOOKUP('Données projet'!$B$9,Paramètres!$A$1:$I$89,5,0)</f>
        <v>197.24639999999997</v>
      </c>
      <c r="P58" s="13">
        <f t="shared" si="33"/>
        <v>49.138522374247202</v>
      </c>
      <c r="Q58" s="20">
        <f t="shared" si="53"/>
        <v>429.1204064684805</v>
      </c>
      <c r="R58" s="59">
        <f t="shared" si="0"/>
        <v>722.45373980181375</v>
      </c>
      <c r="S58" s="59">
        <f ca="1">AVERAGE(OFFSET($R$3,0,0,'Données projet'!$E$9+1,1))-AVERAGE(OFFSET($H$3,0,0,'Données projet'!$E$9+1,1))</f>
        <v>280.79223530986889</v>
      </c>
      <c r="T58" s="59">
        <f t="shared" si="34"/>
        <v>170.29932835468685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42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218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217.99999999999997</v>
      </c>
      <c r="AJ58" s="13">
        <f>AI58*VLOOKUP('Données projet'!$B$10,Paramètres!$A$1:$I$89,3,0)*VLOOKUP('Données projet'!$B$10,Paramètres!$A$1:$I$89,5,0)</f>
        <v>221.05199999999999</v>
      </c>
      <c r="AK58" s="13">
        <f t="shared" si="35"/>
        <v>54.343469202939204</v>
      </c>
      <c r="AL58" s="20">
        <f t="shared" si="4"/>
        <v>479.64710886178574</v>
      </c>
      <c r="AM58" s="59">
        <f t="shared" si="5"/>
        <v>772.98044219511905</v>
      </c>
      <c r="AN58" s="59">
        <f ca="1">AVERAGE(OFFSET($AM$3,0,0,'Données projet'!$E$10+1,1))-AVERAGE(OFFSET($H$3,0,0,'Données projet'!$E$10+1,1))</f>
        <v>327.4505861600158</v>
      </c>
      <c r="AO58" s="59">
        <f t="shared" si="36"/>
        <v>193.18009444354595</v>
      </c>
      <c r="AP58" s="15">
        <f>IF(ISNA(VLOOKUP(A58,'Données projet'!$A$61:$I$81,3,0)),0,VLOOKUP(A58,'Données projet'!$A$61:$I$81,3,0))</f>
        <v>4</v>
      </c>
      <c r="AQ58" s="15">
        <f>IF(ISNA(VLOOKUP(A58,'Données projet'!$A$61:$I$81,4,0)),0,VLOOKUP(A58,'Données projet'!$A$61:$I$81,4,0))</f>
        <v>42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218</v>
      </c>
      <c r="BB58" s="12">
        <f>VLOOKUP(A58,'Données projet'!$A$87:$I$107,9,0)</f>
        <v>8</v>
      </c>
      <c r="BC58" s="12">
        <f t="array" ref="BC58">INDEX(BB:BB,MIN(IF(ISNUMBER(BB58:BB254),ROW(BB58:BB254),"")))</f>
        <v>8</v>
      </c>
      <c r="BD58" s="12">
        <f>IF('Données projet'!$A$88&gt;35,BD57+BC58-BL57,IF(A58&lt;'Données projet'!$A$88,$BA$205^A58,IF(A58='Données projet'!$A$88,'Données projet'!$B$88,BD57+BC58-BL57)))</f>
        <v>217.99999999999997</v>
      </c>
      <c r="BE58" s="13">
        <f>BD58*VLOOKUP('Données projet'!$B$11,Paramètres!$A$1:$I$89,3,0)*VLOOKUP('Données projet'!$B$11,Paramètres!$A$1:$I$89,5,0)</f>
        <v>227.8536</v>
      </c>
      <c r="BF58" s="13">
        <f t="shared" si="37"/>
        <v>55.818326719749798</v>
      </c>
      <c r="BG58" s="20">
        <f t="shared" si="7"/>
        <v>494.06193903689763</v>
      </c>
      <c r="BH58" s="59">
        <f t="shared" si="8"/>
        <v>787.39527237023094</v>
      </c>
      <c r="BI58" s="59">
        <f ca="1">AVERAGE(OFFSET($BH$3,0,0,'Données projet'!$E$11+1,1))-AVERAGE(OFFSET($H$3,0,0,'Données projet'!$E$11+1,1))</f>
        <v>340.76197766679212</v>
      </c>
      <c r="BJ58" s="59">
        <f t="shared" si="38"/>
        <v>199.70700738826872</v>
      </c>
      <c r="BK58" s="15">
        <f>IF(ISNA(VLOOKUP(A58,'Données projet'!$A$87:$I$107,3,0)),0,VLOOKUP(A58,'Données projet'!$A$87:$I$107,3,0))</f>
        <v>4</v>
      </c>
      <c r="BL58" s="15">
        <f>IF(ISNA(VLOOKUP(A58,'Données projet'!$A$87:$I$107,4,0)),0,VLOOKUP(A58,'Données projet'!$A$87:$I$107,4,0))</f>
        <v>42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218</v>
      </c>
      <c r="BW58" s="12">
        <f>VLOOKUP(A58,'Données projet'!$A$113:$I$133,9,0)</f>
        <v>8</v>
      </c>
      <c r="BX58" s="12">
        <f t="array" ref="BX58">INDEX(BW:BW,MIN(IF(ISNUMBER(BW58:BW254),ROW(BW58:BW254),"")))</f>
        <v>8</v>
      </c>
      <c r="BY58" s="12">
        <f>IF('Données projet'!$A$114&gt;35,BY57+BX58-CG57,IF(A58&lt;'Données projet'!$A$114,$BV$205^A58,IF(A58='Données projet'!$A$114,'Données projet'!$B$114,BY57+BX58-CG57)))</f>
        <v>217.99999999999997</v>
      </c>
      <c r="BZ58" s="13">
        <f>BY58*VLOOKUP('Données projet'!$B$12,Paramètres!$A$1:$I$89,3,0)*VLOOKUP('Données projet'!$B$12,Paramètres!$A$1:$I$89,5,0)</f>
        <v>234.65519999999995</v>
      </c>
      <c r="CA58" s="13">
        <f t="shared" si="39"/>
        <v>57.288067746850999</v>
      </c>
      <c r="CB58" s="20">
        <f t="shared" si="10"/>
        <v>508.46785799243207</v>
      </c>
      <c r="CC58" s="59">
        <f t="shared" si="11"/>
        <v>801.80119132576533</v>
      </c>
      <c r="CD58" s="59">
        <f ca="1">AVERAGE(OFFSET($CC$3,0,0,'Données projet'!$E$12+1,1))-AVERAGE(OFFSET($H$3,0,0,'Données projet'!$E$12+1,1))</f>
        <v>354.06521046071936</v>
      </c>
      <c r="CE58" s="59">
        <f t="shared" si="40"/>
        <v>206.22956332364367</v>
      </c>
      <c r="CF58" s="15">
        <f>IF(ISNA(VLOOKUP(A58,'Données projet'!$A$113:$I$133,3,0)),0,VLOOKUP(A58,'Données projet'!$A$113:$I$133,3,0))</f>
        <v>4</v>
      </c>
      <c r="CG58" s="15">
        <f>IF(ISNA(VLOOKUP(A58,'Données projet'!$A$113:$I$133,4,0)),0,VLOOKUP(A58,'Données projet'!$A$113:$I$133,4,0))</f>
        <v>42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7.6</v>
      </c>
      <c r="N59" s="13">
        <f>IF('Données projet'!$A$36&gt;35,N58+M59-V58,IF(A59&lt;'Données projet'!$A$36,$K$205^A59,IF(A59='Données projet'!$A$36,'Données projet'!$B$36,N58+M59-V58)))</f>
        <v>183.59999999999997</v>
      </c>
      <c r="O59" s="13">
        <f>N59*VLOOKUP('Données projet'!$B$9,Paramètres!$A$1:$I$89,3,0)*VLOOKUP('Données projet'!$B$9,Paramètres!$A$1:$I$89,5,0)</f>
        <v>166.12127999999996</v>
      </c>
      <c r="P59" s="13">
        <f t="shared" si="33"/>
        <v>42.220155874487318</v>
      </c>
      <c r="Q59" s="20">
        <f t="shared" si="53"/>
        <v>362.86133414806528</v>
      </c>
      <c r="R59" s="59">
        <f t="shared" si="0"/>
        <v>656.1946674813986</v>
      </c>
      <c r="S59" s="59">
        <f ca="1">AVERAGE(OFFSET($R$3,0,0,'Données projet'!$E$9+1,1))-AVERAGE(OFFSET($H$3,0,0,'Données projet'!$E$9+1,1))</f>
        <v>280.79223530986889</v>
      </c>
      <c r="T59" s="59">
        <f t="shared" si="34"/>
        <v>170.29932835468685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183.59999999999997</v>
      </c>
      <c r="AJ59" s="13">
        <f>AI59*VLOOKUP('Données projet'!$B$10,Paramètres!$A$1:$I$89,3,0)*VLOOKUP('Données projet'!$B$10,Paramètres!$A$1:$I$89,5,0)</f>
        <v>186.17039999999997</v>
      </c>
      <c r="AK59" s="13">
        <f t="shared" si="35"/>
        <v>46.692281933796018</v>
      </c>
      <c r="AL59" s="20">
        <f t="shared" si="4"/>
        <v>405.56917103469465</v>
      </c>
      <c r="AM59" s="59">
        <f t="shared" si="5"/>
        <v>698.90250436802796</v>
      </c>
      <c r="AN59" s="59">
        <f ca="1">AVERAGE(OFFSET($AM$3,0,0,'Données projet'!$E$10+1,1))-AVERAGE(OFFSET($H$3,0,0,'Données projet'!$E$10+1,1))</f>
        <v>327.4505861600158</v>
      </c>
      <c r="AO59" s="59">
        <f t="shared" si="36"/>
        <v>193.18009444354595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7.6</v>
      </c>
      <c r="BD59" s="12">
        <f>IF('Données projet'!$A$88&gt;35,BD58+BC59-BL58,IF(A59&lt;'Données projet'!$A$88,$BA$205^A59,IF(A59='Données projet'!$A$88,'Données projet'!$B$88,BD58+BC59-BL58)))</f>
        <v>183.59999999999997</v>
      </c>
      <c r="BE59" s="13">
        <f>BD59*VLOOKUP('Données projet'!$B$11,Paramètres!$A$1:$I$89,3,0)*VLOOKUP('Données projet'!$B$11,Paramètres!$A$1:$I$89,5,0)</f>
        <v>191.89872</v>
      </c>
      <c r="BF59" s="13">
        <f t="shared" si="37"/>
        <v>47.959489640575555</v>
      </c>
      <c r="BG59" s="20">
        <f t="shared" si="7"/>
        <v>417.75304845733575</v>
      </c>
      <c r="BH59" s="59">
        <f t="shared" si="8"/>
        <v>711.08638179066907</v>
      </c>
      <c r="BI59" s="59">
        <f ca="1">AVERAGE(OFFSET($BH$3,0,0,'Données projet'!$E$11+1,1))-AVERAGE(OFFSET($H$3,0,0,'Données projet'!$E$11+1,1))</f>
        <v>340.76197766679212</v>
      </c>
      <c r="BJ59" s="59">
        <f t="shared" si="38"/>
        <v>199.70700738826872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7.6</v>
      </c>
      <c r="BY59" s="12">
        <f>IF('Données projet'!$A$114&gt;35,BY58+BX59-CG58,IF(A59&lt;'Données projet'!$A$114,$BV$205^A59,IF(A59='Données projet'!$A$114,'Données projet'!$B$114,BY58+BX59-CG58)))</f>
        <v>183.59999999999997</v>
      </c>
      <c r="BZ59" s="13">
        <f>BY59*VLOOKUP('Données projet'!$B$12,Paramètres!$A$1:$I$89,3,0)*VLOOKUP('Données projet'!$B$12,Paramètres!$A$1:$I$89,5,0)</f>
        <v>197.62703999999997</v>
      </c>
      <c r="CA59" s="13">
        <f t="shared" si="39"/>
        <v>49.222301224260015</v>
      </c>
      <c r="CB59" s="20">
        <f t="shared" si="10"/>
        <v>429.92926929891945</v>
      </c>
      <c r="CC59" s="59">
        <f t="shared" si="11"/>
        <v>723.26260263225277</v>
      </c>
      <c r="CD59" s="59">
        <f ca="1">AVERAGE(OFFSET($CC$3,0,0,'Données projet'!$E$12+1,1))-AVERAGE(OFFSET($H$3,0,0,'Données projet'!$E$12+1,1))</f>
        <v>354.06521046071936</v>
      </c>
      <c r="CE59" s="59">
        <f t="shared" si="40"/>
        <v>206.22956332364367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7.6</v>
      </c>
      <c r="N60" s="13">
        <f>IF('Données projet'!$A$36&gt;35,N59+M60-V59,IF(A60&lt;'Données projet'!$A$36,$K$205^A60,IF(A60='Données projet'!$A$36,'Données projet'!$B$36,N59+M60-V59)))</f>
        <v>191.19999999999996</v>
      </c>
      <c r="O60" s="13">
        <f>N60*VLOOKUP('Données projet'!$B$9,Paramètres!$A$1:$I$89,3,0)*VLOOKUP('Données projet'!$B$9,Paramètres!$A$1:$I$89,5,0)</f>
        <v>172.99775999999997</v>
      </c>
      <c r="P60" s="13">
        <f t="shared" si="33"/>
        <v>43.760737531919609</v>
      </c>
      <c r="Q60" s="20">
        <f t="shared" si="53"/>
        <v>377.52104986809326</v>
      </c>
      <c r="R60" s="59">
        <f t="shared" si="0"/>
        <v>670.85438320142657</v>
      </c>
      <c r="S60" s="59">
        <f ca="1">AVERAGE(OFFSET($R$3,0,0,'Données projet'!$E$9+1,1))-AVERAGE(OFFSET($H$3,0,0,'Données projet'!$E$9+1,1))</f>
        <v>280.79223530986889</v>
      </c>
      <c r="T60" s="59">
        <f t="shared" si="34"/>
        <v>170.29932835468685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191.19999999999996</v>
      </c>
      <c r="AJ60" s="13">
        <f>AI60*VLOOKUP('Données projet'!$B$10,Paramètres!$A$1:$I$89,3,0)*VLOOKUP('Données projet'!$B$10,Paramètres!$A$1:$I$89,5,0)</f>
        <v>193.87679999999997</v>
      </c>
      <c r="AK60" s="13">
        <f t="shared" si="35"/>
        <v>48.396048099527611</v>
      </c>
      <c r="AL60" s="20">
        <f t="shared" si="4"/>
        <v>421.95854377334382</v>
      </c>
      <c r="AM60" s="59">
        <f t="shared" si="5"/>
        <v>715.29187710667713</v>
      </c>
      <c r="AN60" s="59">
        <f ca="1">AVERAGE(OFFSET($AM$3,0,0,'Données projet'!$E$10+1,1))-AVERAGE(OFFSET($H$3,0,0,'Données projet'!$E$10+1,1))</f>
        <v>327.4505861600158</v>
      </c>
      <c r="AO60" s="59">
        <f t="shared" si="36"/>
        <v>193.18009444354595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7.6</v>
      </c>
      <c r="BD60" s="12">
        <f>IF('Données projet'!$A$88&gt;35,BD59+BC60-BL59,IF(A60&lt;'Données projet'!$A$88,$BA$205^A60,IF(A60='Données projet'!$A$88,'Données projet'!$B$88,BD59+BC60-BL59)))</f>
        <v>191.19999999999996</v>
      </c>
      <c r="BE60" s="13">
        <f>BD60*VLOOKUP('Données projet'!$B$11,Paramètres!$A$1:$I$89,3,0)*VLOOKUP('Données projet'!$B$11,Paramètres!$A$1:$I$89,5,0)</f>
        <v>199.84223999999998</v>
      </c>
      <c r="BF60" s="13">
        <f t="shared" si="37"/>
        <v>49.709495260160018</v>
      </c>
      <c r="BG60" s="20">
        <f t="shared" si="7"/>
        <v>434.63593891144529</v>
      </c>
      <c r="BH60" s="59">
        <f t="shared" si="8"/>
        <v>727.96927224477861</v>
      </c>
      <c r="BI60" s="59">
        <f ca="1">AVERAGE(OFFSET($BH$3,0,0,'Données projet'!$E$11+1,1))-AVERAGE(OFFSET($H$3,0,0,'Données projet'!$E$11+1,1))</f>
        <v>340.76197766679212</v>
      </c>
      <c r="BJ60" s="59">
        <f t="shared" si="38"/>
        <v>199.70700738826872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7.6</v>
      </c>
      <c r="BY60" s="12">
        <f>IF('Données projet'!$A$114&gt;35,BY59+BX60-CG59,IF(A60&lt;'Données projet'!$A$114,$BV$205^A60,IF(A60='Données projet'!$A$114,'Données projet'!$B$114,BY59+BX60-CG59)))</f>
        <v>191.19999999999996</v>
      </c>
      <c r="BZ60" s="13">
        <f>BY60*VLOOKUP('Données projet'!$B$12,Paramètres!$A$1:$I$89,3,0)*VLOOKUP('Données projet'!$B$12,Paramètres!$A$1:$I$89,5,0)</f>
        <v>205.80767999999995</v>
      </c>
      <c r="CA60" s="13">
        <f t="shared" si="39"/>
        <v>51.018385886479962</v>
      </c>
      <c r="CB60" s="20">
        <f t="shared" si="10"/>
        <v>447.30539808561917</v>
      </c>
      <c r="CC60" s="59">
        <f t="shared" si="11"/>
        <v>740.63873141895249</v>
      </c>
      <c r="CD60" s="59">
        <f ca="1">AVERAGE(OFFSET($CC$3,0,0,'Données projet'!$E$12+1,1))-AVERAGE(OFFSET($H$3,0,0,'Données projet'!$E$12+1,1))</f>
        <v>354.06521046071936</v>
      </c>
      <c r="CE60" s="59">
        <f t="shared" si="40"/>
        <v>206.22956332364367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7.6</v>
      </c>
      <c r="N61" s="13">
        <f>IF('Données projet'!$A$36&gt;35,N60+M61-V60,IF(A61&lt;'Données projet'!$A$36,$K$205^A61,IF(A61='Données projet'!$A$36,'Données projet'!$B$36,N60+M61-V60)))</f>
        <v>198.79999999999995</v>
      </c>
      <c r="O61" s="13">
        <f>N61*VLOOKUP('Données projet'!$B$9,Paramètres!$A$1:$I$89,3,0)*VLOOKUP('Données projet'!$B$9,Paramètres!$A$1:$I$89,5,0)</f>
        <v>179.87423999999993</v>
      </c>
      <c r="P61" s="13">
        <f t="shared" si="33"/>
        <v>45.294205745553846</v>
      </c>
      <c r="Q61" s="20">
        <f t="shared" si="53"/>
        <v>392.16837634017276</v>
      </c>
      <c r="R61" s="59">
        <f t="shared" si="0"/>
        <v>685.50170967350607</v>
      </c>
      <c r="S61" s="59">
        <f ca="1">AVERAGE(OFFSET($R$3,0,0,'Données projet'!$E$9+1,1))-AVERAGE(OFFSET($H$3,0,0,'Données projet'!$E$9+1,1))</f>
        <v>280.79223530986889</v>
      </c>
      <c r="T61" s="59">
        <f t="shared" si="34"/>
        <v>170.29932835468685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198.79999999999995</v>
      </c>
      <c r="AJ61" s="13">
        <f>AI61*VLOOKUP('Données projet'!$B$10,Paramètres!$A$1:$I$89,3,0)*VLOOKUP('Données projet'!$B$10,Paramètres!$A$1:$I$89,5,0)</f>
        <v>201.58319999999995</v>
      </c>
      <c r="AK61" s="13">
        <f t="shared" si="35"/>
        <v>50.091947337331924</v>
      </c>
      <c r="AL61" s="20">
        <f t="shared" si="4"/>
        <v>438.33421494585303</v>
      </c>
      <c r="AM61" s="59">
        <f t="shared" si="5"/>
        <v>731.66754827918635</v>
      </c>
      <c r="AN61" s="59">
        <f ca="1">AVERAGE(OFFSET($AM$3,0,0,'Données projet'!$E$10+1,1))-AVERAGE(OFFSET($H$3,0,0,'Données projet'!$E$10+1,1))</f>
        <v>327.4505861600158</v>
      </c>
      <c r="AO61" s="59">
        <f t="shared" si="36"/>
        <v>193.18009444354595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7.6</v>
      </c>
      <c r="BD61" s="12">
        <f>IF('Données projet'!$A$88&gt;35,BD60+BC61-BL60,IF(A61&lt;'Données projet'!$A$88,$BA$205^A61,IF(A61='Données projet'!$A$88,'Données projet'!$B$88,BD60+BC61-BL60)))</f>
        <v>198.79999999999995</v>
      </c>
      <c r="BE61" s="13">
        <f>BD61*VLOOKUP('Données projet'!$B$11,Paramètres!$A$1:$I$89,3,0)*VLOOKUP('Données projet'!$B$11,Paramètres!$A$1:$I$89,5,0)</f>
        <v>207.78575999999995</v>
      </c>
      <c r="BF61" s="13">
        <f t="shared" si="37"/>
        <v>51.451420446901984</v>
      </c>
      <c r="BG61" s="20">
        <f t="shared" si="7"/>
        <v>451.50475594502086</v>
      </c>
      <c r="BH61" s="59">
        <f t="shared" si="8"/>
        <v>744.83808927835412</v>
      </c>
      <c r="BI61" s="59">
        <f ca="1">AVERAGE(OFFSET($BH$3,0,0,'Données projet'!$E$11+1,1))-AVERAGE(OFFSET($H$3,0,0,'Données projet'!$E$11+1,1))</f>
        <v>340.76197766679212</v>
      </c>
      <c r="BJ61" s="59">
        <f t="shared" si="38"/>
        <v>199.70700738826872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7.6</v>
      </c>
      <c r="BY61" s="12">
        <f>IF('Données projet'!$A$114&gt;35,BY60+BX61-CG60,IF(A61&lt;'Données projet'!$A$114,$BV$205^A61,IF(A61='Données projet'!$A$114,'Données projet'!$B$114,BY60+BX61-CG60)))</f>
        <v>198.79999999999995</v>
      </c>
      <c r="BZ61" s="13">
        <f>BY61*VLOOKUP('Données projet'!$B$12,Paramètres!$A$1:$I$89,3,0)*VLOOKUP('Données projet'!$B$12,Paramètres!$A$1:$I$89,5,0)</f>
        <v>213.98831999999996</v>
      </c>
      <c r="CA61" s="13">
        <f t="shared" si="39"/>
        <v>52.806177351620995</v>
      </c>
      <c r="CB61" s="20">
        <f t="shared" si="10"/>
        <v>464.66708288740648</v>
      </c>
      <c r="CC61" s="59">
        <f t="shared" si="11"/>
        <v>758.00041622073979</v>
      </c>
      <c r="CD61" s="59">
        <f ca="1">AVERAGE(OFFSET($CC$3,0,0,'Données projet'!$E$12+1,1))-AVERAGE(OFFSET($H$3,0,0,'Données projet'!$E$12+1,1))</f>
        <v>354.06521046071936</v>
      </c>
      <c r="CE61" s="59">
        <f t="shared" si="40"/>
        <v>206.22956332364367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7.6</v>
      </c>
      <c r="N62" s="13">
        <f>IF('Données projet'!$A$36&gt;35,N61+M62-V61,IF(A62&lt;'Données projet'!$A$36,$K$205^A62,IF(A62='Données projet'!$A$36,'Données projet'!$B$36,N61+M62-V61)))</f>
        <v>206.39999999999995</v>
      </c>
      <c r="O62" s="13">
        <f>N62*VLOOKUP('Données projet'!$B$9,Paramètres!$A$1:$I$89,3,0)*VLOOKUP('Données projet'!$B$9,Paramètres!$A$1:$I$89,5,0)</f>
        <v>186.75071999999994</v>
      </c>
      <c r="P62" s="13">
        <f t="shared" si="33"/>
        <v>46.820863587839391</v>
      </c>
      <c r="Q62" s="20">
        <f t="shared" si="53"/>
        <v>406.80384141548683</v>
      </c>
      <c r="R62" s="59">
        <f t="shared" si="0"/>
        <v>700.13717474882014</v>
      </c>
      <c r="S62" s="59">
        <f ca="1">AVERAGE(OFFSET($R$3,0,0,'Données projet'!$E$9+1,1))-AVERAGE(OFFSET($H$3,0,0,'Données projet'!$E$9+1,1))</f>
        <v>280.79223530986889</v>
      </c>
      <c r="T62" s="59">
        <f t="shared" si="34"/>
        <v>170.29932835468685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206.39999999999995</v>
      </c>
      <c r="AJ62" s="13">
        <f>AI62*VLOOKUP('Données projet'!$B$10,Paramètres!$A$1:$I$89,3,0)*VLOOKUP('Données projet'!$B$10,Paramètres!$A$1:$I$89,5,0)</f>
        <v>209.28959999999995</v>
      </c>
      <c r="AK62" s="13">
        <f t="shared" si="35"/>
        <v>51.780314822292169</v>
      </c>
      <c r="AL62" s="20">
        <f t="shared" si="4"/>
        <v>454.69676831549208</v>
      </c>
      <c r="AM62" s="59">
        <f t="shared" si="5"/>
        <v>748.03010164882539</v>
      </c>
      <c r="AN62" s="59">
        <f ca="1">AVERAGE(OFFSET($AM$3,0,0,'Données projet'!$E$10+1,1))-AVERAGE(OFFSET($H$3,0,0,'Données projet'!$E$10+1,1))</f>
        <v>327.4505861600158</v>
      </c>
      <c r="AO62" s="59">
        <f t="shared" si="36"/>
        <v>193.18009444354595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7.6</v>
      </c>
      <c r="BD62" s="12">
        <f>IF('Données projet'!$A$88&gt;35,BD61+BC62-BL61,IF(A62&lt;'Données projet'!$A$88,$BA$205^A62,IF(A62='Données projet'!$A$88,'Données projet'!$B$88,BD61+BC62-BL61)))</f>
        <v>206.39999999999995</v>
      </c>
      <c r="BE62" s="13">
        <f>BD62*VLOOKUP('Données projet'!$B$11,Paramètres!$A$1:$I$89,3,0)*VLOOKUP('Données projet'!$B$11,Paramètres!$A$1:$I$89,5,0)</f>
        <v>215.72927999999999</v>
      </c>
      <c r="BF62" s="13">
        <f t="shared" si="37"/>
        <v>53.185609472386865</v>
      </c>
      <c r="BG62" s="20">
        <f t="shared" si="7"/>
        <v>468.36009916440707</v>
      </c>
      <c r="BH62" s="59">
        <f t="shared" si="8"/>
        <v>761.69343249774033</v>
      </c>
      <c r="BI62" s="59">
        <f ca="1">AVERAGE(OFFSET($BH$3,0,0,'Données projet'!$E$11+1,1))-AVERAGE(OFFSET($H$3,0,0,'Données projet'!$E$11+1,1))</f>
        <v>340.76197766679212</v>
      </c>
      <c r="BJ62" s="59">
        <f t="shared" si="38"/>
        <v>199.70700738826872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7.6</v>
      </c>
      <c r="BY62" s="12">
        <f>IF('Données projet'!$A$114&gt;35,BY61+BX62-CG61,IF(A62&lt;'Données projet'!$A$114,$BV$205^A62,IF(A62='Données projet'!$A$114,'Données projet'!$B$114,BY61+BX62-CG61)))</f>
        <v>206.39999999999995</v>
      </c>
      <c r="BZ62" s="13">
        <f>BY62*VLOOKUP('Données projet'!$B$12,Paramètres!$A$1:$I$89,3,0)*VLOOKUP('Données projet'!$B$12,Paramètres!$A$1:$I$89,5,0)</f>
        <v>222.16895999999991</v>
      </c>
      <c r="CA62" s="13">
        <f t="shared" si="39"/>
        <v>54.586028956213639</v>
      </c>
      <c r="CB62" s="20">
        <f t="shared" si="10"/>
        <v>482.01493909873858</v>
      </c>
      <c r="CC62" s="59">
        <f t="shared" si="11"/>
        <v>775.34827243207189</v>
      </c>
      <c r="CD62" s="59">
        <f ca="1">AVERAGE(OFFSET($CC$3,0,0,'Données projet'!$E$12+1,1))-AVERAGE(OFFSET($H$3,0,0,'Données projet'!$E$12+1,1))</f>
        <v>354.06521046071936</v>
      </c>
      <c r="CE62" s="59">
        <f t="shared" si="40"/>
        <v>206.22956332364367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214</v>
      </c>
      <c r="L63" s="12">
        <f>VLOOKUP(A63,'Données projet'!$A$35:$I$55,9,0)</f>
        <v>7.6</v>
      </c>
      <c r="M63" s="12">
        <f t="array" ref="M63">INDEX(L:L,MIN(IF(ISNUMBER(L63:L259),ROW(L63:L259),"")))</f>
        <v>7.6</v>
      </c>
      <c r="N63" s="13">
        <f>IF('Données projet'!$A$36&gt;35,N62+M63-V62,IF(A63&lt;'Données projet'!$A$36,$K$205^A63,IF(A63='Données projet'!$A$36,'Données projet'!$B$36,N62+M63-V62)))</f>
        <v>213.99999999999994</v>
      </c>
      <c r="O63" s="13">
        <f>N63*VLOOKUP('Données projet'!$B$9,Paramètres!$A$1:$I$89,3,0)*VLOOKUP('Données projet'!$B$9,Paramètres!$A$1:$I$89,5,0)</f>
        <v>193.62719999999996</v>
      </c>
      <c r="P63" s="13">
        <f t="shared" si="33"/>
        <v>48.340990547231193</v>
      </c>
      <c r="Q63" s="20">
        <f t="shared" si="53"/>
        <v>421.42793186976087</v>
      </c>
      <c r="R63" s="59">
        <f t="shared" si="0"/>
        <v>714.76126520309413</v>
      </c>
      <c r="S63" s="59">
        <f ca="1">AVERAGE(OFFSET($R$3,0,0,'Données projet'!$E$9+1,1))-AVERAGE(OFFSET($H$3,0,0,'Données projet'!$E$9+1,1))</f>
        <v>280.79223530986889</v>
      </c>
      <c r="T63" s="59">
        <f t="shared" si="34"/>
        <v>170.29932835468685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213.99999999999994</v>
      </c>
      <c r="AJ63" s="13">
        <f>AI63*VLOOKUP('Données projet'!$B$10,Paramètres!$A$1:$I$89,3,0)*VLOOKUP('Données projet'!$B$10,Paramètres!$A$1:$I$89,5,0)</f>
        <v>216.99599999999995</v>
      </c>
      <c r="AK63" s="13">
        <f t="shared" si="35"/>
        <v>53.461459647386867</v>
      </c>
      <c r="AL63" s="20">
        <f t="shared" si="4"/>
        <v>471.04674221919873</v>
      </c>
      <c r="AM63" s="59">
        <f t="shared" si="5"/>
        <v>764.38007555253205</v>
      </c>
      <c r="AN63" s="59">
        <f ca="1">AVERAGE(OFFSET($AM$3,0,0,'Données projet'!$E$10+1,1))-AVERAGE(OFFSET($H$3,0,0,'Données projet'!$E$10+1,1))</f>
        <v>327.4505861600158</v>
      </c>
      <c r="AO63" s="59">
        <f t="shared" si="36"/>
        <v>193.18009444354595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214</v>
      </c>
      <c r="BB63" s="12">
        <f>VLOOKUP(A63,'Données projet'!$A$87:$I$107,9,0)</f>
        <v>7.6</v>
      </c>
      <c r="BC63" s="12">
        <f t="array" ref="BC63">INDEX(BB:BB,MIN(IF(ISNUMBER(BB63:BB259),ROW(BB63:BB259),"")))</f>
        <v>7.6</v>
      </c>
      <c r="BD63" s="12">
        <f>IF('Données projet'!$A$88&gt;35,BD62+BC63-BL62,IF(A63&lt;'Données projet'!$A$88,$BA$205^A63,IF(A63='Données projet'!$A$88,'Données projet'!$B$88,BD62+BC63-BL62)))</f>
        <v>213.99999999999994</v>
      </c>
      <c r="BE63" s="13">
        <f>BD63*VLOOKUP('Données projet'!$B$11,Paramètres!$A$1:$I$89,3,0)*VLOOKUP('Données projet'!$B$11,Paramètres!$A$1:$I$89,5,0)</f>
        <v>223.67279999999997</v>
      </c>
      <c r="BF63" s="13">
        <f t="shared" si="37"/>
        <v>54.912379818238797</v>
      </c>
      <c r="BG63" s="20">
        <f t="shared" si="7"/>
        <v>485.2025215167659</v>
      </c>
      <c r="BH63" s="59">
        <f t="shared" si="8"/>
        <v>778.53585485009921</v>
      </c>
      <c r="BI63" s="59">
        <f ca="1">AVERAGE(OFFSET($BH$3,0,0,'Données projet'!$E$11+1,1))-AVERAGE(OFFSET($H$3,0,0,'Données projet'!$E$11+1,1))</f>
        <v>340.76197766679212</v>
      </c>
      <c r="BJ63" s="59">
        <f t="shared" si="38"/>
        <v>199.70700738826872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214</v>
      </c>
      <c r="BW63" s="12">
        <f>VLOOKUP(A63,'Données projet'!$A$113:$I$133,9,0)</f>
        <v>7.6</v>
      </c>
      <c r="BX63" s="12">
        <f t="array" ref="BX63">INDEX(BW:BW,MIN(IF(ISNUMBER(BW63:BW259),ROW(BW63:BW259),"")))</f>
        <v>7.6</v>
      </c>
      <c r="BY63" s="12">
        <f>IF('Données projet'!$A$114&gt;35,BY62+BX63-CG62,IF(A63&lt;'Données projet'!$A$114,$BV$205^A63,IF(A63='Données projet'!$A$114,'Données projet'!$B$114,BY62+BX63-CG62)))</f>
        <v>213.99999999999994</v>
      </c>
      <c r="BZ63" s="13">
        <f>BY63*VLOOKUP('Données projet'!$B$12,Paramètres!$A$1:$I$89,3,0)*VLOOKUP('Données projet'!$B$12,Paramètres!$A$1:$I$89,5,0)</f>
        <v>230.34959999999992</v>
      </c>
      <c r="CA63" s="13">
        <f t="shared" si="39"/>
        <v>56.35826654142631</v>
      </c>
      <c r="CB63" s="20">
        <f t="shared" si="10"/>
        <v>499.34953422631742</v>
      </c>
      <c r="CC63" s="59">
        <f t="shared" si="11"/>
        <v>792.68286755965073</v>
      </c>
      <c r="CD63" s="59">
        <f ca="1">AVERAGE(OFFSET($CC$3,0,0,'Données projet'!$E$12+1,1))-AVERAGE(OFFSET($H$3,0,0,'Données projet'!$E$12+1,1))</f>
        <v>354.06521046071936</v>
      </c>
      <c r="CE63" s="59">
        <f t="shared" si="40"/>
        <v>206.22956332364367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7.2</v>
      </c>
      <c r="N64" s="13">
        <f>IF('Données projet'!$A$36&gt;35,N63+M64-V63,IF(A64&lt;'Données projet'!$A$36,$K$205^A64,IF(A64='Données projet'!$A$36,'Données projet'!$B$36,N63+M64-V63)))</f>
        <v>221.19999999999993</v>
      </c>
      <c r="O64" s="13">
        <f>N64*VLOOKUP('Données projet'!$B$9,Paramètres!$A$1:$I$89,3,0)*VLOOKUP('Données projet'!$B$9,Paramètres!$A$1:$I$89,5,0)</f>
        <v>200.14175999999995</v>
      </c>
      <c r="P64" s="13">
        <f t="shared" si="33"/>
        <v>49.775320997880847</v>
      </c>
      <c r="Q64" s="20">
        <f t="shared" si="53"/>
        <v>435.27224940464231</v>
      </c>
      <c r="R64" s="59">
        <f t="shared" si="0"/>
        <v>728.60558273797562</v>
      </c>
      <c r="S64" s="59">
        <f ca="1">AVERAGE(OFFSET($R$3,0,0,'Données projet'!$E$9+1,1))-AVERAGE(OFFSET($H$3,0,0,'Données projet'!$E$9+1,1))</f>
        <v>280.79223530986889</v>
      </c>
      <c r="T64" s="59">
        <f t="shared" si="34"/>
        <v>170.29932835468685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221.19999999999993</v>
      </c>
      <c r="AJ64" s="13">
        <f>AI64*VLOOKUP('Données projet'!$B$10,Paramètres!$A$1:$I$89,3,0)*VLOOKUP('Données projet'!$B$10,Paramètres!$A$1:$I$89,5,0)</f>
        <v>224.29679999999996</v>
      </c>
      <c r="AK64" s="13">
        <f t="shared" si="35"/>
        <v>55.047720057866165</v>
      </c>
      <c r="AL64" s="20">
        <f t="shared" si="4"/>
        <v>486.52503910078349</v>
      </c>
      <c r="AM64" s="59">
        <f t="shared" si="5"/>
        <v>779.85837243411675</v>
      </c>
      <c r="AN64" s="59">
        <f ca="1">AVERAGE(OFFSET($AM$3,0,0,'Données projet'!$E$10+1,1))-AVERAGE(OFFSET($H$3,0,0,'Données projet'!$E$10+1,1))</f>
        <v>327.4505861600158</v>
      </c>
      <c r="AO64" s="59">
        <f t="shared" si="36"/>
        <v>193.18009444354595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7.2</v>
      </c>
      <c r="BD64" s="12">
        <f>IF('Données projet'!$A$88&gt;35,BD63+BC64-BL63,IF(A64&lt;'Données projet'!$A$88,$BA$205^A64,IF(A64='Données projet'!$A$88,'Données projet'!$B$88,BD63+BC64-BL63)))</f>
        <v>221.19999999999993</v>
      </c>
      <c r="BE64" s="13">
        <f>BD64*VLOOKUP('Données projet'!$B$11,Paramètres!$A$1:$I$89,3,0)*VLOOKUP('Données projet'!$B$11,Paramètres!$A$1:$I$89,5,0)</f>
        <v>231.19823999999994</v>
      </c>
      <c r="BF64" s="13">
        <f t="shared" si="37"/>
        <v>56.541690628781396</v>
      </c>
      <c r="BG64" s="20">
        <f t="shared" si="7"/>
        <v>501.14704584512748</v>
      </c>
      <c r="BH64" s="59">
        <f t="shared" si="8"/>
        <v>794.48037917846079</v>
      </c>
      <c r="BI64" s="59">
        <f ca="1">AVERAGE(OFFSET($BH$3,0,0,'Données projet'!$E$11+1,1))-AVERAGE(OFFSET($H$3,0,0,'Données projet'!$E$11+1,1))</f>
        <v>340.76197766679212</v>
      </c>
      <c r="BJ64" s="59">
        <f t="shared" si="38"/>
        <v>199.70700738826872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7.2</v>
      </c>
      <c r="BY64" s="12">
        <f>IF('Données projet'!$A$114&gt;35,BY63+BX64-CG63,IF(A64&lt;'Données projet'!$A$114,$BV$205^A64,IF(A64='Données projet'!$A$114,'Données projet'!$B$114,BY63+BX64-CG63)))</f>
        <v>221.19999999999993</v>
      </c>
      <c r="BZ64" s="13">
        <f>BY64*VLOOKUP('Données projet'!$B$12,Paramètres!$A$1:$I$89,3,0)*VLOOKUP('Données projet'!$B$12,Paramètres!$A$1:$I$89,5,0)</f>
        <v>238.09967999999989</v>
      </c>
      <c r="CA64" s="13">
        <f t="shared" si="39"/>
        <v>58.030478404094161</v>
      </c>
      <c r="CB64" s="20">
        <f t="shared" si="10"/>
        <v>515.7600258871305</v>
      </c>
      <c r="CC64" s="59">
        <f t="shared" si="11"/>
        <v>809.09335922046375</v>
      </c>
      <c r="CD64" s="59">
        <f ca="1">AVERAGE(OFFSET($CC$3,0,0,'Données projet'!$E$12+1,1))-AVERAGE(OFFSET($H$3,0,0,'Données projet'!$E$12+1,1))</f>
        <v>354.06521046071936</v>
      </c>
      <c r="CE64" s="59">
        <f t="shared" si="40"/>
        <v>206.22956332364367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7.2</v>
      </c>
      <c r="N65" s="13">
        <f>IF('Données projet'!$A$36&gt;35,N64+M65-V64,IF(A65&lt;'Données projet'!$A$36,$K$205^A65,IF(A65='Données projet'!$A$36,'Données projet'!$B$36,N64+M65-V64)))</f>
        <v>228.39999999999992</v>
      </c>
      <c r="O65" s="13">
        <f>N65*VLOOKUP('Données projet'!$B$9,Paramètres!$A$1:$I$89,3,0)*VLOOKUP('Données projet'!$B$9,Paramètres!$A$1:$I$89,5,0)</f>
        <v>206.65631999999994</v>
      </c>
      <c r="P65" s="13">
        <f t="shared" si="33"/>
        <v>51.20422634371338</v>
      </c>
      <c r="Q65" s="20">
        <f t="shared" si="53"/>
        <v>449.10711821530072</v>
      </c>
      <c r="R65" s="59">
        <f t="shared" si="0"/>
        <v>742.44045154863397</v>
      </c>
      <c r="S65" s="59">
        <f ca="1">AVERAGE(OFFSET($R$3,0,0,'Données projet'!$E$9+1,1))-AVERAGE(OFFSET($H$3,0,0,'Données projet'!$E$9+1,1))</f>
        <v>280.79223530986889</v>
      </c>
      <c r="T65" s="59">
        <f t="shared" si="34"/>
        <v>170.29932835468685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228.39999999999992</v>
      </c>
      <c r="AJ65" s="13">
        <f>AI65*VLOOKUP('Données projet'!$B$10,Paramètres!$A$1:$I$89,3,0)*VLOOKUP('Données projet'!$B$10,Paramètres!$A$1:$I$89,5,0)</f>
        <v>231.59759999999994</v>
      </c>
      <c r="AK65" s="13">
        <f t="shared" si="35"/>
        <v>56.627980714948151</v>
      </c>
      <c r="AL65" s="20">
        <f t="shared" si="4"/>
        <v>501.99288641186786</v>
      </c>
      <c r="AM65" s="59">
        <f t="shared" si="5"/>
        <v>795.32621974520112</v>
      </c>
      <c r="AN65" s="59">
        <f ca="1">AVERAGE(OFFSET($AM$3,0,0,'Données projet'!$E$10+1,1))-AVERAGE(OFFSET($H$3,0,0,'Données projet'!$E$10+1,1))</f>
        <v>327.4505861600158</v>
      </c>
      <c r="AO65" s="59">
        <f t="shared" si="36"/>
        <v>193.18009444354595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7.2</v>
      </c>
      <c r="BD65" s="12">
        <f>IF('Données projet'!$A$88&gt;35,BD64+BC65-BL64,IF(A65&lt;'Données projet'!$A$88,$BA$205^A65,IF(A65='Données projet'!$A$88,'Données projet'!$B$88,BD64+BC65-BL64)))</f>
        <v>228.39999999999992</v>
      </c>
      <c r="BE65" s="13">
        <f>BD65*VLOOKUP('Données projet'!$B$11,Paramètres!$A$1:$I$89,3,0)*VLOOKUP('Données projet'!$B$11,Paramètres!$A$1:$I$89,5,0)</f>
        <v>238.72367999999994</v>
      </c>
      <c r="BF65" s="13">
        <f t="shared" si="37"/>
        <v>58.164838855295393</v>
      </c>
      <c r="BG65" s="20">
        <f t="shared" si="7"/>
        <v>517.08083700630607</v>
      </c>
      <c r="BH65" s="59">
        <f t="shared" si="8"/>
        <v>810.41417033963944</v>
      </c>
      <c r="BI65" s="59">
        <f ca="1">AVERAGE(OFFSET($BH$3,0,0,'Données projet'!$E$11+1,1))-AVERAGE(OFFSET($H$3,0,0,'Données projet'!$E$11+1,1))</f>
        <v>340.76197766679212</v>
      </c>
      <c r="BJ65" s="59">
        <f t="shared" si="38"/>
        <v>199.70700738826872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7.2</v>
      </c>
      <c r="BY65" s="12">
        <f>IF('Données projet'!$A$114&gt;35,BY64+BX65-CG64,IF(A65&lt;'Données projet'!$A$114,$BV$205^A65,IF(A65='Données projet'!$A$114,'Données projet'!$B$114,BY64+BX65-CG64)))</f>
        <v>228.39999999999992</v>
      </c>
      <c r="BZ65" s="13">
        <f>BY65*VLOOKUP('Données projet'!$B$12,Paramètres!$A$1:$I$89,3,0)*VLOOKUP('Données projet'!$B$12,Paramètres!$A$1:$I$89,5,0)</f>
        <v>245.84975999999992</v>
      </c>
      <c r="CA65" s="13">
        <f t="shared" si="39"/>
        <v>59.696365416984804</v>
      </c>
      <c r="CB65" s="20">
        <f t="shared" si="10"/>
        <v>532.15950176791512</v>
      </c>
      <c r="CC65" s="59">
        <f t="shared" si="11"/>
        <v>825.49283510124837</v>
      </c>
      <c r="CD65" s="59">
        <f ca="1">AVERAGE(OFFSET($CC$3,0,0,'Données projet'!$E$12+1,1))-AVERAGE(OFFSET($H$3,0,0,'Données projet'!$E$12+1,1))</f>
        <v>354.06521046071936</v>
      </c>
      <c r="CE65" s="59">
        <f t="shared" si="40"/>
        <v>206.22956332364367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7.2</v>
      </c>
      <c r="N66" s="13">
        <f>IF('Données projet'!$A$36&gt;35,N65+M66-V65,IF(A66&lt;'Données projet'!$A$36,$K$205^A66,IF(A66='Données projet'!$A$36,'Données projet'!$B$36,N65+M66-V65)))</f>
        <v>235.59999999999991</v>
      </c>
      <c r="O66" s="13">
        <f>N66*VLOOKUP('Données projet'!$B$9,Paramètres!$A$1:$I$89,3,0)*VLOOKUP('Données projet'!$B$9,Paramètres!$A$1:$I$89,5,0)</f>
        <v>213.17087999999993</v>
      </c>
      <c r="P66" s="13">
        <f t="shared" si="33"/>
        <v>52.627897224631596</v>
      </c>
      <c r="Q66" s="20">
        <f t="shared" si="53"/>
        <v>462.93287033289988</v>
      </c>
      <c r="R66" s="59">
        <f t="shared" si="0"/>
        <v>756.2662036662332</v>
      </c>
      <c r="S66" s="59">
        <f ca="1">AVERAGE(OFFSET($R$3,0,0,'Données projet'!$E$9+1,1))-AVERAGE(OFFSET($H$3,0,0,'Données projet'!$E$9+1,1))</f>
        <v>280.79223530986889</v>
      </c>
      <c r="T66" s="59">
        <f t="shared" si="34"/>
        <v>170.29932835468685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235.59999999999991</v>
      </c>
      <c r="AJ66" s="13">
        <f>AI66*VLOOKUP('Données projet'!$B$10,Paramètres!$A$1:$I$89,3,0)*VLOOKUP('Données projet'!$B$10,Paramètres!$A$1:$I$89,5,0)</f>
        <v>238.89839999999995</v>
      </c>
      <c r="AK66" s="13">
        <f t="shared" si="35"/>
        <v>58.202452451868851</v>
      </c>
      <c r="AL66" s="20">
        <f t="shared" si="4"/>
        <v>517.45065135367156</v>
      </c>
      <c r="AM66" s="59">
        <f t="shared" si="5"/>
        <v>810.78398468700493</v>
      </c>
      <c r="AN66" s="59">
        <f ca="1">AVERAGE(OFFSET($AM$3,0,0,'Données projet'!$E$10+1,1))-AVERAGE(OFFSET($H$3,0,0,'Données projet'!$E$10+1,1))</f>
        <v>327.4505861600158</v>
      </c>
      <c r="AO66" s="59">
        <f t="shared" si="36"/>
        <v>193.18009444354595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7.2</v>
      </c>
      <c r="BD66" s="12">
        <f>IF('Données projet'!$A$88&gt;35,BD65+BC66-BL65,IF(A66&lt;'Données projet'!$A$88,$BA$205^A66,IF(A66='Données projet'!$A$88,'Données projet'!$B$88,BD65+BC66-BL65)))</f>
        <v>235.59999999999991</v>
      </c>
      <c r="BE66" s="13">
        <f>BD66*VLOOKUP('Données projet'!$B$11,Paramètres!$A$1:$I$89,3,0)*VLOOKUP('Données projet'!$B$11,Paramètres!$A$1:$I$89,5,0)</f>
        <v>246.24911999999992</v>
      </c>
      <c r="BF66" s="13">
        <f t="shared" si="37"/>
        <v>59.782041052936805</v>
      </c>
      <c r="BG66" s="20">
        <f t="shared" si="7"/>
        <v>533.00427216719811</v>
      </c>
      <c r="BH66" s="59">
        <f t="shared" si="8"/>
        <v>826.33760550053148</v>
      </c>
      <c r="BI66" s="59">
        <f ca="1">AVERAGE(OFFSET($BH$3,0,0,'Données projet'!$E$11+1,1))-AVERAGE(OFFSET($H$3,0,0,'Données projet'!$E$11+1,1))</f>
        <v>340.76197766679212</v>
      </c>
      <c r="BJ66" s="59">
        <f t="shared" si="38"/>
        <v>199.70700738826872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7.2</v>
      </c>
      <c r="BY66" s="12">
        <f>IF('Données projet'!$A$114&gt;35,BY65+BX66-CG65,IF(A66&lt;'Données projet'!$A$114,$BV$205^A66,IF(A66='Données projet'!$A$114,'Données projet'!$B$114,BY65+BX66-CG65)))</f>
        <v>235.59999999999991</v>
      </c>
      <c r="BZ66" s="13">
        <f>BY66*VLOOKUP('Données projet'!$B$12,Paramètres!$A$1:$I$89,3,0)*VLOOKUP('Données projet'!$B$12,Paramètres!$A$1:$I$89,5,0)</f>
        <v>253.59983999999992</v>
      </c>
      <c r="CA66" s="13">
        <f t="shared" si="39"/>
        <v>61.356149837323883</v>
      </c>
      <c r="CB66" s="20">
        <f t="shared" si="10"/>
        <v>548.54834896667228</v>
      </c>
      <c r="CC66" s="59">
        <f t="shared" si="11"/>
        <v>841.88168230000565</v>
      </c>
      <c r="CD66" s="59">
        <f ca="1">AVERAGE(OFFSET($CC$3,0,0,'Données projet'!$E$12+1,1))-AVERAGE(OFFSET($H$3,0,0,'Données projet'!$E$12+1,1))</f>
        <v>354.06521046071936</v>
      </c>
      <c r="CE66" s="59">
        <f t="shared" si="40"/>
        <v>206.22956332364367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7.2</v>
      </c>
      <c r="N67" s="13">
        <f>IF('Données projet'!$A$36&gt;35,N66+M67-V66,IF(A67&lt;'Données projet'!$A$36,$K$205^A67,IF(A67='Données projet'!$A$36,'Données projet'!$B$36,N66+M67-V66)))</f>
        <v>242.7999999999999</v>
      </c>
      <c r="O67" s="13">
        <f>N67*VLOOKUP('Données projet'!$B$9,Paramètres!$A$1:$I$89,3,0)*VLOOKUP('Données projet'!$B$9,Paramètres!$A$1:$I$89,5,0)</f>
        <v>219.68543999999989</v>
      </c>
      <c r="P67" s="13">
        <f t="shared" si="33"/>
        <v>54.046511966469559</v>
      </c>
      <c r="Q67" s="20">
        <f t="shared" ref="Q67:Q98" si="54">(O67+P67)*0.475*44/12</f>
        <v>476.74981634160099</v>
      </c>
      <c r="R67" s="59">
        <f t="shared" ref="R67:R130" si="55">Q67+(I67+J67)*44/12</f>
        <v>770.08314967493425</v>
      </c>
      <c r="S67" s="59">
        <f ca="1">AVERAGE(OFFSET($R$3,0,0,'Données projet'!$E$9+1,1))-AVERAGE(OFFSET($H$3,0,0,'Données projet'!$E$9+1,1))</f>
        <v>280.79223530986889</v>
      </c>
      <c r="T67" s="59">
        <f t="shared" si="34"/>
        <v>170.29932835468685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242.7999999999999</v>
      </c>
      <c r="AJ67" s="13">
        <f>AI67*VLOOKUP('Données projet'!$B$10,Paramètres!$A$1:$I$89,3,0)*VLOOKUP('Données projet'!$B$10,Paramètres!$A$1:$I$89,5,0)</f>
        <v>246.19919999999991</v>
      </c>
      <c r="AK67" s="13">
        <f t="shared" si="35"/>
        <v>59.77133248344078</v>
      </c>
      <c r="AL67" s="20">
        <f t="shared" si="4"/>
        <v>532.89867740865918</v>
      </c>
      <c r="AM67" s="59">
        <f t="shared" si="5"/>
        <v>826.23201074199255</v>
      </c>
      <c r="AN67" s="59">
        <f ca="1">AVERAGE(OFFSET($AM$3,0,0,'Données projet'!$E$10+1,1))-AVERAGE(OFFSET($H$3,0,0,'Données projet'!$E$10+1,1))</f>
        <v>327.4505861600158</v>
      </c>
      <c r="AO67" s="59">
        <f t="shared" si="36"/>
        <v>193.18009444354595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7.2</v>
      </c>
      <c r="BD67" s="12">
        <f>IF('Données projet'!$A$88&gt;35,BD66+BC67-BL66,IF(A67&lt;'Données projet'!$A$88,$BA$205^A67,IF(A67='Données projet'!$A$88,'Données projet'!$B$88,BD66+BC67-BL66)))</f>
        <v>242.7999999999999</v>
      </c>
      <c r="BE67" s="13">
        <f>BD67*VLOOKUP('Données projet'!$B$11,Paramètres!$A$1:$I$89,3,0)*VLOOKUP('Données projet'!$B$11,Paramètres!$A$1:$I$89,5,0)</f>
        <v>253.77455999999989</v>
      </c>
      <c r="BF67" s="13">
        <f t="shared" si="37"/>
        <v>61.393499788840195</v>
      </c>
      <c r="BG67" s="20">
        <f t="shared" si="7"/>
        <v>548.9177041322298</v>
      </c>
      <c r="BH67" s="59">
        <f t="shared" si="8"/>
        <v>842.25103746556306</v>
      </c>
      <c r="BI67" s="59">
        <f ca="1">AVERAGE(OFFSET($BH$3,0,0,'Données projet'!$E$11+1,1))-AVERAGE(OFFSET($H$3,0,0,'Données projet'!$E$11+1,1))</f>
        <v>340.76197766679212</v>
      </c>
      <c r="BJ67" s="59">
        <f t="shared" si="38"/>
        <v>199.70700738826872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7.2</v>
      </c>
      <c r="BY67" s="12">
        <f>IF('Données projet'!$A$114&gt;35,BY66+BX67-CG66,IF(A67&lt;'Données projet'!$A$114,$BV$205^A67,IF(A67='Données projet'!$A$114,'Données projet'!$B$114,BY66+BX67-CG66)))</f>
        <v>242.7999999999999</v>
      </c>
      <c r="BZ67" s="13">
        <f>BY67*VLOOKUP('Données projet'!$B$12,Paramètres!$A$1:$I$89,3,0)*VLOOKUP('Données projet'!$B$12,Paramètres!$A$1:$I$89,5,0)</f>
        <v>261.34991999999988</v>
      </c>
      <c r="CA67" s="13">
        <f t="shared" si="39"/>
        <v>63.010039566000117</v>
      </c>
      <c r="CB67" s="20">
        <f t="shared" si="10"/>
        <v>564.92692957744998</v>
      </c>
      <c r="CC67" s="59">
        <f t="shared" si="11"/>
        <v>858.26026291078324</v>
      </c>
      <c r="CD67" s="59">
        <f ca="1">AVERAGE(OFFSET($CC$3,0,0,'Données projet'!$E$12+1,1))-AVERAGE(OFFSET($H$3,0,0,'Données projet'!$E$12+1,1))</f>
        <v>354.06521046071936</v>
      </c>
      <c r="CE67" s="59">
        <f t="shared" si="40"/>
        <v>206.22956332364367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250</v>
      </c>
      <c r="L68" s="12">
        <f>VLOOKUP(A68,'Données projet'!$A$35:$I$55,9,0)</f>
        <v>7.2</v>
      </c>
      <c r="M68" s="12">
        <f t="array" ref="M68">INDEX(L:L,MIN(IF(ISNUMBER(L68:L264),ROW(L68:L264),"")))</f>
        <v>7.2</v>
      </c>
      <c r="N68" s="13">
        <f>IF('Données projet'!$A$36&gt;35,N67+M68-V67,IF(A68&lt;'Données projet'!$A$36,$K$205^A68,IF(A68='Données projet'!$A$36,'Données projet'!$B$36,N67+M68-V67)))</f>
        <v>249.99999999999989</v>
      </c>
      <c r="O68" s="13">
        <f>N68*VLOOKUP('Données projet'!$B$9,Paramètres!$A$1:$I$89,3,0)*VLOOKUP('Données projet'!$B$9,Paramètres!$A$1:$I$89,5,0)</f>
        <v>226.19999999999987</v>
      </c>
      <c r="P68" s="13">
        <f t="shared" si="33"/>
        <v>55.460237717698107</v>
      </c>
      <c r="Q68" s="20">
        <f t="shared" si="54"/>
        <v>490.55824735832402</v>
      </c>
      <c r="R68" s="59">
        <f t="shared" si="55"/>
        <v>783.89158069165728</v>
      </c>
      <c r="S68" s="59">
        <f ca="1">AVERAGE(OFFSET($R$3,0,0,'Données projet'!$E$9+1,1))-AVERAGE(OFFSET($H$3,0,0,'Données projet'!$E$9+1,1))</f>
        <v>280.79223530986889</v>
      </c>
      <c r="T68" s="59">
        <f t="shared" si="34"/>
        <v>170.29932835468685</v>
      </c>
      <c r="U68" s="15">
        <f>IF(ISNA(VLOOKUP(A68,'Données projet'!$A$35:$I$55,3,0)),0,VLOOKUP(A68,'Données projet'!$A$35:$I$55,3,0))</f>
        <v>5</v>
      </c>
      <c r="V68" s="15">
        <f>IF(ISNA(VLOOKUP(A68,'Données projet'!$A$35:$I$55,4,0)),0,VLOOKUP(A68,'Données projet'!$A$35:$I$55,4,0))</f>
        <v>42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250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249.99999999999989</v>
      </c>
      <c r="AJ68" s="13">
        <f>AI68*VLOOKUP('Données projet'!$B$10,Paramètres!$A$1:$I$89,3,0)*VLOOKUP('Données projet'!$B$10,Paramètres!$A$1:$I$89,5,0)</f>
        <v>253.49999999999991</v>
      </c>
      <c r="AK68" s="13">
        <f t="shared" si="35"/>
        <v>61.334805663162498</v>
      </c>
      <c r="AL68" s="20">
        <f t="shared" ref="AL68:AL131" si="58">(AJ68+AK68)*0.475*44/12</f>
        <v>548.33728653000776</v>
      </c>
      <c r="AM68" s="59">
        <f t="shared" ref="AM68:AM131" si="59">AL68+(AD68+AE68)*44/12</f>
        <v>841.67061986334102</v>
      </c>
      <c r="AN68" s="59">
        <f ca="1">AVERAGE(OFFSET($AM$3,0,0,'Données projet'!$E$10+1,1))-AVERAGE(OFFSET($H$3,0,0,'Données projet'!$E$10+1,1))</f>
        <v>327.4505861600158</v>
      </c>
      <c r="AO68" s="59">
        <f t="shared" si="36"/>
        <v>193.18009444354595</v>
      </c>
      <c r="AP68" s="15">
        <f>IF(ISNA(VLOOKUP(A68,'Données projet'!$A$61:$I$81,3,0)),0,VLOOKUP(A68,'Données projet'!$A$61:$I$81,3,0))</f>
        <v>5</v>
      </c>
      <c r="AQ68" s="15">
        <f>IF(ISNA(VLOOKUP(A68,'Données projet'!$A$61:$I$81,4,0)),0,VLOOKUP(A68,'Données projet'!$A$61:$I$81,4,0))</f>
        <v>42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250</v>
      </c>
      <c r="BB68" s="12">
        <f>VLOOKUP(A68,'Données projet'!$A$87:$I$107,9,0)</f>
        <v>7.2</v>
      </c>
      <c r="BC68" s="12">
        <f t="array" ref="BC68">INDEX(BB:BB,MIN(IF(ISNUMBER(BB68:BB264),ROW(BB68:BB264),"")))</f>
        <v>7.2</v>
      </c>
      <c r="BD68" s="12">
        <f>IF('Données projet'!$A$88&gt;35,BD67+BC68-BL67,IF(A68&lt;'Données projet'!$A$88,$BA$205^A68,IF(A68='Données projet'!$A$88,'Données projet'!$B$88,BD67+BC68-BL67)))</f>
        <v>249.99999999999989</v>
      </c>
      <c r="BE68" s="13">
        <f>BD68*VLOOKUP('Données projet'!$B$11,Paramètres!$A$1:$I$89,3,0)*VLOOKUP('Données projet'!$B$11,Paramètres!$A$1:$I$89,5,0)</f>
        <v>261.2999999999999</v>
      </c>
      <c r="BF68" s="13">
        <f t="shared" si="37"/>
        <v>62.999404933345687</v>
      </c>
      <c r="BG68" s="20">
        <f t="shared" ref="BG68:BG131" si="61">(BE68+BF68)*0.475*44/12</f>
        <v>564.82146359224362</v>
      </c>
      <c r="BH68" s="59">
        <f t="shared" ref="BH68:BH131" si="62">BG68+(AY68+AZ68)*44/12</f>
        <v>858.15479692557687</v>
      </c>
      <c r="BI68" s="59">
        <f ca="1">AVERAGE(OFFSET($BH$3,0,0,'Données projet'!$E$11+1,1))-AVERAGE(OFFSET($H$3,0,0,'Données projet'!$E$11+1,1))</f>
        <v>340.76197766679212</v>
      </c>
      <c r="BJ68" s="59">
        <f t="shared" si="38"/>
        <v>199.70700738826872</v>
      </c>
      <c r="BK68" s="15">
        <f>IF(ISNA(VLOOKUP(A68,'Données projet'!$A$87:$I$107,3,0)),0,VLOOKUP(A68,'Données projet'!$A$87:$I$107,3,0))</f>
        <v>5</v>
      </c>
      <c r="BL68" s="15">
        <f>IF(ISNA(VLOOKUP(A68,'Données projet'!$A$87:$I$107,4,0)),0,VLOOKUP(A68,'Données projet'!$A$87:$I$107,4,0))</f>
        <v>42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250</v>
      </c>
      <c r="BW68" s="12">
        <f>VLOOKUP(A68,'Données projet'!$A$113:$I$133,9,0)</f>
        <v>7.2</v>
      </c>
      <c r="BX68" s="12">
        <f t="array" ref="BX68">INDEX(BW:BW,MIN(IF(ISNUMBER(BW68:BW264),ROW(BW68:BW264),"")))</f>
        <v>7.2</v>
      </c>
      <c r="BY68" s="12">
        <f>IF('Données projet'!$A$114&gt;35,BY67+BX68-CG67,IF(A68&lt;'Données projet'!$A$114,$BV$205^A68,IF(A68='Données projet'!$A$114,'Données projet'!$B$114,BY67+BX68-CG67)))</f>
        <v>249.99999999999989</v>
      </c>
      <c r="BZ68" s="13">
        <f>BY68*VLOOKUP('Données projet'!$B$12,Paramètres!$A$1:$I$89,3,0)*VLOOKUP('Données projet'!$B$12,Paramètres!$A$1:$I$89,5,0)</f>
        <v>269.09999999999985</v>
      </c>
      <c r="CA68" s="13">
        <f t="shared" si="39"/>
        <v>64.658229472790936</v>
      </c>
      <c r="CB68" s="20">
        <f t="shared" ref="CB68:CB131" si="64">(BZ68+CA68)*0.475*44/12</f>
        <v>581.29558299844393</v>
      </c>
      <c r="CC68" s="59">
        <f t="shared" ref="CC68:CC131" si="65">CB68+(BT68+BU68)*44/12</f>
        <v>874.62891633177719</v>
      </c>
      <c r="CD68" s="59">
        <f ca="1">AVERAGE(OFFSET($CC$3,0,0,'Données projet'!$E$12+1,1))-AVERAGE(OFFSET($H$3,0,0,'Données projet'!$E$12+1,1))</f>
        <v>354.06521046071936</v>
      </c>
      <c r="CE68" s="59">
        <f t="shared" si="40"/>
        <v>206.22956332364367</v>
      </c>
      <c r="CF68" s="15">
        <f>IF(ISNA(VLOOKUP(A68,'Données projet'!$A$113:$I$133,3,0)),0,VLOOKUP(A68,'Données projet'!$A$113:$I$133,3,0))</f>
        <v>5</v>
      </c>
      <c r="CG68" s="15">
        <f>IF(ISNA(VLOOKUP(A68,'Données projet'!$A$113:$I$133,4,0)),0,VLOOKUP(A68,'Données projet'!$A$113:$I$133,4,0))</f>
        <v>42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6.8</v>
      </c>
      <c r="N69" s="13">
        <f>IF('Données projet'!$A$36&gt;35,N68+M69-V68,IF(A69&lt;'Données projet'!$A$36,$K$205^A69,IF(A69='Données projet'!$A$36,'Données projet'!$B$36,N68+M69-V68)))</f>
        <v>214.7999999999999</v>
      </c>
      <c r="O69" s="13">
        <f>N69*VLOOKUP('Données projet'!$B$9,Paramètres!$A$1:$I$89,3,0)*VLOOKUP('Données projet'!$B$9,Paramètres!$A$1:$I$89,5,0)</f>
        <v>194.3510399999999</v>
      </c>
      <c r="P69" s="13">
        <f t="shared" ref="P69:P132" si="87">EXP(-1.0587+0.8836*LN(O69)+0.284)</f>
        <v>48.500634729810116</v>
      </c>
      <c r="Q69" s="20">
        <f t="shared" si="54"/>
        <v>422.96666682108577</v>
      </c>
      <c r="R69" s="59">
        <f t="shared" si="55"/>
        <v>716.30000015441908</v>
      </c>
      <c r="S69" s="59">
        <f ca="1">AVERAGE(OFFSET($R$3,0,0,'Données projet'!$E$9+1,1))-AVERAGE(OFFSET($H$3,0,0,'Données projet'!$E$9+1,1))</f>
        <v>280.79223530986889</v>
      </c>
      <c r="T69" s="59">
        <f t="shared" ref="T69:T132" si="88">$T$3</f>
        <v>170.29932835468685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</v>
      </c>
      <c r="AJ69" s="13">
        <f>AI69*VLOOKUP('Données projet'!$B$10,Paramètres!$A$1:$I$89,3,0)*VLOOKUP('Données projet'!$B$10,Paramètres!$A$1:$I$89,5,0)</f>
        <v>217.80719999999994</v>
      </c>
      <c r="AK69" s="13">
        <f t="shared" ref="AK69:AK132" si="89">EXP(-1.0587+0.8836*LN(AJ69)+0.284)</f>
        <v>53.638013973813976</v>
      </c>
      <c r="AL69" s="20">
        <f t="shared" si="58"/>
        <v>472.76708100439259</v>
      </c>
      <c r="AM69" s="59">
        <f t="shared" si="59"/>
        <v>766.10041433772585</v>
      </c>
      <c r="AN69" s="59">
        <f ca="1">AVERAGE(OFFSET($AM$3,0,0,'Données projet'!$E$10+1,1))-AVERAGE(OFFSET($H$3,0,0,'Données projet'!$E$10+1,1))</f>
        <v>327.4505861600158</v>
      </c>
      <c r="AO69" s="59">
        <f t="shared" ref="AO69:AO132" si="90">$AO$3</f>
        <v>193.18009444354595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</v>
      </c>
      <c r="BD69" s="12">
        <f>IF('Données projet'!$A$88&gt;35,BD68+BC69-BL68,IF(A69&lt;'Données projet'!$A$88,$BA$205^A69,IF(A69='Données projet'!$A$88,'Données projet'!$B$88,BD68+BC69-BL68)))</f>
        <v>214.7999999999999</v>
      </c>
      <c r="BE69" s="13">
        <f>BD69*VLOOKUP('Données projet'!$B$11,Paramètres!$A$1:$I$89,3,0)*VLOOKUP('Données projet'!$B$11,Paramètres!$A$1:$I$89,5,0)</f>
        <v>224.50895999999992</v>
      </c>
      <c r="BF69" s="13">
        <f t="shared" ref="BF69:BF132" si="91">EXP(-1.0587+0.8836*LN(BE69)+0.284)</f>
        <v>55.093725750341399</v>
      </c>
      <c r="BG69" s="20">
        <f t="shared" si="61"/>
        <v>486.97467768184441</v>
      </c>
      <c r="BH69" s="59">
        <f t="shared" si="62"/>
        <v>780.30801101517773</v>
      </c>
      <c r="BI69" s="59">
        <f ca="1">AVERAGE(OFFSET($BH$3,0,0,'Données projet'!$E$11+1,1))-AVERAGE(OFFSET($H$3,0,0,'Données projet'!$E$11+1,1))</f>
        <v>340.76197766679212</v>
      </c>
      <c r="BJ69" s="59">
        <f t="shared" ref="BJ69:BJ132" si="92">$BJ$3</f>
        <v>199.70700738826872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6.8</v>
      </c>
      <c r="BY69" s="12">
        <f>IF('Données projet'!$A$114&gt;35,BY68+BX69-CG68,IF(A69&lt;'Données projet'!$A$114,$BV$205^A69,IF(A69='Données projet'!$A$114,'Données projet'!$B$114,BY68+BX69-CG68)))</f>
        <v>214.7999999999999</v>
      </c>
      <c r="BZ69" s="13">
        <f>BY69*VLOOKUP('Données projet'!$B$12,Paramètres!$A$1:$I$89,3,0)*VLOOKUP('Données projet'!$B$12,Paramètres!$A$1:$I$89,5,0)</f>
        <v>231.21071999999987</v>
      </c>
      <c r="CA69" s="13">
        <f t="shared" ref="CA69:CA132" si="93">EXP(-1.0587+0.8836*LN(BZ69)+0.284)</f>
        <v>56.544387456445222</v>
      </c>
      <c r="CB69" s="20">
        <f t="shared" si="64"/>
        <v>501.17347881997517</v>
      </c>
      <c r="CC69" s="59">
        <f t="shared" si="65"/>
        <v>794.50681215330849</v>
      </c>
      <c r="CD69" s="59">
        <f ca="1">AVERAGE(OFFSET($CC$3,0,0,'Données projet'!$E$12+1,1))-AVERAGE(OFFSET($H$3,0,0,'Données projet'!$E$12+1,1))</f>
        <v>354.06521046071936</v>
      </c>
      <c r="CE69" s="59">
        <f t="shared" ref="CE69:CE132" si="94">$CE$3</f>
        <v>206.22956332364367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6.8</v>
      </c>
      <c r="N70" s="13">
        <f>IF('Données projet'!$A$36&gt;35,N69+M70-V69,IF(A70&lt;'Données projet'!$A$36,$K$205^A70,IF(A70='Données projet'!$A$36,'Données projet'!$B$36,N69+M70-V69)))</f>
        <v>221.59999999999991</v>
      </c>
      <c r="O70" s="13">
        <f>N70*VLOOKUP('Données projet'!$B$9,Paramètres!$A$1:$I$89,3,0)*VLOOKUP('Données projet'!$B$9,Paramètres!$A$1:$I$89,5,0)</f>
        <v>200.50367999999992</v>
      </c>
      <c r="P70" s="13">
        <f t="shared" si="87"/>
        <v>49.854845135229887</v>
      </c>
      <c r="Q70" s="20">
        <f t="shared" si="54"/>
        <v>436.04109794385857</v>
      </c>
      <c r="R70" s="59">
        <f t="shared" si="55"/>
        <v>729.37443127719189</v>
      </c>
      <c r="S70" s="59">
        <f ca="1">AVERAGE(OFFSET($R$3,0,0,'Données projet'!$E$9+1,1))-AVERAGE(OFFSET($H$3,0,0,'Données projet'!$E$9+1,1))</f>
        <v>280.79223530986889</v>
      </c>
      <c r="T70" s="59">
        <f t="shared" si="88"/>
        <v>170.29932835468685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221.59999999999991</v>
      </c>
      <c r="AJ70" s="13">
        <f>AI70*VLOOKUP('Données projet'!$B$10,Paramètres!$A$1:$I$89,3,0)*VLOOKUP('Données projet'!$B$10,Paramètres!$A$1:$I$89,5,0)</f>
        <v>224.7023999999999</v>
      </c>
      <c r="AK70" s="13">
        <f t="shared" si="89"/>
        <v>55.135667706678262</v>
      </c>
      <c r="AL70" s="20">
        <f t="shared" si="58"/>
        <v>487.38463458913111</v>
      </c>
      <c r="AM70" s="59">
        <f t="shared" si="59"/>
        <v>780.71796792246437</v>
      </c>
      <c r="AN70" s="59">
        <f ca="1">AVERAGE(OFFSET($AM$3,0,0,'Données projet'!$E$10+1,1))-AVERAGE(OFFSET($H$3,0,0,'Données projet'!$E$10+1,1))</f>
        <v>327.4505861600158</v>
      </c>
      <c r="AO70" s="59">
        <f t="shared" si="90"/>
        <v>193.18009444354595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</v>
      </c>
      <c r="BD70" s="12">
        <f>IF('Données projet'!$A$88&gt;35,BD69+BC70-BL69,IF(A70&lt;'Données projet'!$A$88,$BA$205^A70,IF(A70='Données projet'!$A$88,'Données projet'!$B$88,BD69+BC70-BL69)))</f>
        <v>221.59999999999991</v>
      </c>
      <c r="BE70" s="13">
        <f>BD70*VLOOKUP('Données projet'!$B$11,Paramètres!$A$1:$I$89,3,0)*VLOOKUP('Données projet'!$B$11,Paramètres!$A$1:$I$89,5,0)</f>
        <v>231.61631999999994</v>
      </c>
      <c r="BF70" s="13">
        <f t="shared" si="91"/>
        <v>56.632025137557321</v>
      </c>
      <c r="BG70" s="20">
        <f t="shared" si="61"/>
        <v>502.03253444791227</v>
      </c>
      <c r="BH70" s="59">
        <f t="shared" si="62"/>
        <v>795.36586778124558</v>
      </c>
      <c r="BI70" s="59">
        <f ca="1">AVERAGE(OFFSET($BH$3,0,0,'Données projet'!$E$11+1,1))-AVERAGE(OFFSET($H$3,0,0,'Données projet'!$E$11+1,1))</f>
        <v>340.76197766679212</v>
      </c>
      <c r="BJ70" s="59">
        <f t="shared" si="92"/>
        <v>199.70700738826872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6.8</v>
      </c>
      <c r="BY70" s="12">
        <f>IF('Données projet'!$A$114&gt;35,BY69+BX70-CG69,IF(A70&lt;'Données projet'!$A$114,$BV$205^A70,IF(A70='Données projet'!$A$114,'Données projet'!$B$114,BY69+BX70-CG69)))</f>
        <v>221.59999999999991</v>
      </c>
      <c r="BZ70" s="13">
        <f>BY70*VLOOKUP('Données projet'!$B$12,Paramètres!$A$1:$I$89,3,0)*VLOOKUP('Données projet'!$B$12,Paramètres!$A$1:$I$89,5,0)</f>
        <v>238.53023999999991</v>
      </c>
      <c r="CA70" s="13">
        <f t="shared" si="93"/>
        <v>58.123191492478547</v>
      </c>
      <c r="CB70" s="20">
        <f t="shared" si="64"/>
        <v>516.67139318273325</v>
      </c>
      <c r="CC70" s="59">
        <f t="shared" si="65"/>
        <v>810.00472651606651</v>
      </c>
      <c r="CD70" s="59">
        <f ca="1">AVERAGE(OFFSET($CC$3,0,0,'Données projet'!$E$12+1,1))-AVERAGE(OFFSET($H$3,0,0,'Données projet'!$E$12+1,1))</f>
        <v>354.06521046071936</v>
      </c>
      <c r="CE70" s="59">
        <f t="shared" si="94"/>
        <v>206.22956332364367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6.8</v>
      </c>
      <c r="N71" s="13">
        <f>IF('Données projet'!$A$36&gt;35,N70+M71-V70,IF(A71&lt;'Données projet'!$A$36,$K$205^A71,IF(A71='Données projet'!$A$36,'Données projet'!$B$36,N70+M71-V70)))</f>
        <v>228.39999999999992</v>
      </c>
      <c r="O71" s="13">
        <f>N71*VLOOKUP('Données projet'!$B$9,Paramètres!$A$1:$I$89,3,0)*VLOOKUP('Données projet'!$B$9,Paramètres!$A$1:$I$89,5,0)</f>
        <v>206.65631999999994</v>
      </c>
      <c r="P71" s="13">
        <f t="shared" si="87"/>
        <v>51.20422634371338</v>
      </c>
      <c r="Q71" s="20">
        <f t="shared" si="54"/>
        <v>449.10711821530072</v>
      </c>
      <c r="R71" s="59">
        <f t="shared" si="55"/>
        <v>742.44045154863397</v>
      </c>
      <c r="S71" s="59">
        <f ca="1">AVERAGE(OFFSET($R$3,0,0,'Données projet'!$E$9+1,1))-AVERAGE(OFFSET($H$3,0,0,'Données projet'!$E$9+1,1))</f>
        <v>280.79223530986889</v>
      </c>
      <c r="T71" s="59">
        <f t="shared" si="88"/>
        <v>170.29932835468685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228.39999999999992</v>
      </c>
      <c r="AJ71" s="13">
        <f>AI71*VLOOKUP('Données projet'!$B$10,Paramètres!$A$1:$I$89,3,0)*VLOOKUP('Données projet'!$B$10,Paramètres!$A$1:$I$89,5,0)</f>
        <v>231.59759999999994</v>
      </c>
      <c r="AK71" s="13">
        <f t="shared" si="89"/>
        <v>56.627980714948151</v>
      </c>
      <c r="AL71" s="20">
        <f t="shared" si="58"/>
        <v>501.99288641186786</v>
      </c>
      <c r="AM71" s="59">
        <f t="shared" si="59"/>
        <v>795.32621974520112</v>
      </c>
      <c r="AN71" s="59">
        <f ca="1">AVERAGE(OFFSET($AM$3,0,0,'Données projet'!$E$10+1,1))-AVERAGE(OFFSET($H$3,0,0,'Données projet'!$E$10+1,1))</f>
        <v>327.4505861600158</v>
      </c>
      <c r="AO71" s="59">
        <f t="shared" si="90"/>
        <v>193.18009444354595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</v>
      </c>
      <c r="BD71" s="12">
        <f>IF('Données projet'!$A$88&gt;35,BD70+BC71-BL70,IF(A71&lt;'Données projet'!$A$88,$BA$205^A71,IF(A71='Données projet'!$A$88,'Données projet'!$B$88,BD70+BC71-BL70)))</f>
        <v>228.39999999999992</v>
      </c>
      <c r="BE71" s="13">
        <f>BD71*VLOOKUP('Données projet'!$B$11,Paramètres!$A$1:$I$89,3,0)*VLOOKUP('Données projet'!$B$11,Paramètres!$A$1:$I$89,5,0)</f>
        <v>238.72367999999994</v>
      </c>
      <c r="BF71" s="13">
        <f t="shared" si="91"/>
        <v>58.164838855295393</v>
      </c>
      <c r="BG71" s="20">
        <f t="shared" si="61"/>
        <v>517.08083700630607</v>
      </c>
      <c r="BH71" s="59">
        <f t="shared" si="62"/>
        <v>810.41417033963944</v>
      </c>
      <c r="BI71" s="59">
        <f ca="1">AVERAGE(OFFSET($BH$3,0,0,'Données projet'!$E$11+1,1))-AVERAGE(OFFSET($H$3,0,0,'Données projet'!$E$11+1,1))</f>
        <v>340.76197766679212</v>
      </c>
      <c r="BJ71" s="59">
        <f t="shared" si="92"/>
        <v>199.70700738826872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6.8</v>
      </c>
      <c r="BY71" s="12">
        <f>IF('Données projet'!$A$114&gt;35,BY70+BX71-CG70,IF(A71&lt;'Données projet'!$A$114,$BV$205^A71,IF(A71='Données projet'!$A$114,'Données projet'!$B$114,BY70+BX71-CG70)))</f>
        <v>228.39999999999992</v>
      </c>
      <c r="BZ71" s="13">
        <f>BY71*VLOOKUP('Données projet'!$B$12,Paramètres!$A$1:$I$89,3,0)*VLOOKUP('Données projet'!$B$12,Paramètres!$A$1:$I$89,5,0)</f>
        <v>245.84975999999992</v>
      </c>
      <c r="CA71" s="13">
        <f t="shared" si="93"/>
        <v>59.696365416984804</v>
      </c>
      <c r="CB71" s="20">
        <f t="shared" si="64"/>
        <v>532.15950176791512</v>
      </c>
      <c r="CC71" s="59">
        <f t="shared" si="65"/>
        <v>825.49283510124837</v>
      </c>
      <c r="CD71" s="59">
        <f ca="1">AVERAGE(OFFSET($CC$3,0,0,'Données projet'!$E$12+1,1))-AVERAGE(OFFSET($H$3,0,0,'Données projet'!$E$12+1,1))</f>
        <v>354.06521046071936</v>
      </c>
      <c r="CE71" s="59">
        <f t="shared" si="94"/>
        <v>206.22956332364367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6.8</v>
      </c>
      <c r="N72" s="13">
        <f>IF('Données projet'!$A$36&gt;35,N71+M72-V71,IF(A72&lt;'Données projet'!$A$36,$K$205^A72,IF(A72='Données projet'!$A$36,'Données projet'!$B$36,N71+M72-V71)))</f>
        <v>235.19999999999993</v>
      </c>
      <c r="O72" s="13">
        <f>N72*VLOOKUP('Données projet'!$B$9,Paramètres!$A$1:$I$89,3,0)*VLOOKUP('Données projet'!$B$9,Paramètres!$A$1:$I$89,5,0)</f>
        <v>212.8089599999999</v>
      </c>
      <c r="P72" s="13">
        <f t="shared" si="87"/>
        <v>52.548938637485847</v>
      </c>
      <c r="Q72" s="20">
        <f t="shared" si="54"/>
        <v>462.16500679362093</v>
      </c>
      <c r="R72" s="59">
        <f t="shared" si="55"/>
        <v>755.49834012695419</v>
      </c>
      <c r="S72" s="59">
        <f ca="1">AVERAGE(OFFSET($R$3,0,0,'Données projet'!$E$9+1,1))-AVERAGE(OFFSET($H$3,0,0,'Données projet'!$E$9+1,1))</f>
        <v>280.79223530986889</v>
      </c>
      <c r="T72" s="59">
        <f t="shared" si="88"/>
        <v>170.29932835468685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235.19999999999993</v>
      </c>
      <c r="AJ72" s="13">
        <f>AI72*VLOOKUP('Données projet'!$B$10,Paramètres!$A$1:$I$89,3,0)*VLOOKUP('Données projet'!$B$10,Paramètres!$A$1:$I$89,5,0)</f>
        <v>238.49279999999996</v>
      </c>
      <c r="AK72" s="13">
        <f t="shared" si="89"/>
        <v>58.115130258576542</v>
      </c>
      <c r="AL72" s="20">
        <f t="shared" si="58"/>
        <v>516.59214520035414</v>
      </c>
      <c r="AM72" s="59">
        <f t="shared" si="59"/>
        <v>809.92547853368751</v>
      </c>
      <c r="AN72" s="59">
        <f ca="1">AVERAGE(OFFSET($AM$3,0,0,'Données projet'!$E$10+1,1))-AVERAGE(OFFSET($H$3,0,0,'Données projet'!$E$10+1,1))</f>
        <v>327.4505861600158</v>
      </c>
      <c r="AO72" s="59">
        <f t="shared" si="90"/>
        <v>193.18009444354595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6.8</v>
      </c>
      <c r="BD72" s="12">
        <f>IF('Données projet'!$A$88&gt;35,BD71+BC72-BL71,IF(A72&lt;'Données projet'!$A$88,$BA$205^A72,IF(A72='Données projet'!$A$88,'Données projet'!$B$88,BD71+BC72-BL71)))</f>
        <v>235.19999999999993</v>
      </c>
      <c r="BE72" s="13">
        <f>BD72*VLOOKUP('Données projet'!$B$11,Paramètres!$A$1:$I$89,3,0)*VLOOKUP('Données projet'!$B$11,Paramètres!$A$1:$I$89,5,0)</f>
        <v>245.83103999999997</v>
      </c>
      <c r="BF72" s="13">
        <f t="shared" si="91"/>
        <v>59.692348974264512</v>
      </c>
      <c r="BG72" s="20">
        <f t="shared" si="61"/>
        <v>532.11990246351058</v>
      </c>
      <c r="BH72" s="59">
        <f t="shared" si="62"/>
        <v>825.45323579684396</v>
      </c>
      <c r="BI72" s="59">
        <f ca="1">AVERAGE(OFFSET($BH$3,0,0,'Données projet'!$E$11+1,1))-AVERAGE(OFFSET($H$3,0,0,'Données projet'!$E$11+1,1))</f>
        <v>340.76197766679212</v>
      </c>
      <c r="BJ72" s="59">
        <f t="shared" si="92"/>
        <v>199.70700738826872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6.8</v>
      </c>
      <c r="BY72" s="12">
        <f>IF('Données projet'!$A$114&gt;35,BY71+BX72-CG71,IF(A72&lt;'Données projet'!$A$114,$BV$205^A72,IF(A72='Données projet'!$A$114,'Données projet'!$B$114,BY71+BX72-CG71)))</f>
        <v>235.19999999999993</v>
      </c>
      <c r="BZ72" s="13">
        <f>BY72*VLOOKUP('Données projet'!$B$12,Paramètres!$A$1:$I$89,3,0)*VLOOKUP('Données projet'!$B$12,Paramètres!$A$1:$I$89,5,0)</f>
        <v>253.16927999999993</v>
      </c>
      <c r="CA72" s="13">
        <f t="shared" si="93"/>
        <v>61.264096094739799</v>
      </c>
      <c r="CB72" s="20">
        <f t="shared" si="64"/>
        <v>547.63813003167172</v>
      </c>
      <c r="CC72" s="59">
        <f t="shared" si="65"/>
        <v>840.97146336500509</v>
      </c>
      <c r="CD72" s="59">
        <f ca="1">AVERAGE(OFFSET($CC$3,0,0,'Données projet'!$E$12+1,1))-AVERAGE(OFFSET($H$3,0,0,'Données projet'!$E$12+1,1))</f>
        <v>354.06521046071936</v>
      </c>
      <c r="CE72" s="59">
        <f t="shared" si="94"/>
        <v>206.22956332364367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242</v>
      </c>
      <c r="L73" s="12">
        <f>VLOOKUP(A73,'Données projet'!$A$35:$I$55,9,0)</f>
        <v>6.8</v>
      </c>
      <c r="M73" s="12">
        <f t="array" ref="M73">INDEX(L:L,MIN(IF(ISNUMBER(L73:L269),ROW(L73:L269),"")))</f>
        <v>6.8</v>
      </c>
      <c r="N73" s="13">
        <f>IF('Données projet'!$A$36&gt;35,N72+M73-V72,IF(A73&lt;'Données projet'!$A$36,$K$205^A73,IF(A73='Données projet'!$A$36,'Données projet'!$B$36,N72+M73-V72)))</f>
        <v>241.99999999999994</v>
      </c>
      <c r="O73" s="13">
        <f>N73*VLOOKUP('Données projet'!$B$9,Paramètres!$A$1:$I$89,3,0)*VLOOKUP('Données projet'!$B$9,Paramètres!$A$1:$I$89,5,0)</f>
        <v>218.96159999999995</v>
      </c>
      <c r="P73" s="13">
        <f t="shared" si="87"/>
        <v>53.88913250370743</v>
      </c>
      <c r="Q73" s="20">
        <f t="shared" si="54"/>
        <v>475.21502577729035</v>
      </c>
      <c r="R73" s="59">
        <f t="shared" si="55"/>
        <v>768.54835911062366</v>
      </c>
      <c r="S73" s="59">
        <f ca="1">AVERAGE(OFFSET($R$3,0,0,'Données projet'!$E$9+1,1))-AVERAGE(OFFSET($H$3,0,0,'Données projet'!$E$9+1,1))</f>
        <v>280.79223530986889</v>
      </c>
      <c r="T73" s="59">
        <f t="shared" si="88"/>
        <v>170.29932835468685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241.99999999999994</v>
      </c>
      <c r="AJ73" s="13">
        <f>AI73*VLOOKUP('Données projet'!$B$10,Paramètres!$A$1:$I$89,3,0)*VLOOKUP('Données projet'!$B$10,Paramètres!$A$1:$I$89,5,0)</f>
        <v>245.38799999999995</v>
      </c>
      <c r="AK73" s="13">
        <f t="shared" si="89"/>
        <v>59.597282764919569</v>
      </c>
      <c r="AL73" s="20">
        <f t="shared" si="58"/>
        <v>531.18270081556818</v>
      </c>
      <c r="AM73" s="59">
        <f t="shared" si="59"/>
        <v>824.51603414890155</v>
      </c>
      <c r="AN73" s="59">
        <f ca="1">AVERAGE(OFFSET($AM$3,0,0,'Données projet'!$E$10+1,1))-AVERAGE(OFFSET($H$3,0,0,'Données projet'!$E$10+1,1))</f>
        <v>327.4505861600158</v>
      </c>
      <c r="AO73" s="59">
        <f t="shared" si="90"/>
        <v>193.18009444354595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242</v>
      </c>
      <c r="BB73" s="12">
        <f>VLOOKUP(A73,'Données projet'!$A$87:$I$107,9,0)</f>
        <v>6.8</v>
      </c>
      <c r="BC73" s="12">
        <f t="array" ref="BC73">INDEX(BB:BB,MIN(IF(ISNUMBER(BB73:BB269),ROW(BB73:BB269),"")))</f>
        <v>6.8</v>
      </c>
      <c r="BD73" s="12">
        <f>IF('Données projet'!$A$88&gt;35,BD72+BC73-BL72,IF(A73&lt;'Données projet'!$A$88,$BA$205^A73,IF(A73='Données projet'!$A$88,'Données projet'!$B$88,BD72+BC73-BL72)))</f>
        <v>241.99999999999994</v>
      </c>
      <c r="BE73" s="13">
        <f>BD73*VLOOKUP('Données projet'!$B$11,Paramètres!$A$1:$I$89,3,0)*VLOOKUP('Données projet'!$B$11,Paramètres!$A$1:$I$89,5,0)</f>
        <v>252.93839999999994</v>
      </c>
      <c r="BF73" s="13">
        <f t="shared" si="91"/>
        <v>61.214726438585039</v>
      </c>
      <c r="BG73" s="20">
        <f t="shared" si="61"/>
        <v>547.15002854720217</v>
      </c>
      <c r="BH73" s="59">
        <f t="shared" si="62"/>
        <v>840.48336188053554</v>
      </c>
      <c r="BI73" s="59">
        <f ca="1">AVERAGE(OFFSET($BH$3,0,0,'Données projet'!$E$11+1,1))-AVERAGE(OFFSET($H$3,0,0,'Données projet'!$E$11+1,1))</f>
        <v>340.76197766679212</v>
      </c>
      <c r="BJ73" s="59">
        <f t="shared" si="92"/>
        <v>199.70700738826872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242</v>
      </c>
      <c r="BW73" s="12">
        <f>VLOOKUP(A73,'Données projet'!$A$113:$I$133,9,0)</f>
        <v>6.8</v>
      </c>
      <c r="BX73" s="12">
        <f t="array" ref="BX73">INDEX(BW:BW,MIN(IF(ISNUMBER(BW73:BW269),ROW(BW73:BW269),"")))</f>
        <v>6.8</v>
      </c>
      <c r="BY73" s="12">
        <f>IF('Données projet'!$A$114&gt;35,BY72+BX73-CG72,IF(A73&lt;'Données projet'!$A$114,$BV$205^A73,IF(A73='Données projet'!$A$114,'Données projet'!$B$114,BY72+BX73-CG72)))</f>
        <v>241.99999999999994</v>
      </c>
      <c r="BZ73" s="13">
        <f>BY73*VLOOKUP('Données projet'!$B$12,Paramètres!$A$1:$I$89,3,0)*VLOOKUP('Données projet'!$B$12,Paramètres!$A$1:$I$89,5,0)</f>
        <v>260.48879999999997</v>
      </c>
      <c r="CA73" s="13">
        <f t="shared" si="93"/>
        <v>62.826558970958821</v>
      </c>
      <c r="CB73" s="20">
        <f t="shared" si="64"/>
        <v>563.10758354108657</v>
      </c>
      <c r="CC73" s="59">
        <f t="shared" si="65"/>
        <v>856.44091687441983</v>
      </c>
      <c r="CD73" s="59">
        <f ca="1">AVERAGE(OFFSET($CC$3,0,0,'Données projet'!$E$12+1,1))-AVERAGE(OFFSET($H$3,0,0,'Données projet'!$E$12+1,1))</f>
        <v>354.06521046071936</v>
      </c>
      <c r="CE73" s="59">
        <f t="shared" si="94"/>
        <v>206.22956332364367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6.2</v>
      </c>
      <c r="N74" s="13">
        <f>IF('Données projet'!$A$36&gt;35,N73+M74-V73,IF(A74&lt;'Données projet'!$A$36,$K$205^A74,IF(A74='Données projet'!$A$36,'Données projet'!$B$36,N73+M74-V73)))</f>
        <v>248.19999999999993</v>
      </c>
      <c r="O74" s="13">
        <f>N74*VLOOKUP('Données projet'!$B$9,Paramètres!$A$1:$I$89,3,0)*VLOOKUP('Données projet'!$B$9,Paramètres!$A$1:$I$89,5,0)</f>
        <v>224.57135999999994</v>
      </c>
      <c r="P74" s="13">
        <f t="shared" si="87"/>
        <v>55.107255873104265</v>
      </c>
      <c r="Q74" s="20">
        <f t="shared" si="54"/>
        <v>487.10692264565643</v>
      </c>
      <c r="R74" s="59">
        <f t="shared" si="55"/>
        <v>780.44025597898974</v>
      </c>
      <c r="S74" s="59">
        <f ca="1">AVERAGE(OFFSET($R$3,0,0,'Données projet'!$E$9+1,1))-AVERAGE(OFFSET($H$3,0,0,'Données projet'!$E$9+1,1))</f>
        <v>280.79223530986889</v>
      </c>
      <c r="T74" s="59">
        <f t="shared" si="88"/>
        <v>170.29932835468685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248.19999999999993</v>
      </c>
      <c r="AJ74" s="13">
        <f>AI74*VLOOKUP('Données projet'!$B$10,Paramètres!$A$1:$I$89,3,0)*VLOOKUP('Données projet'!$B$10,Paramètres!$A$1:$I$89,5,0)</f>
        <v>251.67479999999995</v>
      </c>
      <c r="AK74" s="13">
        <f t="shared" si="89"/>
        <v>60.944434584138449</v>
      </c>
      <c r="AL74" s="20">
        <f t="shared" si="58"/>
        <v>544.47850023404101</v>
      </c>
      <c r="AM74" s="59">
        <f t="shared" si="59"/>
        <v>837.81183356737438</v>
      </c>
      <c r="AN74" s="59">
        <f ca="1">AVERAGE(OFFSET($AM$3,0,0,'Données projet'!$E$10+1,1))-AVERAGE(OFFSET($H$3,0,0,'Données projet'!$E$10+1,1))</f>
        <v>327.4505861600158</v>
      </c>
      <c r="AO74" s="59">
        <f t="shared" si="90"/>
        <v>193.18009444354595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6.2</v>
      </c>
      <c r="BD74" s="12">
        <f>IF('Données projet'!$A$88&gt;35,BD73+BC74-BL73,IF(A74&lt;'Données projet'!$A$88,$BA$205^A74,IF(A74='Données projet'!$A$88,'Données projet'!$B$88,BD73+BC74-BL73)))</f>
        <v>248.19999999999993</v>
      </c>
      <c r="BE74" s="13">
        <f>BD74*VLOOKUP('Données projet'!$B$11,Paramètres!$A$1:$I$89,3,0)*VLOOKUP('Données projet'!$B$11,Paramètres!$A$1:$I$89,5,0)</f>
        <v>259.41863999999993</v>
      </c>
      <c r="BF74" s="13">
        <f t="shared" si="91"/>
        <v>62.598439357343594</v>
      </c>
      <c r="BG74" s="20">
        <f t="shared" si="61"/>
        <v>560.8464132140399</v>
      </c>
      <c r="BH74" s="59">
        <f t="shared" si="62"/>
        <v>854.17974654737327</v>
      </c>
      <c r="BI74" s="59">
        <f ca="1">AVERAGE(OFFSET($BH$3,0,0,'Données projet'!$E$11+1,1))-AVERAGE(OFFSET($H$3,0,0,'Données projet'!$E$11+1,1))</f>
        <v>340.76197766679212</v>
      </c>
      <c r="BJ74" s="59">
        <f t="shared" si="92"/>
        <v>199.70700738826872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6.2</v>
      </c>
      <c r="BY74" s="12">
        <f>IF('Données projet'!$A$114&gt;35,BY73+BX74-CG73,IF(A74&lt;'Données projet'!$A$114,$BV$205^A74,IF(A74='Données projet'!$A$114,'Données projet'!$B$114,BY73+BX74-CG73)))</f>
        <v>248.19999999999993</v>
      </c>
      <c r="BZ74" s="13">
        <f>BY74*VLOOKUP('Données projet'!$B$12,Paramètres!$A$1:$I$89,3,0)*VLOOKUP('Données projet'!$B$12,Paramètres!$A$1:$I$89,5,0)</f>
        <v>267.16247999999996</v>
      </c>
      <c r="CA74" s="13">
        <f t="shared" si="93"/>
        <v>64.246706153622185</v>
      </c>
      <c r="CB74" s="20">
        <f t="shared" si="64"/>
        <v>577.20433255089188</v>
      </c>
      <c r="CC74" s="59">
        <f t="shared" si="65"/>
        <v>870.53766588422513</v>
      </c>
      <c r="CD74" s="59">
        <f ca="1">AVERAGE(OFFSET($CC$3,0,0,'Données projet'!$E$12+1,1))-AVERAGE(OFFSET($H$3,0,0,'Données projet'!$E$12+1,1))</f>
        <v>354.06521046071936</v>
      </c>
      <c r="CE74" s="59">
        <f t="shared" si="94"/>
        <v>206.22956332364367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6.2</v>
      </c>
      <c r="N75" s="13">
        <f>IF('Données projet'!$A$36&gt;35,N74+M75-V74,IF(A75&lt;'Données projet'!$A$36,$K$205^A75,IF(A75='Données projet'!$A$36,'Données projet'!$B$36,N74+M75-V74)))</f>
        <v>254.39999999999992</v>
      </c>
      <c r="O75" s="13">
        <f>N75*VLOOKUP('Données projet'!$B$9,Paramètres!$A$1:$I$89,3,0)*VLOOKUP('Données projet'!$B$9,Paramètres!$A$1:$I$89,5,0)</f>
        <v>230.18111999999991</v>
      </c>
      <c r="P75" s="13">
        <f t="shared" si="87"/>
        <v>56.321842115392933</v>
      </c>
      <c r="Q75" s="20">
        <f t="shared" si="54"/>
        <v>498.99265901764255</v>
      </c>
      <c r="R75" s="59">
        <f t="shared" si="55"/>
        <v>792.32599235097587</v>
      </c>
      <c r="S75" s="59">
        <f ca="1">AVERAGE(OFFSET($R$3,0,0,'Données projet'!$E$9+1,1))-AVERAGE(OFFSET($H$3,0,0,'Données projet'!$E$9+1,1))</f>
        <v>280.79223530986889</v>
      </c>
      <c r="T75" s="59">
        <f t="shared" si="88"/>
        <v>170.29932835468685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254.39999999999992</v>
      </c>
      <c r="AJ75" s="13">
        <f>AI75*VLOOKUP('Données projet'!$B$10,Paramètres!$A$1:$I$89,3,0)*VLOOKUP('Données projet'!$B$10,Paramètres!$A$1:$I$89,5,0)</f>
        <v>257.96159999999992</v>
      </c>
      <c r="AK75" s="13">
        <f t="shared" si="89"/>
        <v>62.287674609742481</v>
      </c>
      <c r="AL75" s="20">
        <f t="shared" si="58"/>
        <v>557.76748661196802</v>
      </c>
      <c r="AM75" s="59">
        <f t="shared" si="59"/>
        <v>851.10081994530128</v>
      </c>
      <c r="AN75" s="59">
        <f ca="1">AVERAGE(OFFSET($AM$3,0,0,'Données projet'!$E$10+1,1))-AVERAGE(OFFSET($H$3,0,0,'Données projet'!$E$10+1,1))</f>
        <v>327.4505861600158</v>
      </c>
      <c r="AO75" s="59">
        <f t="shared" si="90"/>
        <v>193.18009444354595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6.2</v>
      </c>
      <c r="BD75" s="12">
        <f>IF('Données projet'!$A$88&gt;35,BD74+BC75-BL74,IF(A75&lt;'Données projet'!$A$88,$BA$205^A75,IF(A75='Données projet'!$A$88,'Données projet'!$B$88,BD74+BC75-BL74)))</f>
        <v>254.39999999999992</v>
      </c>
      <c r="BE75" s="13">
        <f>BD75*VLOOKUP('Données projet'!$B$11,Paramètres!$A$1:$I$89,3,0)*VLOOKUP('Données projet'!$B$11,Paramètres!$A$1:$I$89,5,0)</f>
        <v>265.89887999999991</v>
      </c>
      <c r="BF75" s="13">
        <f t="shared" si="91"/>
        <v>63.978134318153266</v>
      </c>
      <c r="BG75" s="20">
        <f t="shared" si="61"/>
        <v>574.53579993745007</v>
      </c>
      <c r="BH75" s="59">
        <f t="shared" si="62"/>
        <v>867.86913327078332</v>
      </c>
      <c r="BI75" s="59">
        <f ca="1">AVERAGE(OFFSET($BH$3,0,0,'Données projet'!$E$11+1,1))-AVERAGE(OFFSET($H$3,0,0,'Données projet'!$E$11+1,1))</f>
        <v>340.76197766679212</v>
      </c>
      <c r="BJ75" s="59">
        <f t="shared" si="92"/>
        <v>199.70700738826872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6.2</v>
      </c>
      <c r="BY75" s="12">
        <f>IF('Données projet'!$A$114&gt;35,BY74+BX75-CG74,IF(A75&lt;'Données projet'!$A$114,$BV$205^A75,IF(A75='Données projet'!$A$114,'Données projet'!$B$114,BY74+BX75-CG74)))</f>
        <v>254.39999999999992</v>
      </c>
      <c r="BZ75" s="13">
        <f>BY75*VLOOKUP('Données projet'!$B$12,Paramètres!$A$1:$I$89,3,0)*VLOOKUP('Données projet'!$B$12,Paramètres!$A$1:$I$89,5,0)</f>
        <v>273.83615999999995</v>
      </c>
      <c r="CA75" s="13">
        <f t="shared" si="93"/>
        <v>65.662729582301651</v>
      </c>
      <c r="CB75" s="20">
        <f t="shared" si="64"/>
        <v>591.29389935584197</v>
      </c>
      <c r="CC75" s="59">
        <f t="shared" si="65"/>
        <v>884.62723268917534</v>
      </c>
      <c r="CD75" s="59">
        <f ca="1">AVERAGE(OFFSET($CC$3,0,0,'Données projet'!$E$12+1,1))-AVERAGE(OFFSET($H$3,0,0,'Données projet'!$E$12+1,1))</f>
        <v>354.06521046071936</v>
      </c>
      <c r="CE75" s="59">
        <f t="shared" si="94"/>
        <v>206.22956332364367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6.2</v>
      </c>
      <c r="N76" s="13">
        <f>IF('Données projet'!$A$36&gt;35,N75+M76-V75,IF(A76&lt;'Données projet'!$A$36,$K$205^A76,IF(A76='Données projet'!$A$36,'Données projet'!$B$36,N75+M76-V75)))</f>
        <v>260.59999999999991</v>
      </c>
      <c r="O76" s="13">
        <f>N76*VLOOKUP('Données projet'!$B$9,Paramètres!$A$1:$I$89,3,0)*VLOOKUP('Données projet'!$B$9,Paramètres!$A$1:$I$89,5,0)</f>
        <v>235.7908799999999</v>
      </c>
      <c r="P76" s="13">
        <f t="shared" si="87"/>
        <v>57.532987351107714</v>
      </c>
      <c r="Q76" s="20">
        <f t="shared" si="54"/>
        <v>510.87240230317911</v>
      </c>
      <c r="R76" s="59">
        <f t="shared" si="55"/>
        <v>804.20573563651237</v>
      </c>
      <c r="S76" s="59">
        <f ca="1">AVERAGE(OFFSET($R$3,0,0,'Données projet'!$E$9+1,1))-AVERAGE(OFFSET($H$3,0,0,'Données projet'!$E$9+1,1))</f>
        <v>280.79223530986889</v>
      </c>
      <c r="T76" s="59">
        <f t="shared" si="88"/>
        <v>170.29932835468685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260.59999999999991</v>
      </c>
      <c r="AJ76" s="13">
        <f>AI76*VLOOKUP('Données projet'!$B$10,Paramètres!$A$1:$I$89,3,0)*VLOOKUP('Données projet'!$B$10,Paramètres!$A$1:$I$89,5,0)</f>
        <v>264.24839999999995</v>
      </c>
      <c r="AK76" s="13">
        <f t="shared" si="89"/>
        <v>63.627109143733414</v>
      </c>
      <c r="AL76" s="20">
        <f t="shared" si="58"/>
        <v>571.04984509200233</v>
      </c>
      <c r="AM76" s="59">
        <f t="shared" si="59"/>
        <v>864.3831784253357</v>
      </c>
      <c r="AN76" s="59">
        <f ca="1">AVERAGE(OFFSET($AM$3,0,0,'Données projet'!$E$10+1,1))-AVERAGE(OFFSET($H$3,0,0,'Données projet'!$E$10+1,1))</f>
        <v>327.4505861600158</v>
      </c>
      <c r="AO76" s="59">
        <f t="shared" si="90"/>
        <v>193.18009444354595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6.2</v>
      </c>
      <c r="BD76" s="12">
        <f>IF('Données projet'!$A$88&gt;35,BD75+BC76-BL75,IF(A76&lt;'Données projet'!$A$88,$BA$205^A76,IF(A76='Données projet'!$A$88,'Données projet'!$B$88,BD75+BC76-BL75)))</f>
        <v>260.59999999999991</v>
      </c>
      <c r="BE76" s="13">
        <f>BD76*VLOOKUP('Données projet'!$B$11,Paramètres!$A$1:$I$89,3,0)*VLOOKUP('Données projet'!$B$11,Paramètres!$A$1:$I$89,5,0)</f>
        <v>272.37911999999994</v>
      </c>
      <c r="BF76" s="13">
        <f t="shared" si="91"/>
        <v>65.35392050800472</v>
      </c>
      <c r="BG76" s="20">
        <f t="shared" si="61"/>
        <v>588.21837888477478</v>
      </c>
      <c r="BH76" s="59">
        <f t="shared" si="62"/>
        <v>881.55171221810815</v>
      </c>
      <c r="BI76" s="59">
        <f ca="1">AVERAGE(OFFSET($BH$3,0,0,'Données projet'!$E$11+1,1))-AVERAGE(OFFSET($H$3,0,0,'Données projet'!$E$11+1,1))</f>
        <v>340.76197766679212</v>
      </c>
      <c r="BJ76" s="59">
        <f t="shared" si="92"/>
        <v>199.70700738826872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6.2</v>
      </c>
      <c r="BY76" s="12">
        <f>IF('Données projet'!$A$114&gt;35,BY75+BX76-CG75,IF(A76&lt;'Données projet'!$A$114,$BV$205^A76,IF(A76='Données projet'!$A$114,'Données projet'!$B$114,BY75+BX76-CG75)))</f>
        <v>260.59999999999991</v>
      </c>
      <c r="BZ76" s="13">
        <f>BY76*VLOOKUP('Données projet'!$B$12,Paramètres!$A$1:$I$89,3,0)*VLOOKUP('Données projet'!$B$12,Paramètres!$A$1:$I$89,5,0)</f>
        <v>280.50983999999988</v>
      </c>
      <c r="CA76" s="13">
        <f t="shared" si="93"/>
        <v>67.074741318968506</v>
      </c>
      <c r="CB76" s="20">
        <f t="shared" si="64"/>
        <v>605.37647913053661</v>
      </c>
      <c r="CC76" s="59">
        <f t="shared" si="65"/>
        <v>898.70981246386987</v>
      </c>
      <c r="CD76" s="59">
        <f ca="1">AVERAGE(OFFSET($CC$3,0,0,'Données projet'!$E$12+1,1))-AVERAGE(OFFSET($H$3,0,0,'Données projet'!$E$12+1,1))</f>
        <v>354.06521046071936</v>
      </c>
      <c r="CE76" s="59">
        <f t="shared" si="94"/>
        <v>206.22956332364367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6.2</v>
      </c>
      <c r="N77" s="13">
        <f>IF('Données projet'!$A$36&gt;35,N76+M77-V76,IF(A77&lt;'Données projet'!$A$36,$K$205^A77,IF(A77='Données projet'!$A$36,'Données projet'!$B$36,N76+M77-V76)))</f>
        <v>266.7999999999999</v>
      </c>
      <c r="O77" s="13">
        <f>N77*VLOOKUP('Données projet'!$B$9,Paramètres!$A$1:$I$89,3,0)*VLOOKUP('Données projet'!$B$9,Paramètres!$A$1:$I$89,5,0)</f>
        <v>241.40063999999992</v>
      </c>
      <c r="P77" s="13">
        <f t="shared" si="87"/>
        <v>58.740782866262698</v>
      </c>
      <c r="Q77" s="20">
        <f t="shared" si="54"/>
        <v>522.74631149207403</v>
      </c>
      <c r="R77" s="59">
        <f t="shared" si="55"/>
        <v>816.07964482540729</v>
      </c>
      <c r="S77" s="59">
        <f ca="1">AVERAGE(OFFSET($R$3,0,0,'Données projet'!$E$9+1,1))-AVERAGE(OFFSET($H$3,0,0,'Données projet'!$E$9+1,1))</f>
        <v>280.79223530986889</v>
      </c>
      <c r="T77" s="59">
        <f t="shared" si="88"/>
        <v>170.29932835468685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266.7999999999999</v>
      </c>
      <c r="AJ77" s="13">
        <f>AI77*VLOOKUP('Données projet'!$B$10,Paramètres!$A$1:$I$89,3,0)*VLOOKUP('Données projet'!$B$10,Paramètres!$A$1:$I$89,5,0)</f>
        <v>270.53519999999992</v>
      </c>
      <c r="AK77" s="13">
        <f t="shared" si="89"/>
        <v>64.962839141501405</v>
      </c>
      <c r="AL77" s="20">
        <f t="shared" si="58"/>
        <v>584.32575150478135</v>
      </c>
      <c r="AM77" s="59">
        <f t="shared" si="59"/>
        <v>877.65908483811472</v>
      </c>
      <c r="AN77" s="59">
        <f ca="1">AVERAGE(OFFSET($AM$3,0,0,'Données projet'!$E$10+1,1))-AVERAGE(OFFSET($H$3,0,0,'Données projet'!$E$10+1,1))</f>
        <v>327.4505861600158</v>
      </c>
      <c r="AO77" s="59">
        <f t="shared" si="90"/>
        <v>193.18009444354595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6.2</v>
      </c>
      <c r="BD77" s="12">
        <f>IF('Données projet'!$A$88&gt;35,BD76+BC77-BL76,IF(A77&lt;'Données projet'!$A$88,$BA$205^A77,IF(A77='Données projet'!$A$88,'Données projet'!$B$88,BD76+BC77-BL76)))</f>
        <v>266.7999999999999</v>
      </c>
      <c r="BE77" s="13">
        <f>BD77*VLOOKUP('Données projet'!$B$11,Paramètres!$A$1:$I$89,3,0)*VLOOKUP('Données projet'!$B$11,Paramètres!$A$1:$I$89,5,0)</f>
        <v>278.85935999999992</v>
      </c>
      <c r="BF77" s="13">
        <f t="shared" si="91"/>
        <v>66.725901622172387</v>
      </c>
      <c r="BG77" s="20">
        <f t="shared" si="61"/>
        <v>601.8943306586167</v>
      </c>
      <c r="BH77" s="59">
        <f t="shared" si="62"/>
        <v>895.22766399195007</v>
      </c>
      <c r="BI77" s="59">
        <f ca="1">AVERAGE(OFFSET($BH$3,0,0,'Données projet'!$E$11+1,1))-AVERAGE(OFFSET($H$3,0,0,'Données projet'!$E$11+1,1))</f>
        <v>340.76197766679212</v>
      </c>
      <c r="BJ77" s="59">
        <f t="shared" si="92"/>
        <v>199.70700738826872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6.2</v>
      </c>
      <c r="BY77" s="12">
        <f>IF('Données projet'!$A$114&gt;35,BY76+BX77-CG76,IF(A77&lt;'Données projet'!$A$114,$BV$205^A77,IF(A77='Données projet'!$A$114,'Données projet'!$B$114,BY76+BX77-CG76)))</f>
        <v>266.7999999999999</v>
      </c>
      <c r="BZ77" s="13">
        <f>BY77*VLOOKUP('Données projet'!$B$12,Paramètres!$A$1:$I$89,3,0)*VLOOKUP('Données projet'!$B$12,Paramètres!$A$1:$I$89,5,0)</f>
        <v>287.18351999999987</v>
      </c>
      <c r="CA77" s="13">
        <f t="shared" si="93"/>
        <v>68.482847789276349</v>
      </c>
      <c r="CB77" s="20">
        <f t="shared" si="64"/>
        <v>619.45225723298938</v>
      </c>
      <c r="CC77" s="59">
        <f t="shared" si="65"/>
        <v>912.78559056632275</v>
      </c>
      <c r="CD77" s="59">
        <f ca="1">AVERAGE(OFFSET($CC$3,0,0,'Données projet'!$E$12+1,1))-AVERAGE(OFFSET($H$3,0,0,'Données projet'!$E$12+1,1))</f>
        <v>354.06521046071936</v>
      </c>
      <c r="CE77" s="59">
        <f t="shared" si="94"/>
        <v>206.22956332364367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273</v>
      </c>
      <c r="L78" s="12">
        <f>VLOOKUP(A78,'Données projet'!$A$35:$I$55,9,0)</f>
        <v>6.2</v>
      </c>
      <c r="M78" s="12">
        <f t="array" ref="M78">INDEX(L:L,MIN(IF(ISNUMBER(L78:L274),ROW(L78:L274),"")))</f>
        <v>6.2</v>
      </c>
      <c r="N78" s="13">
        <f>IF('Données projet'!$A$36&gt;35,N77+M78-V77,IF(A78&lt;'Données projet'!$A$36,$K$205^A78,IF(A78='Données projet'!$A$36,'Données projet'!$B$36,N77+M78-V77)))</f>
        <v>272.99999999999989</v>
      </c>
      <c r="O78" s="13">
        <f>N78*VLOOKUP('Données projet'!$B$9,Paramètres!$A$1:$I$89,3,0)*VLOOKUP('Données projet'!$B$9,Paramètres!$A$1:$I$89,5,0)</f>
        <v>247.01039999999989</v>
      </c>
      <c r="P78" s="13">
        <f t="shared" si="87"/>
        <v>59.945315462121812</v>
      </c>
      <c r="Q78" s="20">
        <f t="shared" si="54"/>
        <v>534.61453776319524</v>
      </c>
      <c r="R78" s="59">
        <f t="shared" si="55"/>
        <v>827.94787109652862</v>
      </c>
      <c r="S78" s="59">
        <f ca="1">AVERAGE(OFFSET($R$3,0,0,'Données projet'!$E$9+1,1))-AVERAGE(OFFSET($H$3,0,0,'Données projet'!$E$9+1,1))</f>
        <v>280.79223530986889</v>
      </c>
      <c r="T78" s="59">
        <f t="shared" si="88"/>
        <v>170.29932835468685</v>
      </c>
      <c r="U78" s="15">
        <f>IF(ISNA(VLOOKUP(A78,'Données projet'!$A$35:$I$55,3,0)),0,VLOOKUP(A78,'Données projet'!$A$35:$I$55,3,0))</f>
        <v>6</v>
      </c>
      <c r="V78" s="15">
        <f>IF(ISNA(VLOOKUP(A78,'Données projet'!$A$35:$I$55,4,0)),0,VLOOKUP(A78,'Données projet'!$A$35:$I$55,4,0))</f>
        <v>42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273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272.99999999999989</v>
      </c>
      <c r="AJ78" s="13">
        <f>AI78*VLOOKUP('Données projet'!$B$10,Paramètres!$A$1:$I$89,3,0)*VLOOKUP('Données projet'!$B$10,Paramètres!$A$1:$I$89,5,0)</f>
        <v>276.82199999999989</v>
      </c>
      <c r="AK78" s="13">
        <f t="shared" si="89"/>
        <v>66.29496059864374</v>
      </c>
      <c r="AL78" s="20">
        <f t="shared" si="58"/>
        <v>597.59537304263756</v>
      </c>
      <c r="AM78" s="59">
        <f t="shared" si="59"/>
        <v>890.92870637597093</v>
      </c>
      <c r="AN78" s="59">
        <f ca="1">AVERAGE(OFFSET($AM$3,0,0,'Données projet'!$E$10+1,1))-AVERAGE(OFFSET($H$3,0,0,'Données projet'!$E$10+1,1))</f>
        <v>327.4505861600158</v>
      </c>
      <c r="AO78" s="59">
        <f t="shared" si="90"/>
        <v>193.18009444354595</v>
      </c>
      <c r="AP78" s="15">
        <f>IF(ISNA(VLOOKUP(A78,'Données projet'!$A$61:$I$81,3,0)),0,VLOOKUP(A78,'Données projet'!$A$61:$I$81,3,0))</f>
        <v>6</v>
      </c>
      <c r="AQ78" s="15">
        <f>IF(ISNA(VLOOKUP(A78,'Données projet'!$A$61:$I$81,4,0)),0,VLOOKUP(A78,'Données projet'!$A$61:$I$81,4,0))</f>
        <v>42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273</v>
      </c>
      <c r="BB78" s="12">
        <f>VLOOKUP(A78,'Données projet'!$A$87:$I$107,9,0)</f>
        <v>6.2</v>
      </c>
      <c r="BC78" s="12">
        <f t="array" ref="BC78">INDEX(BB:BB,MIN(IF(ISNUMBER(BB78:BB274),ROW(BB78:BB274),"")))</f>
        <v>6.2</v>
      </c>
      <c r="BD78" s="12">
        <f>IF('Données projet'!$A$88&gt;35,BD77+BC78-BL77,IF(A78&lt;'Données projet'!$A$88,$BA$205^A78,IF(A78='Données projet'!$A$88,'Données projet'!$B$88,BD77+BC78-BL77)))</f>
        <v>272.99999999999989</v>
      </c>
      <c r="BE78" s="13">
        <f>BD78*VLOOKUP('Données projet'!$B$11,Paramètres!$A$1:$I$89,3,0)*VLOOKUP('Données projet'!$B$11,Paramètres!$A$1:$I$89,5,0)</f>
        <v>285.3395999999999</v>
      </c>
      <c r="BF78" s="13">
        <f t="shared" si="91"/>
        <v>68.094176261531288</v>
      </c>
      <c r="BG78" s="20">
        <f t="shared" si="61"/>
        <v>615.56382698883351</v>
      </c>
      <c r="BH78" s="59">
        <f t="shared" si="62"/>
        <v>908.89716032216688</v>
      </c>
      <c r="BI78" s="59">
        <f ca="1">AVERAGE(OFFSET($BH$3,0,0,'Données projet'!$E$11+1,1))-AVERAGE(OFFSET($H$3,0,0,'Données projet'!$E$11+1,1))</f>
        <v>340.76197766679212</v>
      </c>
      <c r="BJ78" s="59">
        <f t="shared" si="92"/>
        <v>199.70700738826872</v>
      </c>
      <c r="BK78" s="15">
        <f>IF(ISNA(VLOOKUP(A78,'Données projet'!$A$87:$I$107,3,0)),0,VLOOKUP(A78,'Données projet'!$A$87:$I$107,3,0))</f>
        <v>6</v>
      </c>
      <c r="BL78" s="15">
        <f>IF(ISNA(VLOOKUP(A78,'Données projet'!$A$87:$I$107,4,0)),0,VLOOKUP(A78,'Données projet'!$A$87:$I$107,4,0))</f>
        <v>42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273</v>
      </c>
      <c r="BW78" s="12">
        <f>VLOOKUP(A78,'Données projet'!$A$113:$I$133,9,0)</f>
        <v>6.2</v>
      </c>
      <c r="BX78" s="12">
        <f t="array" ref="BX78">INDEX(BW:BW,MIN(IF(ISNUMBER(BW78:BW274),ROW(BW78:BW274),"")))</f>
        <v>6.2</v>
      </c>
      <c r="BY78" s="12">
        <f>IF('Données projet'!$A$114&gt;35,BY77+BX78-CG77,IF(A78&lt;'Données projet'!$A$114,$BV$205^A78,IF(A78='Données projet'!$A$114,'Données projet'!$B$114,BY77+BX78-CG77)))</f>
        <v>272.99999999999989</v>
      </c>
      <c r="BZ78" s="13">
        <f>BY78*VLOOKUP('Données projet'!$B$12,Paramètres!$A$1:$I$89,3,0)*VLOOKUP('Données projet'!$B$12,Paramètres!$A$1:$I$89,5,0)</f>
        <v>293.85719999999986</v>
      </c>
      <c r="CA78" s="13">
        <f t="shared" si="93"/>
        <v>69.887150190339781</v>
      </c>
      <c r="CB78" s="20">
        <f t="shared" si="64"/>
        <v>633.52140991484157</v>
      </c>
      <c r="CC78" s="59">
        <f t="shared" si="65"/>
        <v>926.85474324817483</v>
      </c>
      <c r="CD78" s="59">
        <f ca="1">AVERAGE(OFFSET($CC$3,0,0,'Données projet'!$E$12+1,1))-AVERAGE(OFFSET($H$3,0,0,'Données projet'!$E$12+1,1))</f>
        <v>354.06521046071936</v>
      </c>
      <c r="CE78" s="59">
        <f t="shared" si="94"/>
        <v>206.22956332364367</v>
      </c>
      <c r="CF78" s="15">
        <f>IF(ISNA(VLOOKUP(A78,'Données projet'!$A$113:$I$133,3,0)),0,VLOOKUP(A78,'Données projet'!$A$113:$I$133,3,0))</f>
        <v>6</v>
      </c>
      <c r="CG78" s="15">
        <f>IF(ISNA(VLOOKUP(A78,'Données projet'!$A$113:$I$133,4,0)),0,VLOOKUP(A78,'Données projet'!$A$113:$I$133,4,0))</f>
        <v>42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5.9</v>
      </c>
      <c r="N79" s="13">
        <f>IF('Données projet'!$A$36&gt;35,N78+M79-V78,IF(A79&lt;'Données projet'!$A$36,$K$205^A79,IF(A79='Données projet'!$A$36,'Données projet'!$B$36,N78+M79-V78)))</f>
        <v>236.89999999999986</v>
      </c>
      <c r="O79" s="13">
        <f>N79*VLOOKUP('Données projet'!$B$9,Paramètres!$A$1:$I$89,3,0)*VLOOKUP('Données projet'!$B$9,Paramètres!$A$1:$I$89,5,0)</f>
        <v>214.34711999999985</v>
      </c>
      <c r="P79" s="13">
        <f t="shared" si="87"/>
        <v>52.884405030781778</v>
      </c>
      <c r="Q79" s="20">
        <f t="shared" si="54"/>
        <v>465.42823942861133</v>
      </c>
      <c r="R79" s="59">
        <f t="shared" si="55"/>
        <v>758.76157276194465</v>
      </c>
      <c r="S79" s="59">
        <f ca="1">AVERAGE(OFFSET($R$3,0,0,'Données projet'!$E$9+1,1))-AVERAGE(OFFSET($H$3,0,0,'Données projet'!$E$9+1,1))</f>
        <v>280.79223530986889</v>
      </c>
      <c r="T79" s="59">
        <f t="shared" si="88"/>
        <v>170.29932835468685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5.9</v>
      </c>
      <c r="AI79" s="13">
        <f>IF('Données projet'!$A$62&gt;35,AI78+AH79-AQ78,IF(A79&lt;'Données projet'!$A$62,$AF$205^A79,IF(A79='Données projet'!$A$62,'Données projet'!$B$62,AI78+AH79-AQ78)))</f>
        <v>236.89999999999986</v>
      </c>
      <c r="AJ79" s="13">
        <f>AI79*VLOOKUP('Données projet'!$B$10,Paramètres!$A$1:$I$89,3,0)*VLOOKUP('Données projet'!$B$10,Paramètres!$A$1:$I$89,5,0)</f>
        <v>240.21659999999989</v>
      </c>
      <c r="AK79" s="13">
        <f t="shared" si="89"/>
        <v>58.486130580357745</v>
      </c>
      <c r="AL79" s="20">
        <f t="shared" si="58"/>
        <v>520.24058909412281</v>
      </c>
      <c r="AM79" s="59">
        <f t="shared" si="59"/>
        <v>813.57392242745618</v>
      </c>
      <c r="AN79" s="59">
        <f ca="1">AVERAGE(OFFSET($AM$3,0,0,'Données projet'!$E$10+1,1))-AVERAGE(OFFSET($H$3,0,0,'Données projet'!$E$10+1,1))</f>
        <v>327.4505861600158</v>
      </c>
      <c r="AO79" s="59">
        <f t="shared" si="90"/>
        <v>193.18009444354595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5.9</v>
      </c>
      <c r="BD79" s="12">
        <f>IF('Données projet'!$A$88&gt;35,BD78+BC79-BL78,IF(A79&lt;'Données projet'!$A$88,$BA$205^A79,IF(A79='Données projet'!$A$88,'Données projet'!$B$88,BD78+BC79-BL78)))</f>
        <v>236.89999999999986</v>
      </c>
      <c r="BE79" s="13">
        <f>BD79*VLOOKUP('Données projet'!$B$11,Paramètres!$A$1:$I$89,3,0)*VLOOKUP('Données projet'!$B$11,Paramètres!$A$1:$I$89,5,0)</f>
        <v>247.60787999999991</v>
      </c>
      <c r="BF79" s="13">
        <f t="shared" si="91"/>
        <v>60.073418079311551</v>
      </c>
      <c r="BG79" s="20">
        <f t="shared" si="61"/>
        <v>535.87826082146739</v>
      </c>
      <c r="BH79" s="59">
        <f t="shared" si="62"/>
        <v>829.21159415480065</v>
      </c>
      <c r="BI79" s="59">
        <f ca="1">AVERAGE(OFFSET($BH$3,0,0,'Données projet'!$E$11+1,1))-AVERAGE(OFFSET($H$3,0,0,'Données projet'!$E$11+1,1))</f>
        <v>340.76197766679212</v>
      </c>
      <c r="BJ79" s="59">
        <f t="shared" si="92"/>
        <v>199.70700738826872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5.9</v>
      </c>
      <c r="BY79" s="12">
        <f>IF('Données projet'!$A$114&gt;35,BY78+BX79-CG78,IF(A79&lt;'Données projet'!$A$114,$BV$205^A79,IF(A79='Données projet'!$A$114,'Données projet'!$B$114,BY78+BX79-CG78)))</f>
        <v>236.89999999999986</v>
      </c>
      <c r="BZ79" s="13">
        <f>BY79*VLOOKUP('Données projet'!$B$12,Paramètres!$A$1:$I$89,3,0)*VLOOKUP('Données projet'!$B$12,Paramètres!$A$1:$I$89,5,0)</f>
        <v>254.99915999999985</v>
      </c>
      <c r="CA79" s="13">
        <f t="shared" si="93"/>
        <v>61.655199053016801</v>
      </c>
      <c r="CB79" s="20">
        <f t="shared" si="64"/>
        <v>551.50634201733726</v>
      </c>
      <c r="CC79" s="59">
        <f t="shared" si="65"/>
        <v>844.83967535067063</v>
      </c>
      <c r="CD79" s="59">
        <f ca="1">AVERAGE(OFFSET($CC$3,0,0,'Données projet'!$E$12+1,1))-AVERAGE(OFFSET($H$3,0,0,'Données projet'!$E$12+1,1))</f>
        <v>354.06521046071936</v>
      </c>
      <c r="CE79" s="59">
        <f t="shared" si="94"/>
        <v>206.22956332364367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5.9</v>
      </c>
      <c r="N80" s="13">
        <f>IF('Données projet'!$A$36&gt;35,N79+M80-V79,IF(A80&lt;'Données projet'!$A$36,$K$205^A80,IF(A80='Données projet'!$A$36,'Données projet'!$B$36,N79+M80-V79)))</f>
        <v>242.79999999999987</v>
      </c>
      <c r="O80" s="13">
        <f>N80*VLOOKUP('Données projet'!$B$9,Paramètres!$A$1:$I$89,3,0)*VLOOKUP('Données projet'!$B$9,Paramètres!$A$1:$I$89,5,0)</f>
        <v>219.68543999999989</v>
      </c>
      <c r="P80" s="13">
        <f t="shared" si="87"/>
        <v>54.046511966469559</v>
      </c>
      <c r="Q80" s="20">
        <f t="shared" si="54"/>
        <v>476.74981634160099</v>
      </c>
      <c r="R80" s="59">
        <f t="shared" si="55"/>
        <v>770.08314967493425</v>
      </c>
      <c r="S80" s="59">
        <f ca="1">AVERAGE(OFFSET($R$3,0,0,'Données projet'!$E$9+1,1))-AVERAGE(OFFSET($H$3,0,0,'Données projet'!$E$9+1,1))</f>
        <v>280.79223530986889</v>
      </c>
      <c r="T80" s="59">
        <f t="shared" si="88"/>
        <v>170.29932835468685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5.9</v>
      </c>
      <c r="AI80" s="13">
        <f>IF('Données projet'!$A$62&gt;35,AI79+AH80-AQ79,IF(A80&lt;'Données projet'!$A$62,$AF$205^A80,IF(A80='Données projet'!$A$62,'Données projet'!$B$62,AI79+AH80-AQ79)))</f>
        <v>242.79999999999987</v>
      </c>
      <c r="AJ80" s="13">
        <f>AI80*VLOOKUP('Données projet'!$B$10,Paramètres!$A$1:$I$89,3,0)*VLOOKUP('Données projet'!$B$10,Paramètres!$A$1:$I$89,5,0)</f>
        <v>246.19919999999988</v>
      </c>
      <c r="AK80" s="13">
        <f t="shared" si="89"/>
        <v>59.77133248344078</v>
      </c>
      <c r="AL80" s="20">
        <f t="shared" si="58"/>
        <v>532.89867740865918</v>
      </c>
      <c r="AM80" s="59">
        <f t="shared" si="59"/>
        <v>826.23201074199255</v>
      </c>
      <c r="AN80" s="59">
        <f ca="1">AVERAGE(OFFSET($AM$3,0,0,'Données projet'!$E$10+1,1))-AVERAGE(OFFSET($H$3,0,0,'Données projet'!$E$10+1,1))</f>
        <v>327.4505861600158</v>
      </c>
      <c r="AO80" s="59">
        <f t="shared" si="90"/>
        <v>193.18009444354595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5.9</v>
      </c>
      <c r="BD80" s="12">
        <f>IF('Données projet'!$A$88&gt;35,BD79+BC80-BL79,IF(A80&lt;'Données projet'!$A$88,$BA$205^A80,IF(A80='Données projet'!$A$88,'Données projet'!$B$88,BD79+BC80-BL79)))</f>
        <v>242.79999999999987</v>
      </c>
      <c r="BE80" s="13">
        <f>BD80*VLOOKUP('Données projet'!$B$11,Paramètres!$A$1:$I$89,3,0)*VLOOKUP('Données projet'!$B$11,Paramètres!$A$1:$I$89,5,0)</f>
        <v>253.77455999999989</v>
      </c>
      <c r="BF80" s="13">
        <f t="shared" si="91"/>
        <v>61.393499788840195</v>
      </c>
      <c r="BG80" s="20">
        <f t="shared" si="61"/>
        <v>548.9177041322298</v>
      </c>
      <c r="BH80" s="59">
        <f t="shared" si="62"/>
        <v>842.25103746556306</v>
      </c>
      <c r="BI80" s="59">
        <f ca="1">AVERAGE(OFFSET($BH$3,0,0,'Données projet'!$E$11+1,1))-AVERAGE(OFFSET($H$3,0,0,'Données projet'!$E$11+1,1))</f>
        <v>340.76197766679212</v>
      </c>
      <c r="BJ80" s="59">
        <f t="shared" si="92"/>
        <v>199.70700738826872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5.9</v>
      </c>
      <c r="BY80" s="12">
        <f>IF('Données projet'!$A$114&gt;35,BY79+BX80-CG79,IF(A80&lt;'Données projet'!$A$114,$BV$205^A80,IF(A80='Données projet'!$A$114,'Données projet'!$B$114,BY79+BX80-CG79)))</f>
        <v>242.79999999999987</v>
      </c>
      <c r="BZ80" s="13">
        <f>BY80*VLOOKUP('Données projet'!$B$12,Paramètres!$A$1:$I$89,3,0)*VLOOKUP('Données projet'!$B$12,Paramètres!$A$1:$I$89,5,0)</f>
        <v>261.34991999999983</v>
      </c>
      <c r="CA80" s="13">
        <f t="shared" si="93"/>
        <v>63.010039566000117</v>
      </c>
      <c r="CB80" s="20">
        <f t="shared" si="64"/>
        <v>564.92692957744987</v>
      </c>
      <c r="CC80" s="59">
        <f t="shared" si="65"/>
        <v>858.26026291078324</v>
      </c>
      <c r="CD80" s="59">
        <f ca="1">AVERAGE(OFFSET($CC$3,0,0,'Données projet'!$E$12+1,1))-AVERAGE(OFFSET($H$3,0,0,'Données projet'!$E$12+1,1))</f>
        <v>354.06521046071936</v>
      </c>
      <c r="CE80" s="59">
        <f t="shared" si="94"/>
        <v>206.22956332364367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5.9</v>
      </c>
      <c r="N81" s="13">
        <f>IF('Données projet'!$A$36&gt;35,N80+M81-V80,IF(A81&lt;'Données projet'!$A$36,$K$205^A81,IF(A81='Données projet'!$A$36,'Données projet'!$B$36,N80+M81-V80)))</f>
        <v>248.69999999999987</v>
      </c>
      <c r="O81" s="13">
        <f>N81*VLOOKUP('Données projet'!$B$9,Paramètres!$A$1:$I$89,3,0)*VLOOKUP('Données projet'!$B$9,Paramètres!$A$1:$I$89,5,0)</f>
        <v>225.0237599999999</v>
      </c>
      <c r="P81" s="13">
        <f t="shared" si="87"/>
        <v>55.205336184590408</v>
      </c>
      <c r="Q81" s="20">
        <f t="shared" si="54"/>
        <v>488.06567585482804</v>
      </c>
      <c r="R81" s="59">
        <f t="shared" si="55"/>
        <v>781.39900918816136</v>
      </c>
      <c r="S81" s="59">
        <f ca="1">AVERAGE(OFFSET($R$3,0,0,'Données projet'!$E$9+1,1))-AVERAGE(OFFSET($H$3,0,0,'Données projet'!$E$9+1,1))</f>
        <v>280.79223530986889</v>
      </c>
      <c r="T81" s="59">
        <f t="shared" si="88"/>
        <v>170.29932835468685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5.9</v>
      </c>
      <c r="AI81" s="13">
        <f>IF('Données projet'!$A$62&gt;35,AI80+AH81-AQ80,IF(A81&lt;'Données projet'!$A$62,$AF$205^A81,IF(A81='Données projet'!$A$62,'Données projet'!$B$62,AI80+AH81-AQ80)))</f>
        <v>248.69999999999987</v>
      </c>
      <c r="AJ81" s="13">
        <f>AI81*VLOOKUP('Données projet'!$B$10,Paramètres!$A$1:$I$89,3,0)*VLOOKUP('Données projet'!$B$10,Paramètres!$A$1:$I$89,5,0)</f>
        <v>252.18179999999987</v>
      </c>
      <c r="AK81" s="13">
        <f t="shared" si="89"/>
        <v>61.052903950515969</v>
      </c>
      <c r="AL81" s="20">
        <f t="shared" si="58"/>
        <v>545.55044271381507</v>
      </c>
      <c r="AM81" s="59">
        <f t="shared" si="59"/>
        <v>838.88377604714833</v>
      </c>
      <c r="AN81" s="59">
        <f ca="1">AVERAGE(OFFSET($AM$3,0,0,'Données projet'!$E$10+1,1))-AVERAGE(OFFSET($H$3,0,0,'Données projet'!$E$10+1,1))</f>
        <v>327.4505861600158</v>
      </c>
      <c r="AO81" s="59">
        <f t="shared" si="90"/>
        <v>193.18009444354595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5.9</v>
      </c>
      <c r="BD81" s="12">
        <f>IF('Données projet'!$A$88&gt;35,BD80+BC81-BL80,IF(A81&lt;'Données projet'!$A$88,$BA$205^A81,IF(A81='Données projet'!$A$88,'Données projet'!$B$88,BD80+BC81-BL80)))</f>
        <v>248.69999999999987</v>
      </c>
      <c r="BE81" s="13">
        <f>BD81*VLOOKUP('Données projet'!$B$11,Paramètres!$A$1:$I$89,3,0)*VLOOKUP('Données projet'!$B$11,Paramètres!$A$1:$I$89,5,0)</f>
        <v>259.94123999999988</v>
      </c>
      <c r="BF81" s="13">
        <f t="shared" si="91"/>
        <v>62.709852533946922</v>
      </c>
      <c r="BG81" s="20">
        <f t="shared" si="61"/>
        <v>561.95065282995722</v>
      </c>
      <c r="BH81" s="59">
        <f t="shared" si="62"/>
        <v>855.28398616329059</v>
      </c>
      <c r="BI81" s="59">
        <f ca="1">AVERAGE(OFFSET($BH$3,0,0,'Données projet'!$E$11+1,1))-AVERAGE(OFFSET($H$3,0,0,'Données projet'!$E$11+1,1))</f>
        <v>340.76197766679212</v>
      </c>
      <c r="BJ81" s="59">
        <f t="shared" si="92"/>
        <v>199.70700738826872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5.9</v>
      </c>
      <c r="BY81" s="12">
        <f>IF('Données projet'!$A$114&gt;35,BY80+BX81-CG80,IF(A81&lt;'Données projet'!$A$114,$BV$205^A81,IF(A81='Données projet'!$A$114,'Données projet'!$B$114,BY80+BX81-CG80)))</f>
        <v>248.69999999999987</v>
      </c>
      <c r="BZ81" s="13">
        <f>BY81*VLOOKUP('Données projet'!$B$12,Paramètres!$A$1:$I$89,3,0)*VLOOKUP('Données projet'!$B$12,Paramètres!$A$1:$I$89,5,0)</f>
        <v>267.70067999999986</v>
      </c>
      <c r="CA81" s="13">
        <f t="shared" si="93"/>
        <v>64.361052927956521</v>
      </c>
      <c r="CB81" s="20">
        <f t="shared" si="64"/>
        <v>578.34085151619058</v>
      </c>
      <c r="CC81" s="59">
        <f t="shared" si="65"/>
        <v>871.67418484952395</v>
      </c>
      <c r="CD81" s="59">
        <f ca="1">AVERAGE(OFFSET($CC$3,0,0,'Données projet'!$E$12+1,1))-AVERAGE(OFFSET($H$3,0,0,'Données projet'!$E$12+1,1))</f>
        <v>354.06521046071936</v>
      </c>
      <c r="CE81" s="59">
        <f t="shared" si="94"/>
        <v>206.22956332364367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5.9</v>
      </c>
      <c r="N82" s="13">
        <f>IF('Données projet'!$A$36&gt;35,N81+M82-V81,IF(A82&lt;'Données projet'!$A$36,$K$205^A82,IF(A82='Données projet'!$A$36,'Données projet'!$B$36,N81+M82-V81)))</f>
        <v>254.59999999999988</v>
      </c>
      <c r="O82" s="13">
        <f>N82*VLOOKUP('Données projet'!$B$9,Paramètres!$A$1:$I$89,3,0)*VLOOKUP('Données projet'!$B$9,Paramètres!$A$1:$I$89,5,0)</f>
        <v>230.36207999999988</v>
      </c>
      <c r="P82" s="13">
        <f t="shared" si="87"/>
        <v>56.360964523671768</v>
      </c>
      <c r="Q82" s="20">
        <f t="shared" si="54"/>
        <v>499.37596921206153</v>
      </c>
      <c r="R82" s="59">
        <f t="shared" si="55"/>
        <v>792.70930254539485</v>
      </c>
      <c r="S82" s="59">
        <f ca="1">AVERAGE(OFFSET($R$3,0,0,'Données projet'!$E$9+1,1))-AVERAGE(OFFSET($H$3,0,0,'Données projet'!$E$9+1,1))</f>
        <v>280.79223530986889</v>
      </c>
      <c r="T82" s="59">
        <f t="shared" si="88"/>
        <v>170.29932835468685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5.9</v>
      </c>
      <c r="AI82" s="13">
        <f>IF('Données projet'!$A$62&gt;35,AI81+AH82-AQ81,IF(A82&lt;'Données projet'!$A$62,$AF$205^A82,IF(A82='Données projet'!$A$62,'Données projet'!$B$62,AI81+AH82-AQ81)))</f>
        <v>254.59999999999988</v>
      </c>
      <c r="AJ82" s="13">
        <f>AI82*VLOOKUP('Données projet'!$B$10,Paramètres!$A$1:$I$89,3,0)*VLOOKUP('Données projet'!$B$10,Paramètres!$A$1:$I$89,5,0)</f>
        <v>258.16439999999989</v>
      </c>
      <c r="AK82" s="13">
        <f t="shared" si="89"/>
        <v>62.3309410183914</v>
      </c>
      <c r="AL82" s="20">
        <f t="shared" si="58"/>
        <v>558.19605227369811</v>
      </c>
      <c r="AM82" s="59">
        <f t="shared" si="59"/>
        <v>851.52938560703137</v>
      </c>
      <c r="AN82" s="59">
        <f ca="1">AVERAGE(OFFSET($AM$3,0,0,'Données projet'!$E$10+1,1))-AVERAGE(OFFSET($H$3,0,0,'Données projet'!$E$10+1,1))</f>
        <v>327.4505861600158</v>
      </c>
      <c r="AO82" s="59">
        <f t="shared" si="90"/>
        <v>193.18009444354595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5.9</v>
      </c>
      <c r="BD82" s="12">
        <f>IF('Données projet'!$A$88&gt;35,BD81+BC82-BL81,IF(A82&lt;'Données projet'!$A$88,$BA$205^A82,IF(A82='Données projet'!$A$88,'Données projet'!$B$88,BD81+BC82-BL81)))</f>
        <v>254.59999999999988</v>
      </c>
      <c r="BE82" s="13">
        <f>BD82*VLOOKUP('Données projet'!$B$11,Paramètres!$A$1:$I$89,3,0)*VLOOKUP('Données projet'!$B$11,Paramètres!$A$1:$I$89,5,0)</f>
        <v>266.10791999999992</v>
      </c>
      <c r="BF82" s="13">
        <f t="shared" si="91"/>
        <v>64.022574957835957</v>
      </c>
      <c r="BG82" s="20">
        <f t="shared" si="61"/>
        <v>574.97727871823076</v>
      </c>
      <c r="BH82" s="59">
        <f t="shared" si="62"/>
        <v>868.31061205156402</v>
      </c>
      <c r="BI82" s="59">
        <f ca="1">AVERAGE(OFFSET($BH$3,0,0,'Données projet'!$E$11+1,1))-AVERAGE(OFFSET($H$3,0,0,'Données projet'!$E$11+1,1))</f>
        <v>340.76197766679212</v>
      </c>
      <c r="BJ82" s="59">
        <f t="shared" si="92"/>
        <v>199.70700738826872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5.9</v>
      </c>
      <c r="BY82" s="12">
        <f>IF('Données projet'!$A$114&gt;35,BY81+BX82-CG81,IF(A82&lt;'Données projet'!$A$114,$BV$205^A82,IF(A82='Données projet'!$A$114,'Données projet'!$B$114,BY81+BX82-CG81)))</f>
        <v>254.59999999999988</v>
      </c>
      <c r="BZ82" s="13">
        <f>BY82*VLOOKUP('Données projet'!$B$12,Paramètres!$A$1:$I$89,3,0)*VLOOKUP('Données projet'!$B$12,Paramètres!$A$1:$I$89,5,0)</f>
        <v>274.05143999999984</v>
      </c>
      <c r="CA82" s="13">
        <f t="shared" si="93"/>
        <v>65.70834037944428</v>
      </c>
      <c r="CB82" s="20">
        <f t="shared" si="64"/>
        <v>591.74828416086518</v>
      </c>
      <c r="CC82" s="59">
        <f t="shared" si="65"/>
        <v>885.08161749419855</v>
      </c>
      <c r="CD82" s="59">
        <f ca="1">AVERAGE(OFFSET($CC$3,0,0,'Données projet'!$E$12+1,1))-AVERAGE(OFFSET($H$3,0,0,'Données projet'!$E$12+1,1))</f>
        <v>354.06521046071936</v>
      </c>
      <c r="CE82" s="59">
        <f t="shared" si="94"/>
        <v>206.22956332364367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5.9</v>
      </c>
      <c r="N83" s="13">
        <f>IF('Données projet'!$A$36&gt;35,N82+M83-V82,IF(A83&lt;'Données projet'!$A$36,$K$205^A83,IF(A83='Données projet'!$A$36,'Données projet'!$B$36,N82+M83-V82)))</f>
        <v>260.49999999999989</v>
      </c>
      <c r="O83" s="13">
        <f>N83*VLOOKUP('Données projet'!$B$9,Paramètres!$A$1:$I$89,3,0)*VLOOKUP('Données projet'!$B$9,Paramètres!$A$1:$I$89,5,0)</f>
        <v>235.70039999999989</v>
      </c>
      <c r="P83" s="13">
        <f t="shared" si="87"/>
        <v>57.513479567871634</v>
      </c>
      <c r="Q83" s="20">
        <f t="shared" si="54"/>
        <v>510.68084024737624</v>
      </c>
      <c r="R83" s="59">
        <f t="shared" si="55"/>
        <v>804.01417358070955</v>
      </c>
      <c r="S83" s="59">
        <f ca="1">AVERAGE(OFFSET($R$3,0,0,'Données projet'!$E$9+1,1))-AVERAGE(OFFSET($H$3,0,0,'Données projet'!$E$9+1,1))</f>
        <v>280.79223530986889</v>
      </c>
      <c r="T83" s="59">
        <f t="shared" si="88"/>
        <v>170.29932835468685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5.9</v>
      </c>
      <c r="AI83" s="13">
        <f>IF('Données projet'!$A$62&gt;35,AI82+AH83-AQ82,IF(A83&lt;'Données projet'!$A$62,$AF$205^A83,IF(A83='Données projet'!$A$62,'Données projet'!$B$62,AI82+AH83-AQ82)))</f>
        <v>260.49999999999989</v>
      </c>
      <c r="AJ83" s="13">
        <f>AI83*VLOOKUP('Données projet'!$B$10,Paramètres!$A$1:$I$89,3,0)*VLOOKUP('Données projet'!$B$10,Paramètres!$A$1:$I$89,5,0)</f>
        <v>264.14699999999988</v>
      </c>
      <c r="AK83" s="13">
        <f t="shared" si="89"/>
        <v>63.605535018865886</v>
      </c>
      <c r="AL83" s="20">
        <f t="shared" si="58"/>
        <v>570.83566515785787</v>
      </c>
      <c r="AM83" s="59">
        <f t="shared" si="59"/>
        <v>864.16899849119113</v>
      </c>
      <c r="AN83" s="59">
        <f ca="1">AVERAGE(OFFSET($AM$3,0,0,'Données projet'!$E$10+1,1))-AVERAGE(OFFSET($H$3,0,0,'Données projet'!$E$10+1,1))</f>
        <v>327.4505861600158</v>
      </c>
      <c r="AO83" s="59">
        <f t="shared" si="90"/>
        <v>193.18009444354595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5.9</v>
      </c>
      <c r="BD83" s="12">
        <f>IF('Données projet'!$A$88&gt;35,BD82+BC83-BL82,IF(A83&lt;'Données projet'!$A$88,$BA$205^A83,IF(A83='Données projet'!$A$88,'Données projet'!$B$88,BD82+BC83-BL82)))</f>
        <v>260.49999999999989</v>
      </c>
      <c r="BE83" s="13">
        <f>BD83*VLOOKUP('Données projet'!$B$11,Paramètres!$A$1:$I$89,3,0)*VLOOKUP('Données projet'!$B$11,Paramètres!$A$1:$I$89,5,0)</f>
        <v>272.27459999999991</v>
      </c>
      <c r="BF83" s="13">
        <f t="shared" si="91"/>
        <v>65.331760871010417</v>
      </c>
      <c r="BG83" s="20">
        <f t="shared" si="61"/>
        <v>587.99774518367633</v>
      </c>
      <c r="BH83" s="59">
        <f t="shared" si="62"/>
        <v>881.3310785170097</v>
      </c>
      <c r="BI83" s="59">
        <f ca="1">AVERAGE(OFFSET($BH$3,0,0,'Données projet'!$E$11+1,1))-AVERAGE(OFFSET($H$3,0,0,'Données projet'!$E$11+1,1))</f>
        <v>340.76197766679212</v>
      </c>
      <c r="BJ83" s="59">
        <f t="shared" si="92"/>
        <v>199.70700738826872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5.9</v>
      </c>
      <c r="BY83" s="12">
        <f>IF('Données projet'!$A$114&gt;35,BY82+BX83-CG82,IF(A83&lt;'Données projet'!$A$114,$BV$205^A83,IF(A83='Données projet'!$A$114,'Données projet'!$B$114,BY82+BX83-CG82)))</f>
        <v>260.49999999999989</v>
      </c>
      <c r="BZ83" s="13">
        <f>BY83*VLOOKUP('Données projet'!$B$12,Paramètres!$A$1:$I$89,3,0)*VLOOKUP('Données projet'!$B$12,Paramètres!$A$1:$I$89,5,0)</f>
        <v>280.40219999999988</v>
      </c>
      <c r="CA83" s="13">
        <f t="shared" si="93"/>
        <v>67.051998201071953</v>
      </c>
      <c r="CB83" s="20">
        <f t="shared" si="64"/>
        <v>605.14939520020005</v>
      </c>
      <c r="CC83" s="59">
        <f t="shared" si="65"/>
        <v>898.48272853353342</v>
      </c>
      <c r="CD83" s="59">
        <f ca="1">AVERAGE(OFFSET($CC$3,0,0,'Données projet'!$E$12+1,1))-AVERAGE(OFFSET($H$3,0,0,'Données projet'!$E$12+1,1))</f>
        <v>354.06521046071936</v>
      </c>
      <c r="CE83" s="59">
        <f t="shared" si="94"/>
        <v>206.22956332364367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5.9</v>
      </c>
      <c r="N84" s="13">
        <f>IF('Données projet'!$A$36&gt;35,N83+M84-V83,IF(A84&lt;'Données projet'!$A$36,$K$205^A84,IF(A84='Données projet'!$A$36,'Données projet'!$B$36,N83+M84-V83)))</f>
        <v>266.39999999999986</v>
      </c>
      <c r="O84" s="13">
        <f>N84*VLOOKUP('Données projet'!$B$9,Paramètres!$A$1:$I$89,3,0)*VLOOKUP('Données projet'!$B$9,Paramètres!$A$1:$I$89,5,0)</f>
        <v>241.03871999999987</v>
      </c>
      <c r="P84" s="13">
        <f t="shared" si="87"/>
        <v>58.66295994697046</v>
      </c>
      <c r="Q84" s="20">
        <f t="shared" si="54"/>
        <v>521.98042590763998</v>
      </c>
      <c r="R84" s="59">
        <f t="shared" si="55"/>
        <v>815.31375924097324</v>
      </c>
      <c r="S84" s="59">
        <f ca="1">AVERAGE(OFFSET($R$3,0,0,'Données projet'!$E$9+1,1))-AVERAGE(OFFSET($H$3,0,0,'Données projet'!$E$9+1,1))</f>
        <v>280.79223530986889</v>
      </c>
      <c r="T84" s="59">
        <f t="shared" si="88"/>
        <v>170.29932835468685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5.9</v>
      </c>
      <c r="AI84" s="13">
        <f>IF('Données projet'!$A$62&gt;35,AI83+AH84-AQ83,IF(A84&lt;'Données projet'!$A$62,$AF$205^A84,IF(A84='Données projet'!$A$62,'Données projet'!$B$62,AI83+AH84-AQ83)))</f>
        <v>266.39999999999986</v>
      </c>
      <c r="AJ84" s="13">
        <f>AI84*VLOOKUP('Données projet'!$B$10,Paramètres!$A$1:$I$89,3,0)*VLOOKUP('Données projet'!$B$10,Paramètres!$A$1:$I$89,5,0)</f>
        <v>270.12959999999987</v>
      </c>
      <c r="AK84" s="13">
        <f t="shared" si="89"/>
        <v>64.876772910497735</v>
      </c>
      <c r="AL84" s="20">
        <f t="shared" si="58"/>
        <v>583.46943281911661</v>
      </c>
      <c r="AM84" s="59">
        <f t="shared" si="59"/>
        <v>876.80276615244998</v>
      </c>
      <c r="AN84" s="59">
        <f ca="1">AVERAGE(OFFSET($AM$3,0,0,'Données projet'!$E$10+1,1))-AVERAGE(OFFSET($H$3,0,0,'Données projet'!$E$10+1,1))</f>
        <v>327.4505861600158</v>
      </c>
      <c r="AO84" s="59">
        <f t="shared" si="90"/>
        <v>193.18009444354595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5.9</v>
      </c>
      <c r="BD84" s="12">
        <f>IF('Données projet'!$A$88&gt;35,BD83+BC84-BL83,IF(A84&lt;'Données projet'!$A$88,$BA$205^A84,IF(A84='Données projet'!$A$88,'Données projet'!$B$88,BD83+BC84-BL83)))</f>
        <v>266.39999999999986</v>
      </c>
      <c r="BE84" s="13">
        <f>BD84*VLOOKUP('Données projet'!$B$11,Paramètres!$A$1:$I$89,3,0)*VLOOKUP('Données projet'!$B$11,Paramètres!$A$1:$I$89,5,0)</f>
        <v>278.44127999999989</v>
      </c>
      <c r="BF84" s="13">
        <f t="shared" si="91"/>
        <v>66.637499592045145</v>
      </c>
      <c r="BG84" s="20">
        <f t="shared" si="61"/>
        <v>601.01220778947845</v>
      </c>
      <c r="BH84" s="59">
        <f t="shared" si="62"/>
        <v>894.34554112281171</v>
      </c>
      <c r="BI84" s="59">
        <f ca="1">AVERAGE(OFFSET($BH$3,0,0,'Données projet'!$E$11+1,1))-AVERAGE(OFFSET($H$3,0,0,'Données projet'!$E$11+1,1))</f>
        <v>340.76197766679212</v>
      </c>
      <c r="BJ84" s="59">
        <f t="shared" si="92"/>
        <v>199.70700738826872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5.9</v>
      </c>
      <c r="BY84" s="12">
        <f>IF('Données projet'!$A$114&gt;35,BY83+BX84-CG83,IF(A84&lt;'Données projet'!$A$114,$BV$205^A84,IF(A84='Données projet'!$A$114,'Données projet'!$B$114,BY83+BX84-CG83)))</f>
        <v>266.39999999999986</v>
      </c>
      <c r="BZ84" s="13">
        <f>BY84*VLOOKUP('Données projet'!$B$12,Paramètres!$A$1:$I$89,3,0)*VLOOKUP('Données projet'!$B$12,Paramètres!$A$1:$I$89,5,0)</f>
        <v>286.75295999999986</v>
      </c>
      <c r="CA84" s="13">
        <f t="shared" si="93"/>
        <v>68.392118063243558</v>
      </c>
      <c r="CB84" s="20">
        <f t="shared" si="64"/>
        <v>618.54434429348237</v>
      </c>
      <c r="CC84" s="59">
        <f t="shared" si="65"/>
        <v>911.87767762681574</v>
      </c>
      <c r="CD84" s="59">
        <f ca="1">AVERAGE(OFFSET($CC$3,0,0,'Données projet'!$E$12+1,1))-AVERAGE(OFFSET($H$3,0,0,'Données projet'!$E$12+1,1))</f>
        <v>354.06521046071936</v>
      </c>
      <c r="CE84" s="59">
        <f t="shared" si="94"/>
        <v>206.22956332364367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5.9</v>
      </c>
      <c r="N85" s="13">
        <f>IF('Données projet'!$A$36&gt;35,N84+M85-V84,IF(A85&lt;'Données projet'!$A$36,$K$205^A85,IF(A85='Données projet'!$A$36,'Données projet'!$B$36,N84+M85-V84)))</f>
        <v>272.29999999999984</v>
      </c>
      <c r="O85" s="13">
        <f>N85*VLOOKUP('Données projet'!$B$9,Paramètres!$A$1:$I$89,3,0)*VLOOKUP('Données projet'!$B$9,Paramètres!$A$1:$I$89,5,0)</f>
        <v>246.37703999999982</v>
      </c>
      <c r="P85" s="13">
        <f t="shared" si="87"/>
        <v>59.809480609038189</v>
      </c>
      <c r="Q85" s="20">
        <f t="shared" si="54"/>
        <v>533.27485672740784</v>
      </c>
      <c r="R85" s="59">
        <f t="shared" si="55"/>
        <v>826.60819006074121</v>
      </c>
      <c r="S85" s="59">
        <f ca="1">AVERAGE(OFFSET($R$3,0,0,'Données projet'!$E$9+1,1))-AVERAGE(OFFSET($H$3,0,0,'Données projet'!$E$9+1,1))</f>
        <v>280.79223530986889</v>
      </c>
      <c r="T85" s="59">
        <f t="shared" si="88"/>
        <v>170.29932835468685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5.9</v>
      </c>
      <c r="AI85" s="13">
        <f>IF('Données projet'!$A$62&gt;35,AI84+AH85-AQ84,IF(A85&lt;'Données projet'!$A$62,$AF$205^A85,IF(A85='Données projet'!$A$62,'Données projet'!$B$62,AI84+AH85-AQ84)))</f>
        <v>272.29999999999984</v>
      </c>
      <c r="AJ85" s="13">
        <f>AI85*VLOOKUP('Données projet'!$B$10,Paramètres!$A$1:$I$89,3,0)*VLOOKUP('Données projet'!$B$10,Paramètres!$A$1:$I$89,5,0)</f>
        <v>276.11219999999986</v>
      </c>
      <c r="AK85" s="13">
        <f t="shared" si="89"/>
        <v>66.144737580152963</v>
      </c>
      <c r="AL85" s="20">
        <f t="shared" si="58"/>
        <v>596.09749961876616</v>
      </c>
      <c r="AM85" s="59">
        <f t="shared" si="59"/>
        <v>889.43083295209954</v>
      </c>
      <c r="AN85" s="59">
        <f ca="1">AVERAGE(OFFSET($AM$3,0,0,'Données projet'!$E$10+1,1))-AVERAGE(OFFSET($H$3,0,0,'Données projet'!$E$10+1,1))</f>
        <v>327.4505861600158</v>
      </c>
      <c r="AO85" s="59">
        <f t="shared" si="90"/>
        <v>193.18009444354595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5.9</v>
      </c>
      <c r="BD85" s="12">
        <f>IF('Données projet'!$A$88&gt;35,BD84+BC85-BL84,IF(A85&lt;'Données projet'!$A$88,$BA$205^A85,IF(A85='Données projet'!$A$88,'Données projet'!$B$88,BD84+BC85-BL84)))</f>
        <v>272.29999999999984</v>
      </c>
      <c r="BE85" s="13">
        <f>BD85*VLOOKUP('Données projet'!$B$11,Paramètres!$A$1:$I$89,3,0)*VLOOKUP('Données projet'!$B$11,Paramètres!$A$1:$I$89,5,0)</f>
        <v>284.60795999999988</v>
      </c>
      <c r="BF85" s="13">
        <f t="shared" si="91"/>
        <v>67.939876257318545</v>
      </c>
      <c r="BG85" s="20">
        <f t="shared" si="61"/>
        <v>614.02081481482958</v>
      </c>
      <c r="BH85" s="59">
        <f t="shared" si="62"/>
        <v>907.35414814816295</v>
      </c>
      <c r="BI85" s="59">
        <f ca="1">AVERAGE(OFFSET($BH$3,0,0,'Données projet'!$E$11+1,1))-AVERAGE(OFFSET($H$3,0,0,'Données projet'!$E$11+1,1))</f>
        <v>340.76197766679212</v>
      </c>
      <c r="BJ85" s="59">
        <f t="shared" si="92"/>
        <v>199.70700738826872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5.9</v>
      </c>
      <c r="BY85" s="12">
        <f>IF('Données projet'!$A$114&gt;35,BY84+BX85-CG84,IF(A85&lt;'Données projet'!$A$114,$BV$205^A85,IF(A85='Données projet'!$A$114,'Données projet'!$B$114,BY84+BX85-CG84)))</f>
        <v>272.29999999999984</v>
      </c>
      <c r="BZ85" s="13">
        <f>BY85*VLOOKUP('Données projet'!$B$12,Paramètres!$A$1:$I$89,3,0)*VLOOKUP('Données projet'!$B$12,Paramètres!$A$1:$I$89,5,0)</f>
        <v>293.10371999999984</v>
      </c>
      <c r="CA85" s="13">
        <f t="shared" si="93"/>
        <v>69.728787344046424</v>
      </c>
      <c r="CB85" s="20">
        <f t="shared" si="64"/>
        <v>631.9332836242138</v>
      </c>
      <c r="CC85" s="59">
        <f t="shared" si="65"/>
        <v>925.26661695754706</v>
      </c>
      <c r="CD85" s="59">
        <f ca="1">AVERAGE(OFFSET($CC$3,0,0,'Données projet'!$E$12+1,1))-AVERAGE(OFFSET($H$3,0,0,'Données projet'!$E$12+1,1))</f>
        <v>354.06521046071936</v>
      </c>
      <c r="CE85" s="59">
        <f t="shared" si="94"/>
        <v>206.22956332364367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5.9</v>
      </c>
      <c r="N86" s="13">
        <f>IF('Données projet'!$A$36&gt;35,N85+M86-V85,IF(A86&lt;'Données projet'!$A$36,$K$205^A86,IF(A86='Données projet'!$A$36,'Données projet'!$B$36,N85+M86-V85)))</f>
        <v>278.19999999999982</v>
      </c>
      <c r="O86" s="13">
        <f>N86*VLOOKUP('Données projet'!$B$9,Paramètres!$A$1:$I$89,3,0)*VLOOKUP('Données projet'!$B$9,Paramètres!$A$1:$I$89,5,0)</f>
        <v>251.71535999999983</v>
      </c>
      <c r="P86" s="13">
        <f t="shared" si="87"/>
        <v>60.953113068801812</v>
      </c>
      <c r="Q86" s="20">
        <f t="shared" si="54"/>
        <v>544.5642572614961</v>
      </c>
      <c r="R86" s="59">
        <f t="shared" si="55"/>
        <v>837.89759059482935</v>
      </c>
      <c r="S86" s="59">
        <f ca="1">AVERAGE(OFFSET($R$3,0,0,'Données projet'!$E$9+1,1))-AVERAGE(OFFSET($H$3,0,0,'Données projet'!$E$9+1,1))</f>
        <v>280.79223530986889</v>
      </c>
      <c r="T86" s="59">
        <f t="shared" si="88"/>
        <v>170.29932835468685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5.9</v>
      </c>
      <c r="AI86" s="13">
        <f>IF('Données projet'!$A$62&gt;35,AI85+AH86-AQ85,IF(A86&lt;'Données projet'!$A$62,$AF$205^A86,IF(A86='Données projet'!$A$62,'Données projet'!$B$62,AI85+AH86-AQ85)))</f>
        <v>278.19999999999982</v>
      </c>
      <c r="AJ86" s="13">
        <f>AI86*VLOOKUP('Données projet'!$B$10,Paramètres!$A$1:$I$89,3,0)*VLOOKUP('Données projet'!$B$10,Paramètres!$A$1:$I$89,5,0)</f>
        <v>282.09479999999985</v>
      </c>
      <c r="AK86" s="13">
        <f t="shared" si="89"/>
        <v>67.409508117681739</v>
      </c>
      <c r="AL86" s="20">
        <f t="shared" si="58"/>
        <v>608.72000330496201</v>
      </c>
      <c r="AM86" s="59">
        <f t="shared" si="59"/>
        <v>902.05333663829538</v>
      </c>
      <c r="AN86" s="59">
        <f ca="1">AVERAGE(OFFSET($AM$3,0,0,'Données projet'!$E$10+1,1))-AVERAGE(OFFSET($H$3,0,0,'Données projet'!$E$10+1,1))</f>
        <v>327.4505861600158</v>
      </c>
      <c r="AO86" s="59">
        <f t="shared" si="90"/>
        <v>193.18009444354595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5.9</v>
      </c>
      <c r="BD86" s="12">
        <f>IF('Données projet'!$A$88&gt;35,BD85+BC86-BL85,IF(A86&lt;'Données projet'!$A$88,$BA$205^A86,IF(A86='Données projet'!$A$88,'Données projet'!$B$88,BD85+BC86-BL85)))</f>
        <v>278.19999999999982</v>
      </c>
      <c r="BE86" s="13">
        <f>BD86*VLOOKUP('Données projet'!$B$11,Paramètres!$A$1:$I$89,3,0)*VLOOKUP('Données projet'!$B$11,Paramètres!$A$1:$I$89,5,0)</f>
        <v>290.77463999999986</v>
      </c>
      <c r="BF86" s="13">
        <f t="shared" si="91"/>
        <v>69.238972103144306</v>
      </c>
      <c r="BG86" s="20">
        <f t="shared" si="61"/>
        <v>627.02370774630936</v>
      </c>
      <c r="BH86" s="59">
        <f t="shared" si="62"/>
        <v>920.35704107964261</v>
      </c>
      <c r="BI86" s="59">
        <f ca="1">AVERAGE(OFFSET($BH$3,0,0,'Données projet'!$E$11+1,1))-AVERAGE(OFFSET($H$3,0,0,'Données projet'!$E$11+1,1))</f>
        <v>340.76197766679212</v>
      </c>
      <c r="BJ86" s="59">
        <f t="shared" si="92"/>
        <v>199.70700738826872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5.9</v>
      </c>
      <c r="BY86" s="12">
        <f>IF('Données projet'!$A$114&gt;35,BY85+BX86-CG85,IF(A86&lt;'Données projet'!$A$114,$BV$205^A86,IF(A86='Données projet'!$A$114,'Données projet'!$B$114,BY85+BX86-CG85)))</f>
        <v>278.19999999999982</v>
      </c>
      <c r="BZ86" s="13">
        <f>BY86*VLOOKUP('Données projet'!$B$12,Paramètres!$A$1:$I$89,3,0)*VLOOKUP('Données projet'!$B$12,Paramètres!$A$1:$I$89,5,0)</f>
        <v>299.45447999999976</v>
      </c>
      <c r="CA86" s="13">
        <f t="shared" si="93"/>
        <v>71.062089418810686</v>
      </c>
      <c r="CB86" s="20">
        <f t="shared" si="64"/>
        <v>645.31635840442812</v>
      </c>
      <c r="CC86" s="59">
        <f t="shared" si="65"/>
        <v>938.64969173776149</v>
      </c>
      <c r="CD86" s="59">
        <f ca="1">AVERAGE(OFFSET($CC$3,0,0,'Données projet'!$E$12+1,1))-AVERAGE(OFFSET($H$3,0,0,'Données projet'!$E$12+1,1))</f>
        <v>354.06521046071936</v>
      </c>
      <c r="CE86" s="59">
        <f t="shared" si="94"/>
        <v>206.22956332364367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5.9</v>
      </c>
      <c r="N87" s="13">
        <f>IF('Données projet'!$A$36&gt;35,N86+M87-V86,IF(A87&lt;'Données projet'!$A$36,$K$205^A87,IF(A87='Données projet'!$A$36,'Données projet'!$B$36,N86+M87-V86)))</f>
        <v>284.0999999999998</v>
      </c>
      <c r="O87" s="13">
        <f>N87*VLOOKUP('Données projet'!$B$9,Paramètres!$A$1:$I$89,3,0)*VLOOKUP('Données projet'!$B$9,Paramètres!$A$1:$I$89,5,0)</f>
        <v>257.05367999999982</v>
      </c>
      <c r="P87" s="13">
        <f t="shared" si="87"/>
        <v>62.093925634350327</v>
      </c>
      <c r="Q87" s="20">
        <f t="shared" si="54"/>
        <v>555.84874647982645</v>
      </c>
      <c r="R87" s="59">
        <f t="shared" si="55"/>
        <v>849.18207981315982</v>
      </c>
      <c r="S87" s="59">
        <f ca="1">AVERAGE(OFFSET($R$3,0,0,'Données projet'!$E$9+1,1))-AVERAGE(OFFSET($H$3,0,0,'Données projet'!$E$9+1,1))</f>
        <v>280.79223530986889</v>
      </c>
      <c r="T87" s="59">
        <f t="shared" si="88"/>
        <v>170.29932835468685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5.9</v>
      </c>
      <c r="AI87" s="13">
        <f>IF('Données projet'!$A$62&gt;35,AI86+AH87-AQ86,IF(A87&lt;'Données projet'!$A$62,$AF$205^A87,IF(A87='Données projet'!$A$62,'Données projet'!$B$62,AI86+AH87-AQ86)))</f>
        <v>284.0999999999998</v>
      </c>
      <c r="AJ87" s="13">
        <f>AI87*VLOOKUP('Données projet'!$B$10,Paramètres!$A$1:$I$89,3,0)*VLOOKUP('Données projet'!$B$10,Paramètres!$A$1:$I$89,5,0)</f>
        <v>288.07739999999984</v>
      </c>
      <c r="AK87" s="13">
        <f t="shared" si="89"/>
        <v>68.671160066636261</v>
      </c>
      <c r="AL87" s="20">
        <f t="shared" si="58"/>
        <v>621.33707544939125</v>
      </c>
      <c r="AM87" s="59">
        <f t="shared" si="59"/>
        <v>914.67040878272451</v>
      </c>
      <c r="AN87" s="59">
        <f ca="1">AVERAGE(OFFSET($AM$3,0,0,'Données projet'!$E$10+1,1))-AVERAGE(OFFSET($H$3,0,0,'Données projet'!$E$10+1,1))</f>
        <v>327.4505861600158</v>
      </c>
      <c r="AO87" s="59">
        <f t="shared" si="90"/>
        <v>193.18009444354595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5.9</v>
      </c>
      <c r="BD87" s="12">
        <f>IF('Données projet'!$A$88&gt;35,BD86+BC87-BL86,IF(A87&lt;'Données projet'!$A$88,$BA$205^A87,IF(A87='Données projet'!$A$88,'Données projet'!$B$88,BD86+BC87-BL86)))</f>
        <v>284.0999999999998</v>
      </c>
      <c r="BE87" s="13">
        <f>BD87*VLOOKUP('Données projet'!$B$11,Paramètres!$A$1:$I$89,3,0)*VLOOKUP('Données projet'!$B$11,Paramètres!$A$1:$I$89,5,0)</f>
        <v>296.94131999999979</v>
      </c>
      <c r="BF87" s="13">
        <f t="shared" si="91"/>
        <v>70.534864723292614</v>
      </c>
      <c r="BG87" s="20">
        <f t="shared" si="61"/>
        <v>640.02102172640105</v>
      </c>
      <c r="BH87" s="59">
        <f t="shared" si="62"/>
        <v>933.35435505973442</v>
      </c>
      <c r="BI87" s="59">
        <f ca="1">AVERAGE(OFFSET($BH$3,0,0,'Données projet'!$E$11+1,1))-AVERAGE(OFFSET($H$3,0,0,'Données projet'!$E$11+1,1))</f>
        <v>340.76197766679212</v>
      </c>
      <c r="BJ87" s="59">
        <f t="shared" si="92"/>
        <v>199.70700738826872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5.9</v>
      </c>
      <c r="BY87" s="12">
        <f>IF('Données projet'!$A$114&gt;35,BY86+BX87-CG86,IF(A87&lt;'Données projet'!$A$114,$BV$205^A87,IF(A87='Données projet'!$A$114,'Données projet'!$B$114,BY86+BX87-CG86)))</f>
        <v>284.0999999999998</v>
      </c>
      <c r="BZ87" s="13">
        <f>BY87*VLOOKUP('Données projet'!$B$12,Paramètres!$A$1:$I$89,3,0)*VLOOKUP('Données projet'!$B$12,Paramètres!$A$1:$I$89,5,0)</f>
        <v>305.8052399999998</v>
      </c>
      <c r="CA87" s="13">
        <f t="shared" si="93"/>
        <v>72.392103924412837</v>
      </c>
      <c r="CB87" s="20">
        <f t="shared" si="64"/>
        <v>658.69370733501853</v>
      </c>
      <c r="CC87" s="59">
        <f t="shared" si="65"/>
        <v>952.0270406683519</v>
      </c>
      <c r="CD87" s="59">
        <f ca="1">AVERAGE(OFFSET($CC$3,0,0,'Données projet'!$E$12+1,1))-AVERAGE(OFFSET($H$3,0,0,'Données projet'!$E$12+1,1))</f>
        <v>354.06521046071936</v>
      </c>
      <c r="CE87" s="59">
        <f t="shared" si="94"/>
        <v>206.22956332364367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290</v>
      </c>
      <c r="L88" s="12">
        <f>VLOOKUP(A88,'Données projet'!$A$35:$I$55,9,0)</f>
        <v>5.9</v>
      </c>
      <c r="M88" s="12">
        <f t="array" ref="M88">INDEX(L:L,MIN(IF(ISNUMBER(L88:L284),ROW(L88:L284),"")))</f>
        <v>5.9</v>
      </c>
      <c r="N88" s="13">
        <f>IF('Données projet'!$A$36&gt;35,N87+M88-V87,IF(A88&lt;'Données projet'!$A$36,$K$205^A88,IF(A88='Données projet'!$A$36,'Données projet'!$B$36,N87+M88-V87)))</f>
        <v>289.99999999999977</v>
      </c>
      <c r="O88" s="13">
        <f>N88*VLOOKUP('Données projet'!$B$9,Paramètres!$A$1:$I$89,3,0)*VLOOKUP('Données projet'!$B$9,Paramètres!$A$1:$I$89,5,0)</f>
        <v>262.39199999999977</v>
      </c>
      <c r="P88" s="13">
        <f t="shared" si="87"/>
        <v>63.231983614474892</v>
      </c>
      <c r="Q88" s="20">
        <f t="shared" si="54"/>
        <v>567.12843812854328</v>
      </c>
      <c r="R88" s="59">
        <f t="shared" si="55"/>
        <v>860.46177146187665</v>
      </c>
      <c r="S88" s="59">
        <f ca="1">AVERAGE(OFFSET($R$3,0,0,'Données projet'!$E$9+1,1))-AVERAGE(OFFSET($H$3,0,0,'Données projet'!$E$9+1,1))</f>
        <v>280.79223530986889</v>
      </c>
      <c r="T88" s="59">
        <f t="shared" si="88"/>
        <v>170.29932835468685</v>
      </c>
      <c r="U88" s="15">
        <f>IF(ISNA(VLOOKUP(A88,'Données projet'!$A$35:$I$55,3,0)),0,VLOOKUP(A88,'Données projet'!$A$35:$I$55,3,0))</f>
        <v>7</v>
      </c>
      <c r="V88" s="15">
        <f>IF(ISNA(VLOOKUP(A88,'Données projet'!$A$35:$I$55,4,0)),0,VLOOKUP(A88,'Données projet'!$A$35:$I$55,4,0))</f>
        <v>42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290</v>
      </c>
      <c r="AG88" s="12">
        <f>VLOOKUP(A88,'Données projet'!$A$61:$I$81,9,0)</f>
        <v>5.9</v>
      </c>
      <c r="AH88" s="12">
        <f t="array" ref="AH88">INDEX(AG:AG,MIN(IF(ISNUMBER(AG88:AG284),ROW(AG88:AG284),"")))</f>
        <v>5.9</v>
      </c>
      <c r="AI88" s="13">
        <f>IF('Données projet'!$A$62&gt;35,AI87+AH88-AQ87,IF(A88&lt;'Données projet'!$A$62,$AF$205^A88,IF(A88='Données projet'!$A$62,'Données projet'!$B$62,AI87+AH88-AQ87)))</f>
        <v>289.99999999999977</v>
      </c>
      <c r="AJ88" s="13">
        <f>AI88*VLOOKUP('Données projet'!$B$10,Paramètres!$A$1:$I$89,3,0)*VLOOKUP('Données projet'!$B$10,Paramètres!$A$1:$I$89,5,0)</f>
        <v>294.05999999999977</v>
      </c>
      <c r="AK88" s="13">
        <f t="shared" si="89"/>
        <v>69.929765653573313</v>
      </c>
      <c r="AL88" s="20">
        <f t="shared" si="58"/>
        <v>633.94884184663977</v>
      </c>
      <c r="AM88" s="59">
        <f t="shared" si="59"/>
        <v>927.28217517997314</v>
      </c>
      <c r="AN88" s="59">
        <f ca="1">AVERAGE(OFFSET($AM$3,0,0,'Données projet'!$E$10+1,1))-AVERAGE(OFFSET($H$3,0,0,'Données projet'!$E$10+1,1))</f>
        <v>327.4505861600158</v>
      </c>
      <c r="AO88" s="59">
        <f t="shared" si="90"/>
        <v>193.18009444354595</v>
      </c>
      <c r="AP88" s="15">
        <f>IF(ISNA(VLOOKUP(A88,'Données projet'!$A$61:$I$81,3,0)),0,VLOOKUP(A88,'Données projet'!$A$61:$I$81,3,0))</f>
        <v>7</v>
      </c>
      <c r="AQ88" s="15">
        <f>IF(ISNA(VLOOKUP(A88,'Données projet'!$A$61:$I$81,4,0)),0,VLOOKUP(A88,'Données projet'!$A$61:$I$81,4,0))</f>
        <v>42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290</v>
      </c>
      <c r="BB88" s="12">
        <f>VLOOKUP(A88,'Données projet'!$A$87:$I$107,9,0)</f>
        <v>5.9</v>
      </c>
      <c r="BC88" s="12">
        <f t="array" ref="BC88">INDEX(BB:BB,MIN(IF(ISNUMBER(BB88:BB284),ROW(BB88:BB284),"")))</f>
        <v>5.9</v>
      </c>
      <c r="BD88" s="12">
        <f>IF('Données projet'!$A$88&gt;35,BD87+BC88-BL87,IF(A88&lt;'Données projet'!$A$88,$BA$205^A88,IF(A88='Données projet'!$A$88,'Données projet'!$B$88,BD87+BC88-BL87)))</f>
        <v>289.99999999999977</v>
      </c>
      <c r="BE88" s="13">
        <f>BD88*VLOOKUP('Données projet'!$B$11,Paramètres!$A$1:$I$89,3,0)*VLOOKUP('Données projet'!$B$11,Paramètres!$A$1:$I$89,5,0)</f>
        <v>303.10799999999983</v>
      </c>
      <c r="BF88" s="13">
        <f t="shared" si="91"/>
        <v>71.827628304517233</v>
      </c>
      <c r="BG88" s="20">
        <f t="shared" si="61"/>
        <v>653.01288596370057</v>
      </c>
      <c r="BH88" s="59">
        <f t="shared" si="62"/>
        <v>946.34621929703394</v>
      </c>
      <c r="BI88" s="59">
        <f ca="1">AVERAGE(OFFSET($BH$3,0,0,'Données projet'!$E$11+1,1))-AVERAGE(OFFSET($H$3,0,0,'Données projet'!$E$11+1,1))</f>
        <v>340.76197766679212</v>
      </c>
      <c r="BJ88" s="59">
        <f t="shared" si="92"/>
        <v>199.70700738826872</v>
      </c>
      <c r="BK88" s="15">
        <f>IF(ISNA(VLOOKUP(A88,'Données projet'!$A$87:$I$107,3,0)),0,VLOOKUP(A88,'Données projet'!$A$87:$I$107,3,0))</f>
        <v>7</v>
      </c>
      <c r="BL88" s="15">
        <f>IF(ISNA(VLOOKUP(A88,'Données projet'!$A$87:$I$107,4,0)),0,VLOOKUP(A88,'Données projet'!$A$87:$I$107,4,0))</f>
        <v>42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290</v>
      </c>
      <c r="BW88" s="12">
        <f>VLOOKUP(A88,'Données projet'!$A$113:$I$133,9,0)</f>
        <v>5.9</v>
      </c>
      <c r="BX88" s="12">
        <f t="array" ref="BX88">INDEX(BW:BW,MIN(IF(ISNUMBER(BW88:BW284),ROW(BW88:BW284),"")))</f>
        <v>5.9</v>
      </c>
      <c r="BY88" s="12">
        <f>IF('Données projet'!$A$114&gt;35,BY87+BX88-CG87,IF(A88&lt;'Données projet'!$A$114,$BV$205^A88,IF(A88='Données projet'!$A$114,'Données projet'!$B$114,BY87+BX88-CG87)))</f>
        <v>289.99999999999977</v>
      </c>
      <c r="BZ88" s="13">
        <f>BY88*VLOOKUP('Données projet'!$B$12,Paramètres!$A$1:$I$89,3,0)*VLOOKUP('Données projet'!$B$12,Paramètres!$A$1:$I$89,5,0)</f>
        <v>312.15599999999972</v>
      </c>
      <c r="CA88" s="13">
        <f t="shared" si="93"/>
        <v>73.718907001002492</v>
      </c>
      <c r="CB88" s="20">
        <f t="shared" si="64"/>
        <v>672.06546302674553</v>
      </c>
      <c r="CC88" s="59">
        <f t="shared" si="65"/>
        <v>965.3987963600789</v>
      </c>
      <c r="CD88" s="59">
        <f ca="1">AVERAGE(OFFSET($CC$3,0,0,'Données projet'!$E$12+1,1))-AVERAGE(OFFSET($H$3,0,0,'Données projet'!$E$12+1,1))</f>
        <v>354.06521046071936</v>
      </c>
      <c r="CE88" s="59">
        <f t="shared" si="94"/>
        <v>206.22956332364367</v>
      </c>
      <c r="CF88" s="15">
        <f>IF(ISNA(VLOOKUP(A88,'Données projet'!$A$113:$I$133,3,0)),0,VLOOKUP(A88,'Données projet'!$A$113:$I$133,3,0))</f>
        <v>7</v>
      </c>
      <c r="CG88" s="15">
        <f>IF(ISNA(VLOOKUP(A88,'Données projet'!$A$113:$I$133,4,0)),0,VLOOKUP(A88,'Données projet'!$A$113:$I$133,4,0))</f>
        <v>42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5.2</v>
      </c>
      <c r="N89" s="13">
        <f>IF('Données projet'!$A$36&gt;35,N88+M89-V88,IF(A89&lt;'Données projet'!$A$36,$K$205^A89,IF(A89='Données projet'!$A$36,'Données projet'!$B$36,N88+M89-V88)))</f>
        <v>253.19999999999976</v>
      </c>
      <c r="O89" s="13">
        <f>N89*VLOOKUP('Données projet'!$B$9,Paramètres!$A$1:$I$89,3,0)*VLOOKUP('Données projet'!$B$9,Paramètres!$A$1:$I$89,5,0)</f>
        <v>229.09535999999977</v>
      </c>
      <c r="P89" s="13">
        <f t="shared" si="87"/>
        <v>56.087032370558362</v>
      </c>
      <c r="Q89" s="20">
        <f t="shared" si="54"/>
        <v>496.69266671205543</v>
      </c>
      <c r="R89" s="59">
        <f t="shared" si="55"/>
        <v>790.02600004538874</v>
      </c>
      <c r="S89" s="59">
        <f ca="1">AVERAGE(OFFSET($R$3,0,0,'Données projet'!$E$9+1,1))-AVERAGE(OFFSET($H$3,0,0,'Données projet'!$E$9+1,1))</f>
        <v>280.79223530986889</v>
      </c>
      <c r="T89" s="59">
        <f t="shared" si="88"/>
        <v>170.29932835468685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5.2</v>
      </c>
      <c r="AI89" s="13">
        <f>IF('Données projet'!$A$62&gt;35,AI88+AH89-AQ88,IF(A89&lt;'Données projet'!$A$62,$AF$205^A89,IF(A89='Données projet'!$A$62,'Données projet'!$B$62,AI88+AH89-AQ88)))</f>
        <v>253.19999999999976</v>
      </c>
      <c r="AJ89" s="13">
        <f>AI89*VLOOKUP('Données projet'!$B$10,Paramètres!$A$1:$I$89,3,0)*VLOOKUP('Données projet'!$B$10,Paramètres!$A$1:$I$89,5,0)</f>
        <v>256.74479999999977</v>
      </c>
      <c r="AK89" s="13">
        <f t="shared" si="89"/>
        <v>62.027992887126103</v>
      </c>
      <c r="AL89" s="20">
        <f t="shared" si="58"/>
        <v>555.19594761174415</v>
      </c>
      <c r="AM89" s="59">
        <f t="shared" si="59"/>
        <v>848.52928094507752</v>
      </c>
      <c r="AN89" s="59">
        <f ca="1">AVERAGE(OFFSET($AM$3,0,0,'Données projet'!$E$10+1,1))-AVERAGE(OFFSET($H$3,0,0,'Données projet'!$E$10+1,1))</f>
        <v>327.4505861600158</v>
      </c>
      <c r="AO89" s="59">
        <f t="shared" si="90"/>
        <v>193.18009444354595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5.2</v>
      </c>
      <c r="BD89" s="12">
        <f>IF('Données projet'!$A$88&gt;35,BD88+BC89-BL88,IF(A89&lt;'Données projet'!$A$88,$BA$205^A89,IF(A89='Données projet'!$A$88,'Données projet'!$B$88,BD88+BC89-BL88)))</f>
        <v>253.19999999999976</v>
      </c>
      <c r="BE89" s="13">
        <f>BD89*VLOOKUP('Données projet'!$B$11,Paramètres!$A$1:$I$89,3,0)*VLOOKUP('Données projet'!$B$11,Paramètres!$A$1:$I$89,5,0)</f>
        <v>264.64463999999981</v>
      </c>
      <c r="BF89" s="13">
        <f t="shared" si="91"/>
        <v>63.711404949403942</v>
      </c>
      <c r="BG89" s="20">
        <f t="shared" si="61"/>
        <v>571.88677828687821</v>
      </c>
      <c r="BH89" s="59">
        <f t="shared" si="62"/>
        <v>865.22011162021158</v>
      </c>
      <c r="BI89" s="59">
        <f ca="1">AVERAGE(OFFSET($BH$3,0,0,'Données projet'!$E$11+1,1))-AVERAGE(OFFSET($H$3,0,0,'Données projet'!$E$11+1,1))</f>
        <v>340.76197766679212</v>
      </c>
      <c r="BJ89" s="59">
        <f t="shared" si="92"/>
        <v>199.70700738826872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5.2</v>
      </c>
      <c r="BY89" s="12">
        <f>IF('Données projet'!$A$114&gt;35,BY88+BX89-CG88,IF(A89&lt;'Données projet'!$A$114,$BV$205^A89,IF(A89='Données projet'!$A$114,'Données projet'!$B$114,BY88+BX89-CG88)))</f>
        <v>253.19999999999976</v>
      </c>
      <c r="BZ89" s="13">
        <f>BY89*VLOOKUP('Données projet'!$B$12,Paramètres!$A$1:$I$89,3,0)*VLOOKUP('Données projet'!$B$12,Paramètres!$A$1:$I$89,5,0)</f>
        <v>272.54447999999974</v>
      </c>
      <c r="CA89" s="13">
        <f t="shared" si="93"/>
        <v>65.388977016702441</v>
      </c>
      <c r="CB89" s="20">
        <f t="shared" si="64"/>
        <v>588.56743763742293</v>
      </c>
      <c r="CC89" s="59">
        <f t="shared" si="65"/>
        <v>881.90077097075618</v>
      </c>
      <c r="CD89" s="59">
        <f ca="1">AVERAGE(OFFSET($CC$3,0,0,'Données projet'!$E$12+1,1))-AVERAGE(OFFSET($H$3,0,0,'Données projet'!$E$12+1,1))</f>
        <v>354.06521046071936</v>
      </c>
      <c r="CE89" s="59">
        <f t="shared" si="94"/>
        <v>206.22956332364367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5.2</v>
      </c>
      <c r="N90" s="13">
        <f>IF('Données projet'!$A$36&gt;35,N89+M90-V89,IF(A90&lt;'Données projet'!$A$36,$K$205^A90,IF(A90='Données projet'!$A$36,'Données projet'!$B$36,N89+M90-V89)))</f>
        <v>258.39999999999975</v>
      </c>
      <c r="O90" s="13">
        <f>N90*VLOOKUP('Données projet'!$B$9,Paramètres!$A$1:$I$89,3,0)*VLOOKUP('Données projet'!$B$9,Paramètres!$A$1:$I$89,5,0)</f>
        <v>233.80031999999977</v>
      </c>
      <c r="P90" s="13">
        <f t="shared" si="87"/>
        <v>57.103614181373779</v>
      </c>
      <c r="Q90" s="20">
        <f t="shared" si="54"/>
        <v>506.65768536589218</v>
      </c>
      <c r="R90" s="59">
        <f t="shared" si="55"/>
        <v>799.99101869922549</v>
      </c>
      <c r="S90" s="59">
        <f ca="1">AVERAGE(OFFSET($R$3,0,0,'Données projet'!$E$9+1,1))-AVERAGE(OFFSET($H$3,0,0,'Données projet'!$E$9+1,1))</f>
        <v>280.79223530986889</v>
      </c>
      <c r="T90" s="59">
        <f t="shared" si="88"/>
        <v>170.29932835468685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5.2</v>
      </c>
      <c r="AI90" s="13">
        <f>IF('Données projet'!$A$62&gt;35,AI89+AH90-AQ89,IF(A90&lt;'Données projet'!$A$62,$AF$205^A90,IF(A90='Données projet'!$A$62,'Données projet'!$B$62,AI89+AH90-AQ89)))</f>
        <v>258.39999999999975</v>
      </c>
      <c r="AJ90" s="13">
        <f>AI90*VLOOKUP('Données projet'!$B$10,Paramètres!$A$1:$I$89,3,0)*VLOOKUP('Données projet'!$B$10,Paramètres!$A$1:$I$89,5,0)</f>
        <v>262.01759999999973</v>
      </c>
      <c r="AK90" s="13">
        <f t="shared" si="89"/>
        <v>63.152255067978103</v>
      </c>
      <c r="AL90" s="20">
        <f t="shared" si="58"/>
        <v>566.33749757672797</v>
      </c>
      <c r="AM90" s="59">
        <f t="shared" si="59"/>
        <v>859.67083091006134</v>
      </c>
      <c r="AN90" s="59">
        <f ca="1">AVERAGE(OFFSET($AM$3,0,0,'Données projet'!$E$10+1,1))-AVERAGE(OFFSET($H$3,0,0,'Données projet'!$E$10+1,1))</f>
        <v>327.4505861600158</v>
      </c>
      <c r="AO90" s="59">
        <f t="shared" si="90"/>
        <v>193.18009444354595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5.2</v>
      </c>
      <c r="BD90" s="12">
        <f>IF('Données projet'!$A$88&gt;35,BD89+BC90-BL89,IF(A90&lt;'Données projet'!$A$88,$BA$205^A90,IF(A90='Données projet'!$A$88,'Données projet'!$B$88,BD89+BC90-BL89)))</f>
        <v>258.39999999999975</v>
      </c>
      <c r="BE90" s="13">
        <f>BD90*VLOOKUP('Données projet'!$B$11,Paramètres!$A$1:$I$89,3,0)*VLOOKUP('Données projet'!$B$11,Paramètres!$A$1:$I$89,5,0)</f>
        <v>270.07967999999977</v>
      </c>
      <c r="BF90" s="13">
        <f t="shared" si="91"/>
        <v>64.866179104419814</v>
      </c>
      <c r="BG90" s="20">
        <f t="shared" si="61"/>
        <v>583.36403794019736</v>
      </c>
      <c r="BH90" s="59">
        <f t="shared" si="62"/>
        <v>876.69737127353073</v>
      </c>
      <c r="BI90" s="59">
        <f ca="1">AVERAGE(OFFSET($BH$3,0,0,'Données projet'!$E$11+1,1))-AVERAGE(OFFSET($H$3,0,0,'Données projet'!$E$11+1,1))</f>
        <v>340.76197766679212</v>
      </c>
      <c r="BJ90" s="59">
        <f t="shared" si="92"/>
        <v>199.70700738826872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5.2</v>
      </c>
      <c r="BY90" s="12">
        <f>IF('Données projet'!$A$114&gt;35,BY89+BX90-CG89,IF(A90&lt;'Données projet'!$A$114,$BV$205^A90,IF(A90='Données projet'!$A$114,'Données projet'!$B$114,BY89+BX90-CG89)))</f>
        <v>258.39999999999975</v>
      </c>
      <c r="BZ90" s="13">
        <f>BY90*VLOOKUP('Données projet'!$B$12,Paramètres!$A$1:$I$89,3,0)*VLOOKUP('Données projet'!$B$12,Paramètres!$A$1:$I$89,5,0)</f>
        <v>278.14175999999975</v>
      </c>
      <c r="CA90" s="13">
        <f t="shared" si="93"/>
        <v>66.574157295520351</v>
      </c>
      <c r="CB90" s="20">
        <f t="shared" si="64"/>
        <v>600.38022262303082</v>
      </c>
      <c r="CC90" s="59">
        <f t="shared" si="65"/>
        <v>893.71355595636419</v>
      </c>
      <c r="CD90" s="59">
        <f ca="1">AVERAGE(OFFSET($CC$3,0,0,'Données projet'!$E$12+1,1))-AVERAGE(OFFSET($H$3,0,0,'Données projet'!$E$12+1,1))</f>
        <v>354.06521046071936</v>
      </c>
      <c r="CE90" s="59">
        <f t="shared" si="94"/>
        <v>206.22956332364367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5.2</v>
      </c>
      <c r="N91" s="13">
        <f>IF('Données projet'!$A$36&gt;35,N90+M91-V90,IF(A91&lt;'Données projet'!$A$36,$K$205^A91,IF(A91='Données projet'!$A$36,'Données projet'!$B$36,N90+M91-V90)))</f>
        <v>263.59999999999974</v>
      </c>
      <c r="O91" s="13">
        <f>N91*VLOOKUP('Données projet'!$B$9,Paramètres!$A$1:$I$89,3,0)*VLOOKUP('Données projet'!$B$9,Paramètres!$A$1:$I$89,5,0)</f>
        <v>238.50527999999974</v>
      </c>
      <c r="P91" s="13">
        <f t="shared" si="87"/>
        <v>58.117817352909832</v>
      </c>
      <c r="Q91" s="20">
        <f t="shared" si="54"/>
        <v>516.61856122298411</v>
      </c>
      <c r="R91" s="59">
        <f t="shared" si="55"/>
        <v>809.95189455631748</v>
      </c>
      <c r="S91" s="59">
        <f ca="1">AVERAGE(OFFSET($R$3,0,0,'Données projet'!$E$9+1,1))-AVERAGE(OFFSET($H$3,0,0,'Données projet'!$E$9+1,1))</f>
        <v>280.79223530986889</v>
      </c>
      <c r="T91" s="59">
        <f t="shared" si="88"/>
        <v>170.29932835468685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5.2</v>
      </c>
      <c r="AI91" s="13">
        <f>IF('Données projet'!$A$62&gt;35,AI90+AH91-AQ90,IF(A91&lt;'Données projet'!$A$62,$AF$205^A91,IF(A91='Données projet'!$A$62,'Données projet'!$B$62,AI90+AH91-AQ90)))</f>
        <v>263.59999999999974</v>
      </c>
      <c r="AJ91" s="13">
        <f>AI91*VLOOKUP('Données projet'!$B$10,Paramètres!$A$1:$I$89,3,0)*VLOOKUP('Données projet'!$B$10,Paramètres!$A$1:$I$89,5,0)</f>
        <v>267.29039999999975</v>
      </c>
      <c r="AK91" s="13">
        <f t="shared" si="89"/>
        <v>64.273886654661325</v>
      </c>
      <c r="AL91" s="20">
        <f t="shared" si="58"/>
        <v>577.47446592353469</v>
      </c>
      <c r="AM91" s="59">
        <f t="shared" si="59"/>
        <v>870.80779925686807</v>
      </c>
      <c r="AN91" s="59">
        <f ca="1">AVERAGE(OFFSET($AM$3,0,0,'Données projet'!$E$10+1,1))-AVERAGE(OFFSET($H$3,0,0,'Données projet'!$E$10+1,1))</f>
        <v>327.4505861600158</v>
      </c>
      <c r="AO91" s="59">
        <f t="shared" si="90"/>
        <v>193.18009444354595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5.2</v>
      </c>
      <c r="BD91" s="12">
        <f>IF('Données projet'!$A$88&gt;35,BD90+BC91-BL90,IF(A91&lt;'Données projet'!$A$88,$BA$205^A91,IF(A91='Données projet'!$A$88,'Données projet'!$B$88,BD90+BC91-BL90)))</f>
        <v>263.59999999999974</v>
      </c>
      <c r="BE91" s="13">
        <f>BD91*VLOOKUP('Données projet'!$B$11,Paramètres!$A$1:$I$89,3,0)*VLOOKUP('Données projet'!$B$11,Paramètres!$A$1:$I$89,5,0)</f>
        <v>275.51471999999973</v>
      </c>
      <c r="BF91" s="13">
        <f t="shared" si="91"/>
        <v>66.018251272114426</v>
      </c>
      <c r="BG91" s="20">
        <f t="shared" si="61"/>
        <v>594.83659163226548</v>
      </c>
      <c r="BH91" s="59">
        <f t="shared" si="62"/>
        <v>888.16992496559874</v>
      </c>
      <c r="BI91" s="59">
        <f ca="1">AVERAGE(OFFSET($BH$3,0,0,'Données projet'!$E$11+1,1))-AVERAGE(OFFSET($H$3,0,0,'Données projet'!$E$11+1,1))</f>
        <v>340.76197766679212</v>
      </c>
      <c r="BJ91" s="59">
        <f t="shared" si="92"/>
        <v>199.70700738826872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5.2</v>
      </c>
      <c r="BY91" s="12">
        <f>IF('Données projet'!$A$114&gt;35,BY90+BX91-CG90,IF(A91&lt;'Données projet'!$A$114,$BV$205^A91,IF(A91='Données projet'!$A$114,'Données projet'!$B$114,BY90+BX91-CG90)))</f>
        <v>263.59999999999974</v>
      </c>
      <c r="BZ91" s="13">
        <f>BY91*VLOOKUP('Données projet'!$B$12,Paramètres!$A$1:$I$89,3,0)*VLOOKUP('Données projet'!$B$12,Paramètres!$A$1:$I$89,5,0)</f>
        <v>283.7390399999997</v>
      </c>
      <c r="CA91" s="13">
        <f t="shared" si="93"/>
        <v>67.756564441537463</v>
      </c>
      <c r="CB91" s="20">
        <f t="shared" si="64"/>
        <v>612.18817773567719</v>
      </c>
      <c r="CC91" s="59">
        <f t="shared" si="65"/>
        <v>905.52151106901056</v>
      </c>
      <c r="CD91" s="59">
        <f ca="1">AVERAGE(OFFSET($CC$3,0,0,'Données projet'!$E$12+1,1))-AVERAGE(OFFSET($H$3,0,0,'Données projet'!$E$12+1,1))</f>
        <v>354.06521046071936</v>
      </c>
      <c r="CE91" s="59">
        <f t="shared" si="94"/>
        <v>206.22956332364367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5.2</v>
      </c>
      <c r="N92" s="13">
        <f>IF('Données projet'!$A$36&gt;35,N91+M92-V91,IF(A92&lt;'Données projet'!$A$36,$K$205^A92,IF(A92='Données projet'!$A$36,'Données projet'!$B$36,N91+M92-V91)))</f>
        <v>268.79999999999973</v>
      </c>
      <c r="O92" s="13">
        <f>N92*VLOOKUP('Données projet'!$B$9,Paramètres!$A$1:$I$89,3,0)*VLOOKUP('Données projet'!$B$9,Paramètres!$A$1:$I$89,5,0)</f>
        <v>243.21023999999974</v>
      </c>
      <c r="P92" s="13">
        <f t="shared" si="87"/>
        <v>59.129694216846687</v>
      </c>
      <c r="Q92" s="20">
        <f t="shared" si="54"/>
        <v>526.57538542767418</v>
      </c>
      <c r="R92" s="59">
        <f t="shared" si="55"/>
        <v>819.90871876100755</v>
      </c>
      <c r="S92" s="59">
        <f ca="1">AVERAGE(OFFSET($R$3,0,0,'Données projet'!$E$9+1,1))-AVERAGE(OFFSET($H$3,0,0,'Données projet'!$E$9+1,1))</f>
        <v>280.79223530986889</v>
      </c>
      <c r="T92" s="59">
        <f t="shared" si="88"/>
        <v>170.29932835468685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5.2</v>
      </c>
      <c r="AI92" s="13">
        <f>IF('Données projet'!$A$62&gt;35,AI91+AH92-AQ91,IF(A92&lt;'Données projet'!$A$62,$AF$205^A92,IF(A92='Données projet'!$A$62,'Données projet'!$B$62,AI91+AH92-AQ91)))</f>
        <v>268.79999999999973</v>
      </c>
      <c r="AJ92" s="13">
        <f>AI92*VLOOKUP('Données projet'!$B$10,Paramètres!$A$1:$I$89,3,0)*VLOOKUP('Données projet'!$B$10,Paramètres!$A$1:$I$89,5,0)</f>
        <v>272.56319999999977</v>
      </c>
      <c r="AK92" s="13">
        <f t="shared" si="89"/>
        <v>65.392945522034552</v>
      </c>
      <c r="AL92" s="20">
        <f t="shared" si="58"/>
        <v>588.6069534508764</v>
      </c>
      <c r="AM92" s="59">
        <f t="shared" si="59"/>
        <v>881.94028678420977</v>
      </c>
      <c r="AN92" s="59">
        <f ca="1">AVERAGE(OFFSET($AM$3,0,0,'Données projet'!$E$10+1,1))-AVERAGE(OFFSET($H$3,0,0,'Données projet'!$E$10+1,1))</f>
        <v>327.4505861600158</v>
      </c>
      <c r="AO92" s="59">
        <f t="shared" si="90"/>
        <v>193.18009444354595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5.2</v>
      </c>
      <c r="BD92" s="12">
        <f>IF('Données projet'!$A$88&gt;35,BD91+BC92-BL91,IF(A92&lt;'Données projet'!$A$88,$BA$205^A92,IF(A92='Données projet'!$A$88,'Données projet'!$B$88,BD91+BC92-BL91)))</f>
        <v>268.79999999999973</v>
      </c>
      <c r="BE92" s="13">
        <f>BD92*VLOOKUP('Données projet'!$B$11,Paramètres!$A$1:$I$89,3,0)*VLOOKUP('Données projet'!$B$11,Paramètres!$A$1:$I$89,5,0)</f>
        <v>280.94975999999974</v>
      </c>
      <c r="BF92" s="13">
        <f t="shared" si="91"/>
        <v>67.167680898044409</v>
      </c>
      <c r="BG92" s="20">
        <f t="shared" si="61"/>
        <v>606.30454289742693</v>
      </c>
      <c r="BH92" s="59">
        <f t="shared" si="62"/>
        <v>899.63787623076018</v>
      </c>
      <c r="BI92" s="59">
        <f ca="1">AVERAGE(OFFSET($BH$3,0,0,'Données projet'!$E$11+1,1))-AVERAGE(OFFSET($H$3,0,0,'Données projet'!$E$11+1,1))</f>
        <v>340.76197766679212</v>
      </c>
      <c r="BJ92" s="59">
        <f t="shared" si="92"/>
        <v>199.70700738826872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5.2</v>
      </c>
      <c r="BY92" s="12">
        <f>IF('Données projet'!$A$114&gt;35,BY91+BX92-CG91,IF(A92&lt;'Données projet'!$A$114,$BV$205^A92,IF(A92='Données projet'!$A$114,'Données projet'!$B$114,BY91+BX92-CG91)))</f>
        <v>268.79999999999973</v>
      </c>
      <c r="BZ92" s="13">
        <f>BY92*VLOOKUP('Données projet'!$B$12,Paramètres!$A$1:$I$89,3,0)*VLOOKUP('Données projet'!$B$12,Paramètres!$A$1:$I$89,5,0)</f>
        <v>289.33631999999972</v>
      </c>
      <c r="CA92" s="13">
        <f t="shared" si="93"/>
        <v>68.936259465559303</v>
      </c>
      <c r="CB92" s="20">
        <f t="shared" si="64"/>
        <v>623.99140923584866</v>
      </c>
      <c r="CC92" s="59">
        <f t="shared" si="65"/>
        <v>917.32474256918204</v>
      </c>
      <c r="CD92" s="59">
        <f ca="1">AVERAGE(OFFSET($CC$3,0,0,'Données projet'!$E$12+1,1))-AVERAGE(OFFSET($H$3,0,0,'Données projet'!$E$12+1,1))</f>
        <v>354.06521046071936</v>
      </c>
      <c r="CE92" s="59">
        <f t="shared" si="94"/>
        <v>206.22956332364367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5.2</v>
      </c>
      <c r="N93" s="13">
        <f>IF('Données projet'!$A$36&gt;35,N92+M93-V92,IF(A93&lt;'Données projet'!$A$36,$K$205^A93,IF(A93='Données projet'!$A$36,'Données projet'!$B$36,N92+M93-V92)))</f>
        <v>273.99999999999972</v>
      </c>
      <c r="O93" s="13">
        <f>N93*VLOOKUP('Données projet'!$B$9,Paramètres!$A$1:$I$89,3,0)*VLOOKUP('Données projet'!$B$9,Paramètres!$A$1:$I$89,5,0)</f>
        <v>247.91519999999971</v>
      </c>
      <c r="P93" s="13">
        <f t="shared" si="87"/>
        <v>60.139294964297406</v>
      </c>
      <c r="Q93" s="20">
        <f t="shared" si="54"/>
        <v>536.52824539615074</v>
      </c>
      <c r="R93" s="59">
        <f t="shared" si="55"/>
        <v>829.86157872948411</v>
      </c>
      <c r="S93" s="59">
        <f ca="1">AVERAGE(OFFSET($R$3,0,0,'Données projet'!$E$9+1,1))-AVERAGE(OFFSET($H$3,0,0,'Données projet'!$E$9+1,1))</f>
        <v>280.79223530986889</v>
      </c>
      <c r="T93" s="59">
        <f t="shared" si="88"/>
        <v>170.29932835468685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5.2</v>
      </c>
      <c r="AI93" s="13">
        <f>IF('Données projet'!$A$62&gt;35,AI92+AH93-AQ92,IF(A93&lt;'Données projet'!$A$62,$AF$205^A93,IF(A93='Données projet'!$A$62,'Données projet'!$B$62,AI92+AH93-AQ92)))</f>
        <v>273.99999999999972</v>
      </c>
      <c r="AJ93" s="13">
        <f>AI93*VLOOKUP('Données projet'!$B$10,Paramètres!$A$1:$I$89,3,0)*VLOOKUP('Données projet'!$B$10,Paramètres!$A$1:$I$89,5,0)</f>
        <v>277.83599999999973</v>
      </c>
      <c r="AK93" s="13">
        <f t="shared" si="89"/>
        <v>66.509487177652261</v>
      </c>
      <c r="AL93" s="20">
        <f t="shared" si="58"/>
        <v>599.73505683441056</v>
      </c>
      <c r="AM93" s="59">
        <f t="shared" si="59"/>
        <v>893.06839016774393</v>
      </c>
      <c r="AN93" s="59">
        <f ca="1">AVERAGE(OFFSET($AM$3,0,0,'Données projet'!$E$10+1,1))-AVERAGE(OFFSET($H$3,0,0,'Données projet'!$E$10+1,1))</f>
        <v>327.4505861600158</v>
      </c>
      <c r="AO93" s="59">
        <f t="shared" si="90"/>
        <v>193.18009444354595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5.2</v>
      </c>
      <c r="BD93" s="12">
        <f>IF('Données projet'!$A$88&gt;35,BD92+BC93-BL92,IF(A93&lt;'Données projet'!$A$88,$BA$205^A93,IF(A93='Données projet'!$A$88,'Données projet'!$B$88,BD92+BC93-BL92)))</f>
        <v>273.99999999999972</v>
      </c>
      <c r="BE93" s="13">
        <f>BD93*VLOOKUP('Données projet'!$B$11,Paramètres!$A$1:$I$89,3,0)*VLOOKUP('Données projet'!$B$11,Paramètres!$A$1:$I$89,5,0)</f>
        <v>286.3847999999997</v>
      </c>
      <c r="BF93" s="13">
        <f t="shared" si="91"/>
        <v>68.314524996214516</v>
      </c>
      <c r="BG93" s="20">
        <f t="shared" si="61"/>
        <v>617.76799103507312</v>
      </c>
      <c r="BH93" s="59">
        <f t="shared" si="62"/>
        <v>911.10132436840649</v>
      </c>
      <c r="BI93" s="59">
        <f ca="1">AVERAGE(OFFSET($BH$3,0,0,'Données projet'!$E$11+1,1))-AVERAGE(OFFSET($H$3,0,0,'Données projet'!$E$11+1,1))</f>
        <v>340.76197766679212</v>
      </c>
      <c r="BJ93" s="59">
        <f t="shared" si="92"/>
        <v>199.70700738826872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5.2</v>
      </c>
      <c r="BY93" s="12">
        <f>IF('Données projet'!$A$114&gt;35,BY92+BX93-CG92,IF(A93&lt;'Données projet'!$A$114,$BV$205^A93,IF(A93='Données projet'!$A$114,'Données projet'!$B$114,BY92+BX93-CG92)))</f>
        <v>273.99999999999972</v>
      </c>
      <c r="BZ93" s="13">
        <f>BY93*VLOOKUP('Données projet'!$B$12,Paramètres!$A$1:$I$89,3,0)*VLOOKUP('Données projet'!$B$12,Paramètres!$A$1:$I$89,5,0)</f>
        <v>294.93359999999973</v>
      </c>
      <c r="CA93" s="13">
        <f t="shared" si="93"/>
        <v>70.113300882814812</v>
      </c>
      <c r="CB93" s="20">
        <f t="shared" si="64"/>
        <v>635.79001903756864</v>
      </c>
      <c r="CC93" s="59">
        <f t="shared" si="65"/>
        <v>929.12335237090201</v>
      </c>
      <c r="CD93" s="59">
        <f ca="1">AVERAGE(OFFSET($CC$3,0,0,'Données projet'!$E$12+1,1))-AVERAGE(OFFSET($H$3,0,0,'Données projet'!$E$12+1,1))</f>
        <v>354.06521046071936</v>
      </c>
      <c r="CE93" s="59">
        <f t="shared" si="94"/>
        <v>206.22956332364367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5.2</v>
      </c>
      <c r="N94" s="13">
        <f>IF('Données projet'!$A$36&gt;35,N93+M94-V93,IF(A94&lt;'Données projet'!$A$36,$K$205^A94,IF(A94='Données projet'!$A$36,'Données projet'!$B$36,N93+M94-V93)))</f>
        <v>279.1999999999997</v>
      </c>
      <c r="O94" s="13">
        <f>N94*VLOOKUP('Données projet'!$B$9,Paramètres!$A$1:$I$89,3,0)*VLOOKUP('Données projet'!$B$9,Paramètres!$A$1:$I$89,5,0)</f>
        <v>252.62015999999971</v>
      </c>
      <c r="P94" s="13">
        <f t="shared" si="87"/>
        <v>61.146667772298713</v>
      </c>
      <c r="Q94" s="20">
        <f t="shared" si="54"/>
        <v>546.477225036753</v>
      </c>
      <c r="R94" s="59">
        <f t="shared" si="55"/>
        <v>839.81055837008626</v>
      </c>
      <c r="S94" s="59">
        <f ca="1">AVERAGE(OFFSET($R$3,0,0,'Données projet'!$E$9+1,1))-AVERAGE(OFFSET($H$3,0,0,'Données projet'!$E$9+1,1))</f>
        <v>280.79223530986889</v>
      </c>
      <c r="T94" s="59">
        <f t="shared" si="88"/>
        <v>170.29932835468685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5.2</v>
      </c>
      <c r="AI94" s="13">
        <f>IF('Données projet'!$A$62&gt;35,AI93+AH94-AQ93,IF(A94&lt;'Données projet'!$A$62,$AF$205^A94,IF(A94='Données projet'!$A$62,'Données projet'!$B$62,AI93+AH94-AQ93)))</f>
        <v>279.1999999999997</v>
      </c>
      <c r="AJ94" s="13">
        <f>AI94*VLOOKUP('Données projet'!$B$10,Paramètres!$A$1:$I$89,3,0)*VLOOKUP('Données projet'!$B$10,Paramètres!$A$1:$I$89,5,0)</f>
        <v>283.10879999999975</v>
      </c>
      <c r="AK94" s="13">
        <f t="shared" si="89"/>
        <v>67.623564901653808</v>
      </c>
      <c r="AL94" s="20">
        <f t="shared" si="58"/>
        <v>610.85886887037998</v>
      </c>
      <c r="AM94" s="59">
        <f t="shared" si="59"/>
        <v>904.19220220371335</v>
      </c>
      <c r="AN94" s="59">
        <f ca="1">AVERAGE(OFFSET($AM$3,0,0,'Données projet'!$E$10+1,1))-AVERAGE(OFFSET($H$3,0,0,'Données projet'!$E$10+1,1))</f>
        <v>327.4505861600158</v>
      </c>
      <c r="AO94" s="59">
        <f t="shared" si="90"/>
        <v>193.18009444354595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5.2</v>
      </c>
      <c r="BD94" s="12">
        <f>IF('Données projet'!$A$88&gt;35,BD93+BC94-BL93,IF(A94&lt;'Données projet'!$A$88,$BA$205^A94,IF(A94='Données projet'!$A$88,'Données projet'!$B$88,BD93+BC94-BL93)))</f>
        <v>279.1999999999997</v>
      </c>
      <c r="BE94" s="13">
        <f>BD94*VLOOKUP('Données projet'!$B$11,Paramètres!$A$1:$I$89,3,0)*VLOOKUP('Données projet'!$B$11,Paramètres!$A$1:$I$89,5,0)</f>
        <v>291.81983999999972</v>
      </c>
      <c r="BF94" s="13">
        <f t="shared" si="91"/>
        <v>69.458838292763318</v>
      </c>
      <c r="BG94" s="20">
        <f t="shared" si="61"/>
        <v>629.2270313598957</v>
      </c>
      <c r="BH94" s="59">
        <f t="shared" si="62"/>
        <v>922.56036469322908</v>
      </c>
      <c r="BI94" s="59">
        <f ca="1">AVERAGE(OFFSET($BH$3,0,0,'Données projet'!$E$11+1,1))-AVERAGE(OFFSET($H$3,0,0,'Données projet'!$E$11+1,1))</f>
        <v>340.76197766679212</v>
      </c>
      <c r="BJ94" s="59">
        <f t="shared" si="92"/>
        <v>199.70700738826872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5.2</v>
      </c>
      <c r="BY94" s="12">
        <f>IF('Données projet'!$A$114&gt;35,BY93+BX94-CG93,IF(A94&lt;'Données projet'!$A$114,$BV$205^A94,IF(A94='Données projet'!$A$114,'Données projet'!$B$114,BY93+BX94-CG93)))</f>
        <v>279.1999999999997</v>
      </c>
      <c r="BZ94" s="13">
        <f>BY94*VLOOKUP('Données projet'!$B$12,Paramètres!$A$1:$I$89,3,0)*VLOOKUP('Données projet'!$B$12,Paramètres!$A$1:$I$89,5,0)</f>
        <v>300.53087999999963</v>
      </c>
      <c r="CA94" s="13">
        <f t="shared" si="93"/>
        <v>71.287744860425335</v>
      </c>
      <c r="CB94" s="20">
        <f t="shared" si="64"/>
        <v>647.58410496524004</v>
      </c>
      <c r="CC94" s="59">
        <f t="shared" si="65"/>
        <v>940.91743829857342</v>
      </c>
      <c r="CD94" s="59">
        <f ca="1">AVERAGE(OFFSET($CC$3,0,0,'Données projet'!$E$12+1,1))-AVERAGE(OFFSET($H$3,0,0,'Données projet'!$E$12+1,1))</f>
        <v>354.06521046071936</v>
      </c>
      <c r="CE94" s="59">
        <f t="shared" si="94"/>
        <v>206.22956332364367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5.2</v>
      </c>
      <c r="N95" s="13">
        <f>IF('Données projet'!$A$36&gt;35,N94+M95-V94,IF(A95&lt;'Données projet'!$A$36,$K$205^A95,IF(A95='Données projet'!$A$36,'Données projet'!$B$36,N94+M95-V94)))</f>
        <v>284.39999999999969</v>
      </c>
      <c r="O95" s="13">
        <f>N95*VLOOKUP('Données projet'!$B$9,Paramètres!$A$1:$I$89,3,0)*VLOOKUP('Données projet'!$B$9,Paramètres!$A$1:$I$89,5,0)</f>
        <v>257.32511999999969</v>
      </c>
      <c r="P95" s="13">
        <f t="shared" si="87"/>
        <v>62.151858920612597</v>
      </c>
      <c r="Q95" s="20">
        <f t="shared" si="54"/>
        <v>556.42240495339968</v>
      </c>
      <c r="R95" s="59">
        <f t="shared" si="55"/>
        <v>849.75573828673305</v>
      </c>
      <c r="S95" s="59">
        <f ca="1">AVERAGE(OFFSET($R$3,0,0,'Données projet'!$E$9+1,1))-AVERAGE(OFFSET($H$3,0,0,'Données projet'!$E$9+1,1))</f>
        <v>280.79223530986889</v>
      </c>
      <c r="T95" s="59">
        <f t="shared" si="88"/>
        <v>170.29932835468685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5.2</v>
      </c>
      <c r="AI95" s="13">
        <f>IF('Données projet'!$A$62&gt;35,AI94+AH95-AQ94,IF(A95&lt;'Données projet'!$A$62,$AF$205^A95,IF(A95='Données projet'!$A$62,'Données projet'!$B$62,AI94+AH95-AQ94)))</f>
        <v>284.39999999999969</v>
      </c>
      <c r="AJ95" s="13">
        <f>AI95*VLOOKUP('Données projet'!$B$10,Paramètres!$A$1:$I$89,3,0)*VLOOKUP('Données projet'!$B$10,Paramètres!$A$1:$I$89,5,0)</f>
        <v>288.38159999999971</v>
      </c>
      <c r="AK95" s="13">
        <f t="shared" si="89"/>
        <v>68.735229875936554</v>
      </c>
      <c r="AL95" s="20">
        <f t="shared" si="58"/>
        <v>621.97847870058888</v>
      </c>
      <c r="AM95" s="59">
        <f t="shared" si="59"/>
        <v>915.31181203392225</v>
      </c>
      <c r="AN95" s="59">
        <f ca="1">AVERAGE(OFFSET($AM$3,0,0,'Données projet'!$E$10+1,1))-AVERAGE(OFFSET($H$3,0,0,'Données projet'!$E$10+1,1))</f>
        <v>327.4505861600158</v>
      </c>
      <c r="AO95" s="59">
        <f t="shared" si="90"/>
        <v>193.18009444354595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5.2</v>
      </c>
      <c r="BD95" s="12">
        <f>IF('Données projet'!$A$88&gt;35,BD94+BC95-BL94,IF(A95&lt;'Données projet'!$A$88,$BA$205^A95,IF(A95='Données projet'!$A$88,'Données projet'!$B$88,BD94+BC95-BL94)))</f>
        <v>284.39999999999969</v>
      </c>
      <c r="BE95" s="13">
        <f>BD95*VLOOKUP('Données projet'!$B$11,Paramètres!$A$1:$I$89,3,0)*VLOOKUP('Données projet'!$B$11,Paramètres!$A$1:$I$89,5,0)</f>
        <v>297.25487999999973</v>
      </c>
      <c r="BF95" s="13">
        <f t="shared" si="91"/>
        <v>70.600673358642098</v>
      </c>
      <c r="BG95" s="20">
        <f t="shared" si="61"/>
        <v>640.68175543296786</v>
      </c>
      <c r="BH95" s="59">
        <f t="shared" si="62"/>
        <v>934.01508876630123</v>
      </c>
      <c r="BI95" s="59">
        <f ca="1">AVERAGE(OFFSET($BH$3,0,0,'Données projet'!$E$11+1,1))-AVERAGE(OFFSET($H$3,0,0,'Données projet'!$E$11+1,1))</f>
        <v>340.76197766679212</v>
      </c>
      <c r="BJ95" s="59">
        <f t="shared" si="92"/>
        <v>199.70700738826872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5.2</v>
      </c>
      <c r="BY95" s="12">
        <f>IF('Données projet'!$A$114&gt;35,BY94+BX95-CG94,IF(A95&lt;'Données projet'!$A$114,$BV$205^A95,IF(A95='Données projet'!$A$114,'Données projet'!$B$114,BY94+BX95-CG94)))</f>
        <v>284.39999999999969</v>
      </c>
      <c r="BZ95" s="13">
        <f>BY95*VLOOKUP('Données projet'!$B$12,Paramètres!$A$1:$I$89,3,0)*VLOOKUP('Données projet'!$B$12,Paramètres!$A$1:$I$89,5,0)</f>
        <v>306.12815999999964</v>
      </c>
      <c r="CA95" s="13">
        <f t="shared" si="93"/>
        <v>72.459645353577386</v>
      </c>
      <c r="CB95" s="20">
        <f t="shared" si="64"/>
        <v>659.37376099081337</v>
      </c>
      <c r="CC95" s="59">
        <f t="shared" si="65"/>
        <v>952.70709432414674</v>
      </c>
      <c r="CD95" s="59">
        <f ca="1">AVERAGE(OFFSET($CC$3,0,0,'Données projet'!$E$12+1,1))-AVERAGE(OFFSET($H$3,0,0,'Données projet'!$E$12+1,1))</f>
        <v>354.06521046071936</v>
      </c>
      <c r="CE95" s="59">
        <f t="shared" si="94"/>
        <v>206.22956332364367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5.2</v>
      </c>
      <c r="N96" s="13">
        <f>IF('Données projet'!$A$36&gt;35,N95+M96-V95,IF(A96&lt;'Données projet'!$A$36,$K$205^A96,IF(A96='Données projet'!$A$36,'Données projet'!$B$36,N95+M96-V95)))</f>
        <v>289.59999999999968</v>
      </c>
      <c r="O96" s="13">
        <f>N96*VLOOKUP('Données projet'!$B$9,Paramètres!$A$1:$I$89,3,0)*VLOOKUP('Données projet'!$B$9,Paramètres!$A$1:$I$89,5,0)</f>
        <v>262.03007999999966</v>
      </c>
      <c r="P96" s="13">
        <f t="shared" si="87"/>
        <v>63.154912899742527</v>
      </c>
      <c r="Q96" s="20">
        <f t="shared" si="54"/>
        <v>566.36386263371753</v>
      </c>
      <c r="R96" s="59">
        <f t="shared" si="55"/>
        <v>859.6971959670509</v>
      </c>
      <c r="S96" s="59">
        <f ca="1">AVERAGE(OFFSET($R$3,0,0,'Données projet'!$E$9+1,1))-AVERAGE(OFFSET($H$3,0,0,'Données projet'!$E$9+1,1))</f>
        <v>280.79223530986889</v>
      </c>
      <c r="T96" s="59">
        <f t="shared" si="88"/>
        <v>170.29932835468685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5.2</v>
      </c>
      <c r="AI96" s="13">
        <f>IF('Données projet'!$A$62&gt;35,AI95+AH96-AQ95,IF(A96&lt;'Données projet'!$A$62,$AF$205^A96,IF(A96='Données projet'!$A$62,'Données projet'!$B$62,AI95+AH96-AQ95)))</f>
        <v>289.59999999999968</v>
      </c>
      <c r="AJ96" s="13">
        <f>AI96*VLOOKUP('Données projet'!$B$10,Paramètres!$A$1:$I$89,3,0)*VLOOKUP('Données projet'!$B$10,Paramètres!$A$1:$I$89,5,0)</f>
        <v>293.65439999999973</v>
      </c>
      <c r="AK96" s="13">
        <f t="shared" si="89"/>
        <v>69.844531303614474</v>
      </c>
      <c r="AL96" s="20">
        <f t="shared" si="58"/>
        <v>633.09397202046136</v>
      </c>
      <c r="AM96" s="59">
        <f t="shared" si="59"/>
        <v>926.42730535379474</v>
      </c>
      <c r="AN96" s="59">
        <f ca="1">AVERAGE(OFFSET($AM$3,0,0,'Données projet'!$E$10+1,1))-AVERAGE(OFFSET($H$3,0,0,'Données projet'!$E$10+1,1))</f>
        <v>327.4505861600158</v>
      </c>
      <c r="AO96" s="59">
        <f t="shared" si="90"/>
        <v>193.18009444354595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5.2</v>
      </c>
      <c r="BD96" s="12">
        <f>IF('Données projet'!$A$88&gt;35,BD95+BC96-BL95,IF(A96&lt;'Données projet'!$A$88,$BA$205^A96,IF(A96='Données projet'!$A$88,'Données projet'!$B$88,BD95+BC96-BL95)))</f>
        <v>289.59999999999968</v>
      </c>
      <c r="BE96" s="13">
        <f>BD96*VLOOKUP('Données projet'!$B$11,Paramètres!$A$1:$I$89,3,0)*VLOOKUP('Données projet'!$B$11,Paramètres!$A$1:$I$89,5,0)</f>
        <v>302.68991999999974</v>
      </c>
      <c r="BF96" s="13">
        <f t="shared" si="91"/>
        <v>71.740080732315235</v>
      </c>
      <c r="BG96" s="20">
        <f t="shared" si="61"/>
        <v>652.13225127544854</v>
      </c>
      <c r="BH96" s="59">
        <f t="shared" si="62"/>
        <v>945.46558460878191</v>
      </c>
      <c r="BI96" s="59">
        <f ca="1">AVERAGE(OFFSET($BH$3,0,0,'Données projet'!$E$11+1,1))-AVERAGE(OFFSET($H$3,0,0,'Données projet'!$E$11+1,1))</f>
        <v>340.76197766679212</v>
      </c>
      <c r="BJ96" s="59">
        <f t="shared" si="92"/>
        <v>199.70700738826872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5.2</v>
      </c>
      <c r="BY96" s="12">
        <f>IF('Données projet'!$A$114&gt;35,BY95+BX96-CG95,IF(A96&lt;'Données projet'!$A$114,$BV$205^A96,IF(A96='Données projet'!$A$114,'Données projet'!$B$114,BY95+BX96-CG95)))</f>
        <v>289.59999999999968</v>
      </c>
      <c r="BZ96" s="13">
        <f>BY96*VLOOKUP('Données projet'!$B$12,Paramètres!$A$1:$I$89,3,0)*VLOOKUP('Données projet'!$B$12,Paramètres!$A$1:$I$89,5,0)</f>
        <v>311.72543999999965</v>
      </c>
      <c r="CA96" s="13">
        <f t="shared" si="93"/>
        <v>73.629054231453196</v>
      </c>
      <c r="CB96" s="20">
        <f t="shared" si="64"/>
        <v>671.1590774531137</v>
      </c>
      <c r="CC96" s="59">
        <f t="shared" si="65"/>
        <v>964.49241078644695</v>
      </c>
      <c r="CD96" s="59">
        <f ca="1">AVERAGE(OFFSET($CC$3,0,0,'Données projet'!$E$12+1,1))-AVERAGE(OFFSET($H$3,0,0,'Données projet'!$E$12+1,1))</f>
        <v>354.06521046071936</v>
      </c>
      <c r="CE96" s="59">
        <f t="shared" si="94"/>
        <v>206.22956332364367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5.2</v>
      </c>
      <c r="N97" s="13">
        <f>IF('Données projet'!$A$36&gt;35,N96+M97-V96,IF(A97&lt;'Données projet'!$A$36,$K$205^A97,IF(A97='Données projet'!$A$36,'Données projet'!$B$36,N96+M97-V96)))</f>
        <v>294.79999999999967</v>
      </c>
      <c r="O97" s="13">
        <f>N97*VLOOKUP('Données projet'!$B$9,Paramètres!$A$1:$I$89,3,0)*VLOOKUP('Données projet'!$B$9,Paramètres!$A$1:$I$89,5,0)</f>
        <v>266.73503999999969</v>
      </c>
      <c r="P97" s="13">
        <f t="shared" si="87"/>
        <v>64.155872510973168</v>
      </c>
      <c r="Q97" s="20">
        <f t="shared" si="54"/>
        <v>576.30167262327768</v>
      </c>
      <c r="R97" s="59">
        <f t="shared" si="55"/>
        <v>869.63500595661094</v>
      </c>
      <c r="S97" s="59">
        <f ca="1">AVERAGE(OFFSET($R$3,0,0,'Données projet'!$E$9+1,1))-AVERAGE(OFFSET($H$3,0,0,'Données projet'!$E$9+1,1))</f>
        <v>280.79223530986889</v>
      </c>
      <c r="T97" s="59">
        <f t="shared" si="88"/>
        <v>170.29932835468685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5.2</v>
      </c>
      <c r="AI97" s="13">
        <f>IF('Données projet'!$A$62&gt;35,AI96+AH97-AQ96,IF(A97&lt;'Données projet'!$A$62,$AF$205^A97,IF(A97='Données projet'!$A$62,'Données projet'!$B$62,AI96+AH97-AQ96)))</f>
        <v>294.79999999999967</v>
      </c>
      <c r="AJ97" s="13">
        <f>AI97*VLOOKUP('Données projet'!$B$10,Paramètres!$A$1:$I$89,3,0)*VLOOKUP('Données projet'!$B$10,Paramètres!$A$1:$I$89,5,0)</f>
        <v>298.92719999999969</v>
      </c>
      <c r="AK97" s="13">
        <f t="shared" si="89"/>
        <v>70.951516519653524</v>
      </c>
      <c r="AL97" s="20">
        <f t="shared" si="58"/>
        <v>644.20543127172925</v>
      </c>
      <c r="AM97" s="59">
        <f t="shared" si="59"/>
        <v>937.53876460506262</v>
      </c>
      <c r="AN97" s="59">
        <f ca="1">AVERAGE(OFFSET($AM$3,0,0,'Données projet'!$E$10+1,1))-AVERAGE(OFFSET($H$3,0,0,'Données projet'!$E$10+1,1))</f>
        <v>327.4505861600158</v>
      </c>
      <c r="AO97" s="59">
        <f t="shared" si="90"/>
        <v>193.18009444354595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5.2</v>
      </c>
      <c r="BD97" s="12">
        <f>IF('Données projet'!$A$88&gt;35,BD96+BC97-BL96,IF(A97&lt;'Données projet'!$A$88,$BA$205^A97,IF(A97='Données projet'!$A$88,'Données projet'!$B$88,BD96+BC97-BL96)))</f>
        <v>294.79999999999967</v>
      </c>
      <c r="BE97" s="13">
        <f>BD97*VLOOKUP('Données projet'!$B$11,Paramètres!$A$1:$I$89,3,0)*VLOOKUP('Données projet'!$B$11,Paramètres!$A$1:$I$89,5,0)</f>
        <v>308.1249599999997</v>
      </c>
      <c r="BF97" s="13">
        <f t="shared" si="91"/>
        <v>72.877109033398767</v>
      </c>
      <c r="BG97" s="20">
        <f t="shared" si="61"/>
        <v>663.57860356650224</v>
      </c>
      <c r="BH97" s="59">
        <f t="shared" si="62"/>
        <v>956.91193689983561</v>
      </c>
      <c r="BI97" s="59">
        <f ca="1">AVERAGE(OFFSET($BH$3,0,0,'Données projet'!$E$11+1,1))-AVERAGE(OFFSET($H$3,0,0,'Données projet'!$E$11+1,1))</f>
        <v>340.76197766679212</v>
      </c>
      <c r="BJ97" s="59">
        <f t="shared" si="92"/>
        <v>199.70700738826872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5.2</v>
      </c>
      <c r="BY97" s="12">
        <f>IF('Données projet'!$A$114&gt;35,BY96+BX97-CG96,IF(A97&lt;'Données projet'!$A$114,$BV$205^A97,IF(A97='Données projet'!$A$114,'Données projet'!$B$114,BY96+BX97-CG96)))</f>
        <v>294.79999999999967</v>
      </c>
      <c r="BZ97" s="13">
        <f>BY97*VLOOKUP('Données projet'!$B$12,Paramètres!$A$1:$I$89,3,0)*VLOOKUP('Données projet'!$B$12,Paramètres!$A$1:$I$89,5,0)</f>
        <v>317.32271999999961</v>
      </c>
      <c r="CA97" s="13">
        <f t="shared" si="93"/>
        <v>74.796021393862063</v>
      </c>
      <c r="CB97" s="20">
        <f t="shared" si="64"/>
        <v>682.94014126097579</v>
      </c>
      <c r="CC97" s="59">
        <f t="shared" si="65"/>
        <v>976.27347459430916</v>
      </c>
      <c r="CD97" s="59">
        <f ca="1">AVERAGE(OFFSET($CC$3,0,0,'Données projet'!$E$12+1,1))-AVERAGE(OFFSET($H$3,0,0,'Données projet'!$E$12+1,1))</f>
        <v>354.06521046071936</v>
      </c>
      <c r="CE97" s="59">
        <f t="shared" si="94"/>
        <v>206.22956332364367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300</v>
      </c>
      <c r="L98" s="12">
        <f>VLOOKUP(A98,'Données projet'!$A$35:$I$55,9,0)</f>
        <v>5.2</v>
      </c>
      <c r="M98" s="12">
        <f t="array" ref="M98">INDEX(L:L,MIN(IF(ISNUMBER(L98:L294),ROW(L98:L294),"")))</f>
        <v>5.2</v>
      </c>
      <c r="N98" s="13">
        <f>IF('Données projet'!$A$36&gt;35,N97+M98-V97,IF(A98&lt;'Données projet'!$A$36,$K$205^A98,IF(A98='Données projet'!$A$36,'Données projet'!$B$36,N97+M98-V97)))</f>
        <v>299.99999999999966</v>
      </c>
      <c r="O98" s="13">
        <f>N98*VLOOKUP('Données projet'!$B$9,Paramètres!$A$1:$I$89,3,0)*VLOOKUP('Données projet'!$B$9,Paramètres!$A$1:$I$89,5,0)</f>
        <v>271.43999999999971</v>
      </c>
      <c r="P98" s="13">
        <f t="shared" si="87"/>
        <v>65.154778959151116</v>
      </c>
      <c r="Q98" s="20">
        <f t="shared" si="54"/>
        <v>586.23590668718782</v>
      </c>
      <c r="R98" s="59">
        <f t="shared" si="55"/>
        <v>879.56924002052119</v>
      </c>
      <c r="S98" s="59">
        <f ca="1">AVERAGE(OFFSET($R$3,0,0,'Données projet'!$E$9+1,1))-AVERAGE(OFFSET($H$3,0,0,'Données projet'!$E$9+1,1))</f>
        <v>280.79223530986889</v>
      </c>
      <c r="T98" s="59">
        <f t="shared" si="88"/>
        <v>170.29932835468685</v>
      </c>
      <c r="U98" s="15">
        <f>IF(ISNA(VLOOKUP(A98,'Données projet'!$A$35:$I$55,3,0)),0,VLOOKUP(A98,'Données projet'!$A$35:$I$55,3,0))</f>
        <v>8</v>
      </c>
      <c r="V98" s="15">
        <f>IF(ISNA(VLOOKUP(A98,'Données projet'!$A$35:$I$55,4,0)),0,VLOOKUP(A98,'Données projet'!$A$35:$I$55,4,0))</f>
        <v>42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300</v>
      </c>
      <c r="AG98" s="12">
        <f>VLOOKUP(A98,'Données projet'!$A$61:$I$81,9,0)</f>
        <v>5.2</v>
      </c>
      <c r="AH98" s="12">
        <f t="array" ref="AH98">INDEX(AG:AG,MIN(IF(ISNUMBER(AG98:AG294),ROW(AG98:AG294),"")))</f>
        <v>5.2</v>
      </c>
      <c r="AI98" s="13">
        <f>IF('Données projet'!$A$62&gt;35,AI97+AH98-AQ97,IF(A98&lt;'Données projet'!$A$62,$AF$205^A98,IF(A98='Données projet'!$A$62,'Données projet'!$B$62,AI97+AH98-AQ97)))</f>
        <v>299.99999999999966</v>
      </c>
      <c r="AJ98" s="13">
        <f>AI98*VLOOKUP('Données projet'!$B$10,Paramètres!$A$1:$I$89,3,0)*VLOOKUP('Données projet'!$B$10,Paramètres!$A$1:$I$89,5,0)</f>
        <v>304.19999999999965</v>
      </c>
      <c r="AK98" s="13">
        <f t="shared" si="89"/>
        <v>72.056231093481003</v>
      </c>
      <c r="AL98" s="20">
        <f t="shared" si="58"/>
        <v>655.31293582114552</v>
      </c>
      <c r="AM98" s="59">
        <f t="shared" si="59"/>
        <v>948.64626915447889</v>
      </c>
      <c r="AN98" s="59">
        <f ca="1">AVERAGE(OFFSET($AM$3,0,0,'Données projet'!$E$10+1,1))-AVERAGE(OFFSET($H$3,0,0,'Données projet'!$E$10+1,1))</f>
        <v>327.4505861600158</v>
      </c>
      <c r="AO98" s="59">
        <f t="shared" si="90"/>
        <v>193.18009444354595</v>
      </c>
      <c r="AP98" s="15">
        <f>IF(ISNA(VLOOKUP(A98,'Données projet'!$A$61:$I$81,3,0)),0,VLOOKUP(A98,'Données projet'!$A$61:$I$81,3,0))</f>
        <v>8</v>
      </c>
      <c r="AQ98" s="15">
        <f>IF(ISNA(VLOOKUP(A98,'Données projet'!$A$61:$I$81,4,0)),0,VLOOKUP(A98,'Données projet'!$A$61:$I$81,4,0))</f>
        <v>42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300</v>
      </c>
      <c r="BB98" s="12">
        <f>VLOOKUP(A98,'Données projet'!$A$87:$I$107,9,0)</f>
        <v>5.2</v>
      </c>
      <c r="BC98" s="12">
        <f t="array" ref="BC98">INDEX(BB:BB,MIN(IF(ISNUMBER(BB98:BB294),ROW(BB98:BB294),"")))</f>
        <v>5.2</v>
      </c>
      <c r="BD98" s="12">
        <f>IF('Données projet'!$A$88&gt;35,BD97+BC98-BL97,IF(A98&lt;'Données projet'!$A$88,$BA$205^A98,IF(A98='Données projet'!$A$88,'Données projet'!$B$88,BD97+BC98-BL97)))</f>
        <v>299.99999999999966</v>
      </c>
      <c r="BE98" s="13">
        <f>BD98*VLOOKUP('Données projet'!$B$11,Paramètres!$A$1:$I$89,3,0)*VLOOKUP('Données projet'!$B$11,Paramètres!$A$1:$I$89,5,0)</f>
        <v>313.55999999999966</v>
      </c>
      <c r="BF98" s="13">
        <f t="shared" si="91"/>
        <v>74.011805068053718</v>
      </c>
      <c r="BG98" s="20">
        <f t="shared" si="61"/>
        <v>675.02089382685961</v>
      </c>
      <c r="BH98" s="59">
        <f t="shared" si="62"/>
        <v>968.35422716019298</v>
      </c>
      <c r="BI98" s="59">
        <f ca="1">AVERAGE(OFFSET($BH$3,0,0,'Données projet'!$E$11+1,1))-AVERAGE(OFFSET($H$3,0,0,'Données projet'!$E$11+1,1))</f>
        <v>340.76197766679212</v>
      </c>
      <c r="BJ98" s="59">
        <f t="shared" si="92"/>
        <v>199.70700738826872</v>
      </c>
      <c r="BK98" s="15">
        <f>IF(ISNA(VLOOKUP(A98,'Données projet'!$A$87:$I$107,3,0)),0,VLOOKUP(A98,'Données projet'!$A$87:$I$107,3,0))</f>
        <v>8</v>
      </c>
      <c r="BL98" s="15">
        <f>IF(ISNA(VLOOKUP(A98,'Données projet'!$A$87:$I$107,4,0)),0,VLOOKUP(A98,'Données projet'!$A$87:$I$107,4,0))</f>
        <v>42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300</v>
      </c>
      <c r="BW98" s="12">
        <f>VLOOKUP(A98,'Données projet'!$A$113:$I$133,9,0)</f>
        <v>5.2</v>
      </c>
      <c r="BX98" s="12">
        <f t="array" ref="BX98">INDEX(BW:BW,MIN(IF(ISNUMBER(BW98:BW294),ROW(BW98:BW294),"")))</f>
        <v>5.2</v>
      </c>
      <c r="BY98" s="12">
        <f>IF('Données projet'!$A$114&gt;35,BY97+BX98-CG97,IF(A98&lt;'Données projet'!$A$114,$BV$205^A98,IF(A98='Données projet'!$A$114,'Données projet'!$B$114,BY97+BX98-CG97)))</f>
        <v>299.99999999999966</v>
      </c>
      <c r="BZ98" s="13">
        <f>BY98*VLOOKUP('Données projet'!$B$12,Paramètres!$A$1:$I$89,3,0)*VLOOKUP('Données projet'!$B$12,Paramètres!$A$1:$I$89,5,0)</f>
        <v>322.91999999999962</v>
      </c>
      <c r="CA98" s="13">
        <f t="shared" si="93"/>
        <v>75.960594879408688</v>
      </c>
      <c r="CB98" s="20">
        <f t="shared" si="64"/>
        <v>694.71703608163614</v>
      </c>
      <c r="CC98" s="59">
        <f t="shared" si="65"/>
        <v>988.05036941496951</v>
      </c>
      <c r="CD98" s="59">
        <f ca="1">AVERAGE(OFFSET($CC$3,0,0,'Données projet'!$E$12+1,1))-AVERAGE(OFFSET($H$3,0,0,'Données projet'!$E$12+1,1))</f>
        <v>354.06521046071936</v>
      </c>
      <c r="CE98" s="59">
        <f t="shared" si="94"/>
        <v>206.22956332364367</v>
      </c>
      <c r="CF98" s="15">
        <f>IF(ISNA(VLOOKUP(A98,'Données projet'!$A$113:$I$133,3,0)),0,VLOOKUP(A98,'Données projet'!$A$113:$I$133,3,0))</f>
        <v>8</v>
      </c>
      <c r="CG98" s="15">
        <f>IF(ISNA(VLOOKUP(A98,'Données projet'!$A$113:$I$133,4,0)),0,VLOOKUP(A98,'Données projet'!$A$113:$I$133,4,0))</f>
        <v>42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4.7</v>
      </c>
      <c r="N99" s="13">
        <f>IF('Données projet'!$A$36&gt;35,N98+M99-V98,IF(A99&lt;'Données projet'!$A$36,$K$205^A99,IF(A99='Données projet'!$A$36,'Données projet'!$B$36,N98+M99-V98)))</f>
        <v>262.69999999999965</v>
      </c>
      <c r="O99" s="13">
        <f>N99*VLOOKUP('Données projet'!$B$9,Paramètres!$A$1:$I$89,3,0)*VLOOKUP('Données projet'!$B$9,Paramètres!$A$1:$I$89,5,0)</f>
        <v>237.69095999999968</v>
      </c>
      <c r="P99" s="13">
        <f t="shared" si="87"/>
        <v>57.942450096949344</v>
      </c>
      <c r="Q99" s="20">
        <f t="shared" ref="Q99:Q130" si="107">(O99+P99)*0.475*44/12</f>
        <v>514.89485591885284</v>
      </c>
      <c r="R99" s="59">
        <f t="shared" si="55"/>
        <v>808.22818925218621</v>
      </c>
      <c r="S99" s="59">
        <f ca="1">AVERAGE(OFFSET($R$3,0,0,'Données projet'!$E$9+1,1))-AVERAGE(OFFSET($H$3,0,0,'Données projet'!$E$9+1,1))</f>
        <v>280.79223530986889</v>
      </c>
      <c r="T99" s="59">
        <f t="shared" si="88"/>
        <v>170.29932835468685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4.7</v>
      </c>
      <c r="AI99" s="13">
        <f>IF('Données projet'!$A$62&gt;35,AI98+AH99-AQ98,IF(A99&lt;'Données projet'!$A$62,$AF$205^A99,IF(A99='Données projet'!$A$62,'Données projet'!$B$62,AI98+AH99-AQ98)))</f>
        <v>262.69999999999965</v>
      </c>
      <c r="AJ99" s="13">
        <f>AI99*VLOOKUP('Données projet'!$B$10,Paramètres!$A$1:$I$89,3,0)*VLOOKUP('Données projet'!$B$10,Paramètres!$A$1:$I$89,5,0)</f>
        <v>266.37779999999964</v>
      </c>
      <c r="AK99" s="13">
        <f t="shared" si="89"/>
        <v>64.079943804672666</v>
      </c>
      <c r="AL99" s="20">
        <f t="shared" si="58"/>
        <v>575.54723712647092</v>
      </c>
      <c r="AM99" s="59">
        <f t="shared" si="59"/>
        <v>868.88057045980418</v>
      </c>
      <c r="AN99" s="59">
        <f ca="1">AVERAGE(OFFSET($AM$3,0,0,'Données projet'!$E$10+1,1))-AVERAGE(OFFSET($H$3,0,0,'Données projet'!$E$10+1,1))</f>
        <v>327.4505861600158</v>
      </c>
      <c r="AO99" s="59">
        <f t="shared" si="90"/>
        <v>193.18009444354595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4.7</v>
      </c>
      <c r="BD99" s="12">
        <f>IF('Données projet'!$A$88&gt;35,BD98+BC99-BL98,IF(A99&lt;'Données projet'!$A$88,$BA$205^A99,IF(A99='Données projet'!$A$88,'Données projet'!$B$88,BD98+BC99-BL98)))</f>
        <v>262.69999999999965</v>
      </c>
      <c r="BE99" s="13">
        <f>BD99*VLOOKUP('Données projet'!$B$11,Paramètres!$A$1:$I$89,3,0)*VLOOKUP('Données projet'!$B$11,Paramètres!$A$1:$I$89,5,0)</f>
        <v>274.57403999999968</v>
      </c>
      <c r="BF99" s="13">
        <f t="shared" si="91"/>
        <v>65.819044899676186</v>
      </c>
      <c r="BG99" s="20">
        <f t="shared" si="61"/>
        <v>592.85128953360197</v>
      </c>
      <c r="BH99" s="59">
        <f t="shared" si="62"/>
        <v>886.18462286693534</v>
      </c>
      <c r="BI99" s="59">
        <f ca="1">AVERAGE(OFFSET($BH$3,0,0,'Données projet'!$E$11+1,1))-AVERAGE(OFFSET($H$3,0,0,'Données projet'!$E$11+1,1))</f>
        <v>340.76197766679212</v>
      </c>
      <c r="BJ99" s="59">
        <f t="shared" si="92"/>
        <v>199.70700738826872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4.7</v>
      </c>
      <c r="BY99" s="12">
        <f>IF('Données projet'!$A$114&gt;35,BY98+BX99-CG98,IF(A99&lt;'Données projet'!$A$114,$BV$205^A99,IF(A99='Données projet'!$A$114,'Données projet'!$B$114,BY98+BX99-CG98)))</f>
        <v>262.69999999999965</v>
      </c>
      <c r="BZ99" s="13">
        <f>BY99*VLOOKUP('Données projet'!$B$12,Paramètres!$A$1:$I$89,3,0)*VLOOKUP('Données projet'!$B$12,Paramètres!$A$1:$I$89,5,0)</f>
        <v>282.77027999999962</v>
      </c>
      <c r="CA99" s="13">
        <f t="shared" si="93"/>
        <v>67.55211280655486</v>
      </c>
      <c r="CB99" s="20">
        <f t="shared" si="64"/>
        <v>610.14483413808227</v>
      </c>
      <c r="CC99" s="59">
        <f t="shared" si="65"/>
        <v>903.47816747141565</v>
      </c>
      <c r="CD99" s="59">
        <f ca="1">AVERAGE(OFFSET($CC$3,0,0,'Données projet'!$E$12+1,1))-AVERAGE(OFFSET($H$3,0,0,'Données projet'!$E$12+1,1))</f>
        <v>354.06521046071936</v>
      </c>
      <c r="CE99" s="59">
        <f t="shared" si="94"/>
        <v>206.22956332364367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4.7</v>
      </c>
      <c r="N100" s="13">
        <f>IF('Données projet'!$A$36&gt;35,N99+M100-V99,IF(A100&lt;'Données projet'!$A$36,$K$205^A100,IF(A100='Données projet'!$A$36,'Données projet'!$B$36,N99+M100-V99)))</f>
        <v>267.39999999999964</v>
      </c>
      <c r="O100" s="13">
        <f>N100*VLOOKUP('Données projet'!$B$9,Paramètres!$A$1:$I$89,3,0)*VLOOKUP('Données projet'!$B$9,Paramètres!$A$1:$I$89,5,0)</f>
        <v>241.94351999999967</v>
      </c>
      <c r="P100" s="13">
        <f t="shared" si="87"/>
        <v>58.857491789961337</v>
      </c>
      <c r="Q100" s="20">
        <f t="shared" si="107"/>
        <v>523.89509553418213</v>
      </c>
      <c r="R100" s="59">
        <f t="shared" si="55"/>
        <v>817.2284288675155</v>
      </c>
      <c r="S100" s="59">
        <f ca="1">AVERAGE(OFFSET($R$3,0,0,'Données projet'!$E$9+1,1))-AVERAGE(OFFSET($H$3,0,0,'Données projet'!$E$9+1,1))</f>
        <v>280.79223530986889</v>
      </c>
      <c r="T100" s="59">
        <f t="shared" si="88"/>
        <v>170.29932835468685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4.7</v>
      </c>
      <c r="AI100" s="13">
        <f>IF('Données projet'!$A$62&gt;35,AI99+AH100-AQ99,IF(A100&lt;'Données projet'!$A$62,$AF$205^A100,IF(A100='Données projet'!$A$62,'Données projet'!$B$62,AI99+AH100-AQ99)))</f>
        <v>267.39999999999964</v>
      </c>
      <c r="AJ100" s="13">
        <f>AI100*VLOOKUP('Données projet'!$B$10,Paramètres!$A$1:$I$89,3,0)*VLOOKUP('Données projet'!$B$10,Paramètres!$A$1:$I$89,5,0)</f>
        <v>271.14359999999965</v>
      </c>
      <c r="AK100" s="13">
        <f t="shared" si="89"/>
        <v>65.091910336447413</v>
      </c>
      <c r="AL100" s="20">
        <f t="shared" si="58"/>
        <v>585.61018050264533</v>
      </c>
      <c r="AM100" s="59">
        <f t="shared" si="59"/>
        <v>878.94351383597859</v>
      </c>
      <c r="AN100" s="59">
        <f ca="1">AVERAGE(OFFSET($AM$3,0,0,'Données projet'!$E$10+1,1))-AVERAGE(OFFSET($H$3,0,0,'Données projet'!$E$10+1,1))</f>
        <v>327.4505861600158</v>
      </c>
      <c r="AO100" s="59">
        <f t="shared" si="90"/>
        <v>193.18009444354595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4.7</v>
      </c>
      <c r="BD100" s="12">
        <f>IF('Données projet'!$A$88&gt;35,BD99+BC100-BL99,IF(A100&lt;'Données projet'!$A$88,$BA$205^A100,IF(A100='Données projet'!$A$88,'Données projet'!$B$88,BD99+BC100-BL99)))</f>
        <v>267.39999999999964</v>
      </c>
      <c r="BE100" s="13">
        <f>BD100*VLOOKUP('Données projet'!$B$11,Paramètres!$A$1:$I$89,3,0)*VLOOKUP('Données projet'!$B$11,Paramètres!$A$1:$I$89,5,0)</f>
        <v>279.48647999999963</v>
      </c>
      <c r="BF100" s="13">
        <f t="shared" si="91"/>
        <v>66.858475751783061</v>
      </c>
      <c r="BG100" s="20">
        <f t="shared" si="61"/>
        <v>603.21746460102133</v>
      </c>
      <c r="BH100" s="59">
        <f t="shared" si="62"/>
        <v>896.5507979343547</v>
      </c>
      <c r="BI100" s="59">
        <f ca="1">AVERAGE(OFFSET($BH$3,0,0,'Données projet'!$E$11+1,1))-AVERAGE(OFFSET($H$3,0,0,'Données projet'!$E$11+1,1))</f>
        <v>340.76197766679212</v>
      </c>
      <c r="BJ100" s="59">
        <f t="shared" si="92"/>
        <v>199.70700738826872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4.7</v>
      </c>
      <c r="BY100" s="12">
        <f>IF('Données projet'!$A$114&gt;35,BY99+BX100-CG99,IF(A100&lt;'Données projet'!$A$114,$BV$205^A100,IF(A100='Données projet'!$A$114,'Données projet'!$B$114,BY99+BX100-CG99)))</f>
        <v>267.39999999999964</v>
      </c>
      <c r="BZ100" s="13">
        <f>BY100*VLOOKUP('Données projet'!$B$12,Paramètres!$A$1:$I$89,3,0)*VLOOKUP('Données projet'!$B$12,Paramètres!$A$1:$I$89,5,0)</f>
        <v>287.82935999999961</v>
      </c>
      <c r="CA100" s="13">
        <f t="shared" si="93"/>
        <v>68.61891270137501</v>
      </c>
      <c r="CB100" s="20">
        <f t="shared" si="64"/>
        <v>620.81407495489407</v>
      </c>
      <c r="CC100" s="59">
        <f t="shared" si="65"/>
        <v>914.14740828822733</v>
      </c>
      <c r="CD100" s="59">
        <f ca="1">AVERAGE(OFFSET($CC$3,0,0,'Données projet'!$E$12+1,1))-AVERAGE(OFFSET($H$3,0,0,'Données projet'!$E$12+1,1))</f>
        <v>354.06521046071936</v>
      </c>
      <c r="CE100" s="59">
        <f t="shared" si="94"/>
        <v>206.22956332364367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4.7</v>
      </c>
      <c r="N101" s="13">
        <f>IF('Données projet'!$A$36&gt;35,N100+M101-V100,IF(A101&lt;'Données projet'!$A$36,$K$205^A101,IF(A101='Données projet'!$A$36,'Données projet'!$B$36,N100+M101-V100)))</f>
        <v>272.09999999999962</v>
      </c>
      <c r="O101" s="13">
        <f>N101*VLOOKUP('Données projet'!$B$9,Paramètres!$A$1:$I$89,3,0)*VLOOKUP('Données projet'!$B$9,Paramètres!$A$1:$I$89,5,0)</f>
        <v>246.19607999999968</v>
      </c>
      <c r="P101" s="13">
        <f t="shared" si="87"/>
        <v>59.770663189456016</v>
      </c>
      <c r="Q101" s="20">
        <f t="shared" si="107"/>
        <v>532.89207772163536</v>
      </c>
      <c r="R101" s="59">
        <f t="shared" si="55"/>
        <v>826.22541105496862</v>
      </c>
      <c r="S101" s="59">
        <f ca="1">AVERAGE(OFFSET($R$3,0,0,'Données projet'!$E$9+1,1))-AVERAGE(OFFSET($H$3,0,0,'Données projet'!$E$9+1,1))</f>
        <v>280.79223530986889</v>
      </c>
      <c r="T101" s="59">
        <f t="shared" si="88"/>
        <v>170.29932835468685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4.7</v>
      </c>
      <c r="AI101" s="13">
        <f>IF('Données projet'!$A$62&gt;35,AI100+AH101-AQ100,IF(A101&lt;'Données projet'!$A$62,$AF$205^A101,IF(A101='Données projet'!$A$62,'Données projet'!$B$62,AI100+AH101-AQ100)))</f>
        <v>272.09999999999962</v>
      </c>
      <c r="AJ101" s="13">
        <f>AI101*VLOOKUP('Données projet'!$B$10,Paramètres!$A$1:$I$89,3,0)*VLOOKUP('Données projet'!$B$10,Paramètres!$A$1:$I$89,5,0)</f>
        <v>275.90939999999961</v>
      </c>
      <c r="AK101" s="13">
        <f t="shared" si="89"/>
        <v>66.101808465810961</v>
      </c>
      <c r="AL101" s="20">
        <f t="shared" si="58"/>
        <v>595.66952141128684</v>
      </c>
      <c r="AM101" s="59">
        <f t="shared" si="59"/>
        <v>889.00285474462021</v>
      </c>
      <c r="AN101" s="59">
        <f ca="1">AVERAGE(OFFSET($AM$3,0,0,'Données projet'!$E$10+1,1))-AVERAGE(OFFSET($H$3,0,0,'Données projet'!$E$10+1,1))</f>
        <v>327.4505861600158</v>
      </c>
      <c r="AO101" s="59">
        <f t="shared" si="90"/>
        <v>193.18009444354595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4.7</v>
      </c>
      <c r="BD101" s="12">
        <f>IF('Données projet'!$A$88&gt;35,BD100+BC101-BL100,IF(A101&lt;'Données projet'!$A$88,$BA$205^A101,IF(A101='Données projet'!$A$88,'Données projet'!$B$88,BD100+BC101-BL100)))</f>
        <v>272.09999999999962</v>
      </c>
      <c r="BE101" s="13">
        <f>BD101*VLOOKUP('Données projet'!$B$11,Paramètres!$A$1:$I$89,3,0)*VLOOKUP('Données projet'!$B$11,Paramètres!$A$1:$I$89,5,0)</f>
        <v>284.39891999999963</v>
      </c>
      <c r="BF101" s="13">
        <f t="shared" si="91"/>
        <v>67.895782065959821</v>
      </c>
      <c r="BG101" s="20">
        <f t="shared" si="61"/>
        <v>613.57993943154599</v>
      </c>
      <c r="BH101" s="59">
        <f t="shared" si="62"/>
        <v>906.91327276487937</v>
      </c>
      <c r="BI101" s="59">
        <f ca="1">AVERAGE(OFFSET($BH$3,0,0,'Données projet'!$E$11+1,1))-AVERAGE(OFFSET($H$3,0,0,'Données projet'!$E$11+1,1))</f>
        <v>340.76197766679212</v>
      </c>
      <c r="BJ101" s="59">
        <f t="shared" si="92"/>
        <v>199.70700738826872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4.7</v>
      </c>
      <c r="BY101" s="12">
        <f>IF('Données projet'!$A$114&gt;35,BY100+BX101-CG100,IF(A101&lt;'Données projet'!$A$114,$BV$205^A101,IF(A101='Données projet'!$A$114,'Données projet'!$B$114,BY100+BX101-CG100)))</f>
        <v>272.09999999999962</v>
      </c>
      <c r="BZ101" s="13">
        <f>BY101*VLOOKUP('Données projet'!$B$12,Paramètres!$A$1:$I$89,3,0)*VLOOKUP('Données projet'!$B$12,Paramètres!$A$1:$I$89,5,0)</f>
        <v>292.8884399999996</v>
      </c>
      <c r="CA101" s="13">
        <f t="shared" si="93"/>
        <v>69.68353211748817</v>
      </c>
      <c r="CB101" s="20">
        <f t="shared" si="64"/>
        <v>631.47951810462462</v>
      </c>
      <c r="CC101" s="59">
        <f t="shared" si="65"/>
        <v>924.81285143795799</v>
      </c>
      <c r="CD101" s="59">
        <f ca="1">AVERAGE(OFFSET($CC$3,0,0,'Données projet'!$E$12+1,1))-AVERAGE(OFFSET($H$3,0,0,'Données projet'!$E$12+1,1))</f>
        <v>354.06521046071936</v>
      </c>
      <c r="CE101" s="59">
        <f t="shared" si="94"/>
        <v>206.22956332364367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4.7</v>
      </c>
      <c r="N102" s="13">
        <f>IF('Données projet'!$A$36&gt;35,N101+M102-V101,IF(A102&lt;'Données projet'!$A$36,$K$205^A102,IF(A102='Données projet'!$A$36,'Données projet'!$B$36,N101+M102-V101)))</f>
        <v>276.79999999999961</v>
      </c>
      <c r="O102" s="13">
        <f>N102*VLOOKUP('Données projet'!$B$9,Paramètres!$A$1:$I$89,3,0)*VLOOKUP('Données projet'!$B$9,Paramètres!$A$1:$I$89,5,0)</f>
        <v>250.44863999999961</v>
      </c>
      <c r="P102" s="13">
        <f t="shared" si="87"/>
        <v>60.682000328889949</v>
      </c>
      <c r="Q102" s="20">
        <f t="shared" si="107"/>
        <v>541.88586523948277</v>
      </c>
      <c r="R102" s="59">
        <f t="shared" si="55"/>
        <v>835.21919857281614</v>
      </c>
      <c r="S102" s="59">
        <f ca="1">AVERAGE(OFFSET($R$3,0,0,'Données projet'!$E$9+1,1))-AVERAGE(OFFSET($H$3,0,0,'Données projet'!$E$9+1,1))</f>
        <v>280.79223530986889</v>
      </c>
      <c r="T102" s="59">
        <f t="shared" si="88"/>
        <v>170.29932835468685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4.7</v>
      </c>
      <c r="AI102" s="13">
        <f>IF('Données projet'!$A$62&gt;35,AI101+AH102-AQ101,IF(A102&lt;'Données projet'!$A$62,$AF$205^A102,IF(A102='Données projet'!$A$62,'Données projet'!$B$62,AI101+AH102-AQ101)))</f>
        <v>276.79999999999961</v>
      </c>
      <c r="AJ102" s="13">
        <f>AI102*VLOOKUP('Données projet'!$B$10,Paramètres!$A$1:$I$89,3,0)*VLOOKUP('Données projet'!$B$10,Paramètres!$A$1:$I$89,5,0)</f>
        <v>280.67519999999962</v>
      </c>
      <c r="AK102" s="13">
        <f t="shared" si="89"/>
        <v>67.109678043026435</v>
      </c>
      <c r="AL102" s="20">
        <f t="shared" si="58"/>
        <v>605.72532925827045</v>
      </c>
      <c r="AM102" s="59">
        <f t="shared" si="59"/>
        <v>899.05866259160371</v>
      </c>
      <c r="AN102" s="59">
        <f ca="1">AVERAGE(OFFSET($AM$3,0,0,'Données projet'!$E$10+1,1))-AVERAGE(OFFSET($H$3,0,0,'Données projet'!$E$10+1,1))</f>
        <v>327.4505861600158</v>
      </c>
      <c r="AO102" s="59">
        <f t="shared" si="90"/>
        <v>193.18009444354595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4.7</v>
      </c>
      <c r="BD102" s="12">
        <f>IF('Données projet'!$A$88&gt;35,BD101+BC102-BL101,IF(A102&lt;'Données projet'!$A$88,$BA$205^A102,IF(A102='Données projet'!$A$88,'Données projet'!$B$88,BD101+BC102-BL101)))</f>
        <v>276.79999999999961</v>
      </c>
      <c r="BE102" s="13">
        <f>BD102*VLOOKUP('Données projet'!$B$11,Paramètres!$A$1:$I$89,3,0)*VLOOKUP('Données projet'!$B$11,Paramètres!$A$1:$I$89,5,0)</f>
        <v>289.31135999999964</v>
      </c>
      <c r="BF102" s="13">
        <f t="shared" si="91"/>
        <v>68.931004773987937</v>
      </c>
      <c r="BG102" s="20">
        <f t="shared" si="61"/>
        <v>623.93878531469488</v>
      </c>
      <c r="BH102" s="59">
        <f t="shared" si="62"/>
        <v>917.27211864802825</v>
      </c>
      <c r="BI102" s="59">
        <f ca="1">AVERAGE(OFFSET($BH$3,0,0,'Données projet'!$E$11+1,1))-AVERAGE(OFFSET($H$3,0,0,'Données projet'!$E$11+1,1))</f>
        <v>340.76197766679212</v>
      </c>
      <c r="BJ102" s="59">
        <f t="shared" si="92"/>
        <v>199.70700738826872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4.7</v>
      </c>
      <c r="BY102" s="12">
        <f>IF('Données projet'!$A$114&gt;35,BY101+BX102-CG101,IF(A102&lt;'Données projet'!$A$114,$BV$205^A102,IF(A102='Données projet'!$A$114,'Données projet'!$B$114,BY101+BX102-CG101)))</f>
        <v>276.79999999999961</v>
      </c>
      <c r="BZ102" s="13">
        <f>BY102*VLOOKUP('Données projet'!$B$12,Paramètres!$A$1:$I$89,3,0)*VLOOKUP('Données projet'!$B$12,Paramètres!$A$1:$I$89,5,0)</f>
        <v>297.94751999999954</v>
      </c>
      <c r="CA102" s="13">
        <f t="shared" si="93"/>
        <v>70.746013064442209</v>
      </c>
      <c r="CB102" s="20">
        <f t="shared" si="64"/>
        <v>642.14123675390272</v>
      </c>
      <c r="CC102" s="59">
        <f t="shared" si="65"/>
        <v>935.47457008723609</v>
      </c>
      <c r="CD102" s="59">
        <f ca="1">AVERAGE(OFFSET($CC$3,0,0,'Données projet'!$E$12+1,1))-AVERAGE(OFFSET($H$3,0,0,'Données projet'!$E$12+1,1))</f>
        <v>354.06521046071936</v>
      </c>
      <c r="CE102" s="59">
        <f t="shared" si="94"/>
        <v>206.22956332364367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4.7</v>
      </c>
      <c r="N103" s="13">
        <f>IF('Données projet'!$A$36&gt;35,N102+M103-V102,IF(A103&lt;'Données projet'!$A$36,$K$205^A103,IF(A103='Données projet'!$A$36,'Données projet'!$B$36,N102+M103-V102)))</f>
        <v>281.4999999999996</v>
      </c>
      <c r="O103" s="13">
        <f>N103*VLOOKUP('Données projet'!$B$9,Paramètres!$A$1:$I$89,3,0)*VLOOKUP('Données projet'!$B$9,Paramètres!$A$1:$I$89,5,0)</f>
        <v>254.70119999999963</v>
      </c>
      <c r="P103" s="13">
        <f t="shared" si="87"/>
        <v>61.591537947915114</v>
      </c>
      <c r="Q103" s="20">
        <f t="shared" si="107"/>
        <v>550.87651859261814</v>
      </c>
      <c r="R103" s="59">
        <f t="shared" si="55"/>
        <v>844.2098519259514</v>
      </c>
      <c r="S103" s="59">
        <f ca="1">AVERAGE(OFFSET($R$3,0,0,'Données projet'!$E$9+1,1))-AVERAGE(OFFSET($H$3,0,0,'Données projet'!$E$9+1,1))</f>
        <v>280.79223530986889</v>
      </c>
      <c r="T103" s="59">
        <f t="shared" si="88"/>
        <v>170.29932835468685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4.7</v>
      </c>
      <c r="AI103" s="13">
        <f>IF('Données projet'!$A$62&gt;35,AI102+AH103-AQ102,IF(A103&lt;'Données projet'!$A$62,$AF$205^A103,IF(A103='Données projet'!$A$62,'Données projet'!$B$62,AI102+AH103-AQ102)))</f>
        <v>281.4999999999996</v>
      </c>
      <c r="AJ103" s="13">
        <f>AI103*VLOOKUP('Données projet'!$B$10,Paramètres!$A$1:$I$89,3,0)*VLOOKUP('Données projet'!$B$10,Paramètres!$A$1:$I$89,5,0)</f>
        <v>285.44099999999958</v>
      </c>
      <c r="AK103" s="13">
        <f t="shared" si="89"/>
        <v>68.115557487507047</v>
      </c>
      <c r="AL103" s="20">
        <f t="shared" si="58"/>
        <v>615.77767095740739</v>
      </c>
      <c r="AM103" s="59">
        <f t="shared" si="59"/>
        <v>909.11100429074077</v>
      </c>
      <c r="AN103" s="59">
        <f ca="1">AVERAGE(OFFSET($AM$3,0,0,'Données projet'!$E$10+1,1))-AVERAGE(OFFSET($H$3,0,0,'Données projet'!$E$10+1,1))</f>
        <v>327.4505861600158</v>
      </c>
      <c r="AO103" s="59">
        <f t="shared" si="90"/>
        <v>193.18009444354595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4.7</v>
      </c>
      <c r="BD103" s="12">
        <f>IF('Données projet'!$A$88&gt;35,BD102+BC103-BL102,IF(A103&lt;'Données projet'!$A$88,$BA$205^A103,IF(A103='Données projet'!$A$88,'Données projet'!$B$88,BD102+BC103-BL102)))</f>
        <v>281.4999999999996</v>
      </c>
      <c r="BE103" s="13">
        <f>BD103*VLOOKUP('Données projet'!$B$11,Paramètres!$A$1:$I$89,3,0)*VLOOKUP('Données projet'!$B$11,Paramètres!$A$1:$I$89,5,0)</f>
        <v>294.22379999999958</v>
      </c>
      <c r="BF103" s="13">
        <f t="shared" si="91"/>
        <v>69.964183337966432</v>
      </c>
      <c r="BG103" s="20">
        <f t="shared" si="61"/>
        <v>634.29407098029071</v>
      </c>
      <c r="BH103" s="59">
        <f t="shared" si="62"/>
        <v>927.62740431362408</v>
      </c>
      <c r="BI103" s="59">
        <f ca="1">AVERAGE(OFFSET($BH$3,0,0,'Données projet'!$E$11+1,1))-AVERAGE(OFFSET($H$3,0,0,'Données projet'!$E$11+1,1))</f>
        <v>340.76197766679212</v>
      </c>
      <c r="BJ103" s="59">
        <f t="shared" si="92"/>
        <v>199.70700738826872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4.7</v>
      </c>
      <c r="BY103" s="12">
        <f>IF('Données projet'!$A$114&gt;35,BY102+BX103-CG102,IF(A103&lt;'Données projet'!$A$114,$BV$205^A103,IF(A103='Données projet'!$A$114,'Données projet'!$B$114,BY102+BX103-CG102)))</f>
        <v>281.4999999999996</v>
      </c>
      <c r="BZ103" s="13">
        <f>BY103*VLOOKUP('Données projet'!$B$12,Paramètres!$A$1:$I$89,3,0)*VLOOKUP('Données projet'!$B$12,Paramètres!$A$1:$I$89,5,0)</f>
        <v>303.00659999999954</v>
      </c>
      <c r="CA103" s="13">
        <f t="shared" si="93"/>
        <v>71.806396043404845</v>
      </c>
      <c r="CB103" s="20">
        <f t="shared" si="64"/>
        <v>652.79930144226262</v>
      </c>
      <c r="CC103" s="59">
        <f t="shared" si="65"/>
        <v>946.13263477559599</v>
      </c>
      <c r="CD103" s="59">
        <f ca="1">AVERAGE(OFFSET($CC$3,0,0,'Données projet'!$E$12+1,1))-AVERAGE(OFFSET($H$3,0,0,'Données projet'!$E$12+1,1))</f>
        <v>354.06521046071936</v>
      </c>
      <c r="CE103" s="59">
        <f t="shared" si="94"/>
        <v>206.22956332364367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4.7</v>
      </c>
      <c r="N104" s="13">
        <f>IF('Données projet'!$A$36&gt;35,N103+M104-V103,IF(A104&lt;'Données projet'!$A$36,$K$205^A104,IF(A104='Données projet'!$A$36,'Données projet'!$B$36,N103+M104-V103)))</f>
        <v>286.19999999999959</v>
      </c>
      <c r="O104" s="13">
        <f>N104*VLOOKUP('Données projet'!$B$9,Paramètres!$A$1:$I$89,3,0)*VLOOKUP('Données projet'!$B$9,Paramètres!$A$1:$I$89,5,0)</f>
        <v>258.95375999999965</v>
      </c>
      <c r="P104" s="13">
        <f t="shared" si="87"/>
        <v>62.499309559645205</v>
      </c>
      <c r="Q104" s="20">
        <f t="shared" si="107"/>
        <v>559.86409614971478</v>
      </c>
      <c r="R104" s="59">
        <f t="shared" si="55"/>
        <v>853.19742948304815</v>
      </c>
      <c r="S104" s="59">
        <f ca="1">AVERAGE(OFFSET($R$3,0,0,'Données projet'!$E$9+1,1))-AVERAGE(OFFSET($H$3,0,0,'Données projet'!$E$9+1,1))</f>
        <v>280.79223530986889</v>
      </c>
      <c r="T104" s="59">
        <f t="shared" si="88"/>
        <v>170.29932835468685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4.7</v>
      </c>
      <c r="AI104" s="13">
        <f>IF('Données projet'!$A$62&gt;35,AI103+AH104-AQ103,IF(A104&lt;'Données projet'!$A$62,$AF$205^A104,IF(A104='Données projet'!$A$62,'Données projet'!$B$62,AI103+AH104-AQ103)))</f>
        <v>286.19999999999959</v>
      </c>
      <c r="AJ104" s="13">
        <f>AI104*VLOOKUP('Données projet'!$B$10,Paramètres!$A$1:$I$89,3,0)*VLOOKUP('Données projet'!$B$10,Paramètres!$A$1:$I$89,5,0)</f>
        <v>290.20679999999959</v>
      </c>
      <c r="AK104" s="13">
        <f t="shared" si="89"/>
        <v>69.119483862208341</v>
      </c>
      <c r="AL104" s="20">
        <f t="shared" si="58"/>
        <v>625.82661106001206</v>
      </c>
      <c r="AM104" s="59">
        <f t="shared" si="59"/>
        <v>919.15994439334531</v>
      </c>
      <c r="AN104" s="59">
        <f ca="1">AVERAGE(OFFSET($AM$3,0,0,'Données projet'!$E$10+1,1))-AVERAGE(OFFSET($H$3,0,0,'Données projet'!$E$10+1,1))</f>
        <v>327.4505861600158</v>
      </c>
      <c r="AO104" s="59">
        <f t="shared" si="90"/>
        <v>193.18009444354595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4.7</v>
      </c>
      <c r="BD104" s="12">
        <f>IF('Données projet'!$A$88&gt;35,BD103+BC104-BL103,IF(A104&lt;'Données projet'!$A$88,$BA$205^A104,IF(A104='Données projet'!$A$88,'Données projet'!$B$88,BD103+BC104-BL103)))</f>
        <v>286.19999999999959</v>
      </c>
      <c r="BE104" s="13">
        <f>BD104*VLOOKUP('Données projet'!$B$11,Paramètres!$A$1:$I$89,3,0)*VLOOKUP('Données projet'!$B$11,Paramètres!$A$1:$I$89,5,0)</f>
        <v>299.13623999999959</v>
      </c>
      <c r="BF104" s="13">
        <f t="shared" si="91"/>
        <v>70.995355826722758</v>
      </c>
      <c r="BG104" s="20">
        <f t="shared" si="61"/>
        <v>644.64586273154134</v>
      </c>
      <c r="BH104" s="59">
        <f t="shared" si="62"/>
        <v>937.97919606487471</v>
      </c>
      <c r="BI104" s="59">
        <f ca="1">AVERAGE(OFFSET($BH$3,0,0,'Données projet'!$E$11+1,1))-AVERAGE(OFFSET($H$3,0,0,'Données projet'!$E$11+1,1))</f>
        <v>340.76197766679212</v>
      </c>
      <c r="BJ104" s="59">
        <f t="shared" si="92"/>
        <v>199.70700738826872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4.7</v>
      </c>
      <c r="BY104" s="12">
        <f>IF('Données projet'!$A$114&gt;35,BY103+BX104-CG103,IF(A104&lt;'Données projet'!$A$114,$BV$205^A104,IF(A104='Données projet'!$A$114,'Données projet'!$B$114,BY103+BX104-CG103)))</f>
        <v>286.19999999999959</v>
      </c>
      <c r="BZ104" s="13">
        <f>BY104*VLOOKUP('Données projet'!$B$12,Paramètres!$A$1:$I$89,3,0)*VLOOKUP('Données projet'!$B$12,Paramètres!$A$1:$I$89,5,0)</f>
        <v>308.06567999999953</v>
      </c>
      <c r="CA104" s="13">
        <f t="shared" si="93"/>
        <v>72.864720125585904</v>
      </c>
      <c r="CB104" s="20">
        <f t="shared" si="64"/>
        <v>663.45378021872796</v>
      </c>
      <c r="CC104" s="59">
        <f t="shared" si="65"/>
        <v>956.78711355206133</v>
      </c>
      <c r="CD104" s="59">
        <f ca="1">AVERAGE(OFFSET($CC$3,0,0,'Données projet'!$E$12+1,1))-AVERAGE(OFFSET($H$3,0,0,'Données projet'!$E$12+1,1))</f>
        <v>354.06521046071936</v>
      </c>
      <c r="CE104" s="59">
        <f t="shared" si="94"/>
        <v>206.22956332364367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4.7</v>
      </c>
      <c r="N105" s="13">
        <f>IF('Données projet'!$A$36&gt;35,N104+M105-V104,IF(A105&lt;'Données projet'!$A$36,$K$205^A105,IF(A105='Données projet'!$A$36,'Données projet'!$B$36,N104+M105-V104)))</f>
        <v>290.89999999999958</v>
      </c>
      <c r="O105" s="13">
        <f>N105*VLOOKUP('Données projet'!$B$9,Paramètres!$A$1:$I$89,3,0)*VLOOKUP('Données projet'!$B$9,Paramètres!$A$1:$I$89,5,0)</f>
        <v>263.20631999999961</v>
      </c>
      <c r="P105" s="13">
        <f t="shared" si="87"/>
        <v>63.405347513378558</v>
      </c>
      <c r="Q105" s="20">
        <f t="shared" si="107"/>
        <v>568.84865425246687</v>
      </c>
      <c r="R105" s="59">
        <f t="shared" si="55"/>
        <v>862.18198758580024</v>
      </c>
      <c r="S105" s="59">
        <f ca="1">AVERAGE(OFFSET($R$3,0,0,'Données projet'!$E$9+1,1))-AVERAGE(OFFSET($H$3,0,0,'Données projet'!$E$9+1,1))</f>
        <v>280.79223530986889</v>
      </c>
      <c r="T105" s="59">
        <f t="shared" si="88"/>
        <v>170.29932835468685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4.7</v>
      </c>
      <c r="AI105" s="13">
        <f>IF('Données projet'!$A$62&gt;35,AI104+AH105-AQ104,IF(A105&lt;'Données projet'!$A$62,$AF$205^A105,IF(A105='Données projet'!$A$62,'Données projet'!$B$62,AI104+AH105-AQ104)))</f>
        <v>290.89999999999958</v>
      </c>
      <c r="AJ105" s="13">
        <f>AI105*VLOOKUP('Données projet'!$B$10,Paramètres!$A$1:$I$89,3,0)*VLOOKUP('Données projet'!$B$10,Paramètres!$A$1:$I$89,5,0)</f>
        <v>294.9725999999996</v>
      </c>
      <c r="AK105" s="13">
        <f t="shared" si="89"/>
        <v>70.121492942994351</v>
      </c>
      <c r="AL105" s="20">
        <f t="shared" si="58"/>
        <v>635.87221187571447</v>
      </c>
      <c r="AM105" s="59">
        <f t="shared" si="59"/>
        <v>929.20554520904784</v>
      </c>
      <c r="AN105" s="59">
        <f ca="1">AVERAGE(OFFSET($AM$3,0,0,'Données projet'!$E$10+1,1))-AVERAGE(OFFSET($H$3,0,0,'Données projet'!$E$10+1,1))</f>
        <v>327.4505861600158</v>
      </c>
      <c r="AO105" s="59">
        <f t="shared" si="90"/>
        <v>193.18009444354595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4.7</v>
      </c>
      <c r="BD105" s="12">
        <f>IF('Données projet'!$A$88&gt;35,BD104+BC105-BL104,IF(A105&lt;'Données projet'!$A$88,$BA$205^A105,IF(A105='Données projet'!$A$88,'Données projet'!$B$88,BD104+BC105-BL104)))</f>
        <v>290.89999999999958</v>
      </c>
      <c r="BE105" s="13">
        <f>BD105*VLOOKUP('Données projet'!$B$11,Paramètres!$A$1:$I$89,3,0)*VLOOKUP('Données projet'!$B$11,Paramètres!$A$1:$I$89,5,0)</f>
        <v>304.04867999999959</v>
      </c>
      <c r="BF105" s="13">
        <f t="shared" si="91"/>
        <v>72.024558987062122</v>
      </c>
      <c r="BG105" s="20">
        <f t="shared" si="61"/>
        <v>654.99422456913237</v>
      </c>
      <c r="BH105" s="59">
        <f t="shared" si="62"/>
        <v>948.32755790246574</v>
      </c>
      <c r="BI105" s="59">
        <f ca="1">AVERAGE(OFFSET($BH$3,0,0,'Données projet'!$E$11+1,1))-AVERAGE(OFFSET($H$3,0,0,'Données projet'!$E$11+1,1))</f>
        <v>340.76197766679212</v>
      </c>
      <c r="BJ105" s="59">
        <f t="shared" si="92"/>
        <v>199.70700738826872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4.7</v>
      </c>
      <c r="BY105" s="12">
        <f>IF('Données projet'!$A$114&gt;35,BY104+BX105-CG104,IF(A105&lt;'Données projet'!$A$114,$BV$205^A105,IF(A105='Données projet'!$A$114,'Données projet'!$B$114,BY104+BX105-CG104)))</f>
        <v>290.89999999999958</v>
      </c>
      <c r="BZ105" s="13">
        <f>BY105*VLOOKUP('Données projet'!$B$12,Paramètres!$A$1:$I$89,3,0)*VLOOKUP('Données projet'!$B$12,Paramètres!$A$1:$I$89,5,0)</f>
        <v>313.12475999999953</v>
      </c>
      <c r="CA105" s="13">
        <f t="shared" si="93"/>
        <v>73.921023025363311</v>
      </c>
      <c r="CB105" s="20">
        <f t="shared" si="64"/>
        <v>674.10473876917354</v>
      </c>
      <c r="CC105" s="59">
        <f t="shared" si="65"/>
        <v>967.43807210250679</v>
      </c>
      <c r="CD105" s="59">
        <f ca="1">AVERAGE(OFFSET($CC$3,0,0,'Données projet'!$E$12+1,1))-AVERAGE(OFFSET($H$3,0,0,'Données projet'!$E$12+1,1))</f>
        <v>354.06521046071936</v>
      </c>
      <c r="CE105" s="59">
        <f t="shared" si="94"/>
        <v>206.22956332364367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4.7</v>
      </c>
      <c r="N106" s="13">
        <f>IF('Données projet'!$A$36&gt;35,N105+M106-V105,IF(A106&lt;'Données projet'!$A$36,$K$205^A106,IF(A106='Données projet'!$A$36,'Données projet'!$B$36,N105+M106-V105)))</f>
        <v>295.59999999999957</v>
      </c>
      <c r="O106" s="13">
        <f>N106*VLOOKUP('Données projet'!$B$9,Paramètres!$A$1:$I$89,3,0)*VLOOKUP('Données projet'!$B$9,Paramètres!$A$1:$I$89,5,0)</f>
        <v>267.45887999999962</v>
      </c>
      <c r="P106" s="13">
        <f t="shared" si="87"/>
        <v>64.309683053152327</v>
      </c>
      <c r="Q106" s="20">
        <f t="shared" si="107"/>
        <v>577.83024731757303</v>
      </c>
      <c r="R106" s="59">
        <f t="shared" si="55"/>
        <v>871.1635806509064</v>
      </c>
      <c r="S106" s="59">
        <f ca="1">AVERAGE(OFFSET($R$3,0,0,'Données projet'!$E$9+1,1))-AVERAGE(OFFSET($H$3,0,0,'Données projet'!$E$9+1,1))</f>
        <v>280.79223530986889</v>
      </c>
      <c r="T106" s="59">
        <f t="shared" si="88"/>
        <v>170.29932835468685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4.7</v>
      </c>
      <c r="AI106" s="13">
        <f>IF('Données projet'!$A$62&gt;35,AI105+AH106-AQ105,IF(A106&lt;'Données projet'!$A$62,$AF$205^A106,IF(A106='Données projet'!$A$62,'Données projet'!$B$62,AI105+AH106-AQ105)))</f>
        <v>295.59999999999957</v>
      </c>
      <c r="AJ106" s="13">
        <f>AI106*VLOOKUP('Données projet'!$B$10,Paramètres!$A$1:$I$89,3,0)*VLOOKUP('Données projet'!$B$10,Paramètres!$A$1:$I$89,5,0)</f>
        <v>299.73839999999961</v>
      </c>
      <c r="AK106" s="13">
        <f t="shared" si="89"/>
        <v>71.121619283394352</v>
      </c>
      <c r="AL106" s="20">
        <f t="shared" si="58"/>
        <v>645.91453358524438</v>
      </c>
      <c r="AM106" s="59">
        <f t="shared" si="59"/>
        <v>939.24786691857776</v>
      </c>
      <c r="AN106" s="59">
        <f ca="1">AVERAGE(OFFSET($AM$3,0,0,'Données projet'!$E$10+1,1))-AVERAGE(OFFSET($H$3,0,0,'Données projet'!$E$10+1,1))</f>
        <v>327.4505861600158</v>
      </c>
      <c r="AO106" s="59">
        <f t="shared" si="90"/>
        <v>193.18009444354595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4.7</v>
      </c>
      <c r="BD106" s="12">
        <f>IF('Données projet'!$A$88&gt;35,BD105+BC106-BL105,IF(A106&lt;'Données projet'!$A$88,$BA$205^A106,IF(A106='Données projet'!$A$88,'Données projet'!$B$88,BD105+BC106-BL105)))</f>
        <v>295.59999999999957</v>
      </c>
      <c r="BE106" s="13">
        <f>BD106*VLOOKUP('Données projet'!$B$11,Paramètres!$A$1:$I$89,3,0)*VLOOKUP('Données projet'!$B$11,Paramètres!$A$1:$I$89,5,0)</f>
        <v>308.96111999999954</v>
      </c>
      <c r="BF106" s="13">
        <f t="shared" si="91"/>
        <v>73.05182831028111</v>
      </c>
      <c r="BG106" s="20">
        <f t="shared" si="61"/>
        <v>665.33921830707209</v>
      </c>
      <c r="BH106" s="59">
        <f t="shared" si="62"/>
        <v>958.67255164040535</v>
      </c>
      <c r="BI106" s="59">
        <f ca="1">AVERAGE(OFFSET($BH$3,0,0,'Données projet'!$E$11+1,1))-AVERAGE(OFFSET($H$3,0,0,'Données projet'!$E$11+1,1))</f>
        <v>340.76197766679212</v>
      </c>
      <c r="BJ106" s="59">
        <f t="shared" si="92"/>
        <v>199.70700738826872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4.7</v>
      </c>
      <c r="BY106" s="12">
        <f>IF('Données projet'!$A$114&gt;35,BY105+BX106-CG105,IF(A106&lt;'Données projet'!$A$114,$BV$205^A106,IF(A106='Données projet'!$A$114,'Données projet'!$B$114,BY105+BX106-CG105)))</f>
        <v>295.59999999999957</v>
      </c>
      <c r="BZ106" s="13">
        <f>BY106*VLOOKUP('Données projet'!$B$12,Paramètres!$A$1:$I$89,3,0)*VLOOKUP('Données projet'!$B$12,Paramètres!$A$1:$I$89,5,0)</f>
        <v>318.18383999999952</v>
      </c>
      <c r="CA106" s="13">
        <f t="shared" si="93"/>
        <v>74.975341168547786</v>
      </c>
      <c r="CB106" s="20">
        <f t="shared" si="64"/>
        <v>684.75224053521981</v>
      </c>
      <c r="CC106" s="59">
        <f t="shared" si="65"/>
        <v>978.08557386855318</v>
      </c>
      <c r="CD106" s="59">
        <f ca="1">AVERAGE(OFFSET($CC$3,0,0,'Données projet'!$E$12+1,1))-AVERAGE(OFFSET($H$3,0,0,'Données projet'!$E$12+1,1))</f>
        <v>354.06521046071936</v>
      </c>
      <c r="CE106" s="59">
        <f t="shared" si="94"/>
        <v>206.22956332364367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4.7</v>
      </c>
      <c r="N107" s="13">
        <f>IF('Données projet'!$A$36&gt;35,N106+M107-V106,IF(A107&lt;'Données projet'!$A$36,$K$205^A107,IF(A107='Données projet'!$A$36,'Données projet'!$B$36,N106+M107-V106)))</f>
        <v>300.29999999999956</v>
      </c>
      <c r="O107" s="13">
        <f>N107*VLOOKUP('Données projet'!$B$9,Paramètres!$A$1:$I$89,3,0)*VLOOKUP('Données projet'!$B$9,Paramètres!$A$1:$I$89,5,0)</f>
        <v>271.71143999999958</v>
      </c>
      <c r="P107" s="13">
        <f t="shared" si="87"/>
        <v>65.212346372467266</v>
      </c>
      <c r="Q107" s="20">
        <f t="shared" si="107"/>
        <v>586.80892793204634</v>
      </c>
      <c r="R107" s="59">
        <f t="shared" si="55"/>
        <v>880.1422612653796</v>
      </c>
      <c r="S107" s="59">
        <f ca="1">AVERAGE(OFFSET($R$3,0,0,'Données projet'!$E$9+1,1))-AVERAGE(OFFSET($H$3,0,0,'Données projet'!$E$9+1,1))</f>
        <v>280.79223530986889</v>
      </c>
      <c r="T107" s="59">
        <f t="shared" si="88"/>
        <v>170.29932835468685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4.7</v>
      </c>
      <c r="AI107" s="13">
        <f>IF('Données projet'!$A$62&gt;35,AI106+AH107-AQ106,IF(A107&lt;'Données projet'!$A$62,$AF$205^A107,IF(A107='Données projet'!$A$62,'Données projet'!$B$62,AI106+AH107-AQ106)))</f>
        <v>300.29999999999956</v>
      </c>
      <c r="AJ107" s="13">
        <f>AI107*VLOOKUP('Données projet'!$B$10,Paramètres!$A$1:$I$89,3,0)*VLOOKUP('Données projet'!$B$10,Paramètres!$A$1:$I$89,5,0)</f>
        <v>304.50419999999957</v>
      </c>
      <c r="AK107" s="13">
        <f t="shared" si="89"/>
        <v>72.11989627512429</v>
      </c>
      <c r="AL107" s="20">
        <f t="shared" si="58"/>
        <v>655.95363434584067</v>
      </c>
      <c r="AM107" s="59">
        <f t="shared" si="59"/>
        <v>949.28696767917404</v>
      </c>
      <c r="AN107" s="59">
        <f ca="1">AVERAGE(OFFSET($AM$3,0,0,'Données projet'!$E$10+1,1))-AVERAGE(OFFSET($H$3,0,0,'Données projet'!$E$10+1,1))</f>
        <v>327.4505861600158</v>
      </c>
      <c r="AO107" s="59">
        <f t="shared" si="90"/>
        <v>193.18009444354595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4.7</v>
      </c>
      <c r="BD107" s="12">
        <f>IF('Données projet'!$A$88&gt;35,BD106+BC107-BL106,IF(A107&lt;'Données projet'!$A$88,$BA$205^A107,IF(A107='Données projet'!$A$88,'Données projet'!$B$88,BD106+BC107-BL106)))</f>
        <v>300.29999999999956</v>
      </c>
      <c r="BE107" s="13">
        <f>BD107*VLOOKUP('Données projet'!$B$11,Paramètres!$A$1:$I$89,3,0)*VLOOKUP('Données projet'!$B$11,Paramètres!$A$1:$I$89,5,0)</f>
        <v>313.87355999999954</v>
      </c>
      <c r="BF107" s="13">
        <f t="shared" si="91"/>
        <v>74.077198094331933</v>
      </c>
      <c r="BG107" s="20">
        <f t="shared" si="61"/>
        <v>675.68090368096057</v>
      </c>
      <c r="BH107" s="59">
        <f t="shared" si="62"/>
        <v>969.01423701429394</v>
      </c>
      <c r="BI107" s="59">
        <f ca="1">AVERAGE(OFFSET($BH$3,0,0,'Données projet'!$E$11+1,1))-AVERAGE(OFFSET($H$3,0,0,'Données projet'!$E$11+1,1))</f>
        <v>340.76197766679212</v>
      </c>
      <c r="BJ107" s="59">
        <f t="shared" si="92"/>
        <v>199.70700738826872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4.7</v>
      </c>
      <c r="BY107" s="12">
        <f>IF('Données projet'!$A$114&gt;35,BY106+BX107-CG106,IF(A107&lt;'Données projet'!$A$114,$BV$205^A107,IF(A107='Données projet'!$A$114,'Données projet'!$B$114,BY106+BX107-CG106)))</f>
        <v>300.29999999999956</v>
      </c>
      <c r="BZ107" s="13">
        <f>BY107*VLOOKUP('Données projet'!$B$12,Paramètres!$A$1:$I$89,3,0)*VLOOKUP('Données projet'!$B$12,Paramètres!$A$1:$I$89,5,0)</f>
        <v>323.24291999999951</v>
      </c>
      <c r="CA107" s="13">
        <f t="shared" si="93"/>
        <v>76.027709756183881</v>
      </c>
      <c r="CB107" s="20">
        <f t="shared" si="64"/>
        <v>695.39634682535268</v>
      </c>
      <c r="CC107" s="59">
        <f t="shared" si="65"/>
        <v>988.72968015868605</v>
      </c>
      <c r="CD107" s="59">
        <f ca="1">AVERAGE(OFFSET($CC$3,0,0,'Données projet'!$E$12+1,1))-AVERAGE(OFFSET($H$3,0,0,'Données projet'!$E$12+1,1))</f>
        <v>354.06521046071936</v>
      </c>
      <c r="CE107" s="59">
        <f t="shared" si="94"/>
        <v>206.22956332364367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305</v>
      </c>
      <c r="L108" s="12">
        <f>VLOOKUP(A108,'Données projet'!$A$35:$I$55,9,0)</f>
        <v>4.7</v>
      </c>
      <c r="M108" s="12">
        <f t="array" ref="M108">INDEX(L:L,MIN(IF(ISNUMBER(L108:L304),ROW(L108:L304),"")))</f>
        <v>4.7</v>
      </c>
      <c r="N108" s="13">
        <f>IF('Données projet'!$A$36&gt;35,N107+M108-V107,IF(A108&lt;'Données projet'!$A$36,$K$205^A108,IF(A108='Données projet'!$A$36,'Données projet'!$B$36,N107+M108-V107)))</f>
        <v>304.99999999999955</v>
      </c>
      <c r="O108" s="13">
        <f>N108*VLOOKUP('Données projet'!$B$9,Paramètres!$A$1:$I$89,3,0)*VLOOKUP('Données projet'!$B$9,Paramètres!$A$1:$I$89,5,0)</f>
        <v>275.9639999999996</v>
      </c>
      <c r="P108" s="13">
        <f t="shared" si="87"/>
        <v>66.113366665488797</v>
      </c>
      <c r="Q108" s="20">
        <f t="shared" si="107"/>
        <v>595.7847469423923</v>
      </c>
      <c r="R108" s="59">
        <f t="shared" si="55"/>
        <v>889.11808027572556</v>
      </c>
      <c r="S108" s="59">
        <f ca="1">AVERAGE(OFFSET($R$3,0,0,'Données projet'!$E$9+1,1))-AVERAGE(OFFSET($H$3,0,0,'Données projet'!$E$9+1,1))</f>
        <v>280.79223530986889</v>
      </c>
      <c r="T108" s="59">
        <f t="shared" si="88"/>
        <v>170.29932835468685</v>
      </c>
      <c r="U108" s="15">
        <f>IF(ISNA(VLOOKUP(A108,'Données projet'!$A$35:$I$55,3,0)),0,VLOOKUP(A108,'Données projet'!$A$35:$I$55,3,0))</f>
        <v>9</v>
      </c>
      <c r="V108" s="15">
        <f>IF(ISNA(VLOOKUP(A108,'Données projet'!$A$35:$I$55,4,0)),0,VLOOKUP(A108,'Données projet'!$A$35:$I$55,4,0))</f>
        <v>41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305</v>
      </c>
      <c r="AG108" s="12">
        <f>VLOOKUP(A108,'Données projet'!$A$61:$I$81,9,0)</f>
        <v>4.7</v>
      </c>
      <c r="AH108" s="12">
        <f t="array" ref="AH108">INDEX(AG:AG,MIN(IF(ISNUMBER(AG108:AG304),ROW(AG108:AG304),"")))</f>
        <v>4.7</v>
      </c>
      <c r="AI108" s="13">
        <f>IF('Données projet'!$A$62&gt;35,AI107+AH108-AQ107,IF(A108&lt;'Données projet'!$A$62,$AF$205^A108,IF(A108='Données projet'!$A$62,'Données projet'!$B$62,AI107+AH108-AQ107)))</f>
        <v>304.99999999999955</v>
      </c>
      <c r="AJ108" s="13">
        <f>AI108*VLOOKUP('Données projet'!$B$10,Paramètres!$A$1:$I$89,3,0)*VLOOKUP('Données projet'!$B$10,Paramètres!$A$1:$I$89,5,0)</f>
        <v>309.26999999999958</v>
      </c>
      <c r="AK108" s="13">
        <f t="shared" si="89"/>
        <v>73.116356204710968</v>
      </c>
      <c r="AL108" s="20">
        <f t="shared" si="58"/>
        <v>665.98957038987078</v>
      </c>
      <c r="AM108" s="59">
        <f t="shared" si="59"/>
        <v>959.32290372320404</v>
      </c>
      <c r="AN108" s="59">
        <f ca="1">AVERAGE(OFFSET($AM$3,0,0,'Données projet'!$E$10+1,1))-AVERAGE(OFFSET($H$3,0,0,'Données projet'!$E$10+1,1))</f>
        <v>327.4505861600158</v>
      </c>
      <c r="AO108" s="59">
        <f t="shared" si="90"/>
        <v>193.18009444354595</v>
      </c>
      <c r="AP108" s="15">
        <f>IF(ISNA(VLOOKUP(A108,'Données projet'!$A$61:$I$81,3,0)),0,VLOOKUP(A108,'Données projet'!$A$61:$I$81,3,0))</f>
        <v>9</v>
      </c>
      <c r="AQ108" s="15">
        <f>IF(ISNA(VLOOKUP(A108,'Données projet'!$A$61:$I$81,4,0)),0,VLOOKUP(A108,'Données projet'!$A$61:$I$81,4,0))</f>
        <v>41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305</v>
      </c>
      <c r="BB108" s="12">
        <f>VLOOKUP(A108,'Données projet'!$A$87:$I$107,9,0)</f>
        <v>4.7</v>
      </c>
      <c r="BC108" s="12">
        <f t="array" ref="BC108">INDEX(BB:BB,MIN(IF(ISNUMBER(BB108:BB304),ROW(BB108:BB304),"")))</f>
        <v>4.7</v>
      </c>
      <c r="BD108" s="12">
        <f>IF('Données projet'!$A$88&gt;35,BD107+BC108-BL107,IF(A108&lt;'Données projet'!$A$88,$BA$205^A108,IF(A108='Données projet'!$A$88,'Données projet'!$B$88,BD107+BC108-BL107)))</f>
        <v>304.99999999999955</v>
      </c>
      <c r="BE108" s="13">
        <f>BD108*VLOOKUP('Données projet'!$B$11,Paramètres!$A$1:$I$89,3,0)*VLOOKUP('Données projet'!$B$11,Paramètres!$A$1:$I$89,5,0)</f>
        <v>318.78599999999955</v>
      </c>
      <c r="BF108" s="13">
        <f t="shared" si="91"/>
        <v>75.100701501983352</v>
      </c>
      <c r="BG108" s="20">
        <f t="shared" si="61"/>
        <v>686.01933844928681</v>
      </c>
      <c r="BH108" s="59">
        <f t="shared" si="62"/>
        <v>979.35267178262006</v>
      </c>
      <c r="BI108" s="59">
        <f ca="1">AVERAGE(OFFSET($BH$3,0,0,'Données projet'!$E$11+1,1))-AVERAGE(OFFSET($H$3,0,0,'Données projet'!$E$11+1,1))</f>
        <v>340.76197766679212</v>
      </c>
      <c r="BJ108" s="59">
        <f t="shared" si="92"/>
        <v>199.70700738826872</v>
      </c>
      <c r="BK108" s="15">
        <f>IF(ISNA(VLOOKUP(A108,'Données projet'!$A$87:$I$107,3,0)),0,VLOOKUP(A108,'Données projet'!$A$87:$I$107,3,0))</f>
        <v>9</v>
      </c>
      <c r="BL108" s="15">
        <f>IF(ISNA(VLOOKUP(A108,'Données projet'!$A$87:$I$107,4,0)),0,VLOOKUP(A108,'Données projet'!$A$87:$I$107,4,0))</f>
        <v>41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>
        <f>VLOOKUP(A108,'Données projet'!$A$113:$I$133,2,0)</f>
        <v>305</v>
      </c>
      <c r="BW108" s="12">
        <f>VLOOKUP(A108,'Données projet'!$A$113:$I$133,9,0)</f>
        <v>4.7</v>
      </c>
      <c r="BX108" s="12">
        <f t="array" ref="BX108">INDEX(BW:BW,MIN(IF(ISNUMBER(BW108:BW304),ROW(BW108:BW304),"")))</f>
        <v>4.7</v>
      </c>
      <c r="BY108" s="12">
        <f>IF('Données projet'!$A$114&gt;35,BY107+BX108-CG107,IF(A108&lt;'Données projet'!$A$114,$BV$205^A108,IF(A108='Données projet'!$A$114,'Données projet'!$B$114,BY107+BX108-CG107)))</f>
        <v>304.99999999999955</v>
      </c>
      <c r="BZ108" s="13">
        <f>BY108*VLOOKUP('Données projet'!$B$12,Paramètres!$A$1:$I$89,3,0)*VLOOKUP('Données projet'!$B$12,Paramètres!$A$1:$I$89,5,0)</f>
        <v>328.30199999999951</v>
      </c>
      <c r="CA108" s="13">
        <f t="shared" si="93"/>
        <v>77.078162824242781</v>
      </c>
      <c r="CB108" s="20">
        <f t="shared" si="64"/>
        <v>706.03711691888873</v>
      </c>
      <c r="CC108" s="59">
        <f t="shared" si="65"/>
        <v>999.3704502522221</v>
      </c>
      <c r="CD108" s="59">
        <f ca="1">AVERAGE(OFFSET($CC$3,0,0,'Données projet'!$E$12+1,1))-AVERAGE(OFFSET($H$3,0,0,'Données projet'!$E$12+1,1))</f>
        <v>354.06521046071936</v>
      </c>
      <c r="CE108" s="59">
        <f t="shared" si="94"/>
        <v>206.22956332364367</v>
      </c>
      <c r="CF108" s="15">
        <f>IF(ISNA(VLOOKUP(A108,'Données projet'!$A$113:$I$133,3,0)),0,VLOOKUP(A108,'Données projet'!$A$113:$I$133,3,0))</f>
        <v>9</v>
      </c>
      <c r="CG108" s="15">
        <f>IF(ISNA(VLOOKUP(A108,'Données projet'!$A$113:$I$133,4,0)),0,VLOOKUP(A108,'Données projet'!$A$113:$I$133,4,0))</f>
        <v>41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4</v>
      </c>
      <c r="N109" s="13">
        <f>IF('Données projet'!$A$36&gt;35,N108+M109-V108,IF(A109&lt;'Données projet'!$A$36,$K$205^A109,IF(A109='Données projet'!$A$36,'Données projet'!$B$36,N108+M109-V108)))</f>
        <v>267.99999999999955</v>
      </c>
      <c r="O109" s="13">
        <f>N109*VLOOKUP('Données projet'!$B$9,Paramètres!$A$1:$I$89,3,0)*VLOOKUP('Données projet'!$B$9,Paramètres!$A$1:$I$89,5,0)</f>
        <v>242.48639999999955</v>
      </c>
      <c r="P109" s="13">
        <f t="shared" si="87"/>
        <v>58.97417023537232</v>
      </c>
      <c r="Q109" s="20">
        <f t="shared" si="107"/>
        <v>525.0438264932726</v>
      </c>
      <c r="R109" s="59">
        <f t="shared" si="55"/>
        <v>818.37715982660598</v>
      </c>
      <c r="S109" s="59">
        <f ca="1">AVERAGE(OFFSET($R$3,0,0,'Données projet'!$E$9+1,1))-AVERAGE(OFFSET($H$3,0,0,'Données projet'!$E$9+1,1))</f>
        <v>280.79223530986889</v>
      </c>
      <c r="T109" s="59">
        <f t="shared" si="88"/>
        <v>170.29932835468685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</v>
      </c>
      <c r="AI109" s="13">
        <f>IF('Données projet'!$A$62&gt;35,AI108+AH109-AQ108,IF(A109&lt;'Données projet'!$A$62,$AF$205^A109,IF(A109='Données projet'!$A$62,'Données projet'!$B$62,AI108+AH109-AQ108)))</f>
        <v>267.99999999999955</v>
      </c>
      <c r="AJ109" s="13">
        <f>AI109*VLOOKUP('Données projet'!$B$10,Paramètres!$A$1:$I$89,3,0)*VLOOKUP('Données projet'!$B$10,Paramètres!$A$1:$I$89,5,0)</f>
        <v>271.75199999999955</v>
      </c>
      <c r="AK109" s="13">
        <f t="shared" si="89"/>
        <v>65.22094782472486</v>
      </c>
      <c r="AL109" s="20">
        <f t="shared" si="58"/>
        <v>586.89455079472839</v>
      </c>
      <c r="AM109" s="59">
        <f t="shared" si="59"/>
        <v>880.22788412806176</v>
      </c>
      <c r="AN109" s="59">
        <f ca="1">AVERAGE(OFFSET($AM$3,0,0,'Données projet'!$E$10+1,1))-AVERAGE(OFFSET($H$3,0,0,'Données projet'!$E$10+1,1))</f>
        <v>327.4505861600158</v>
      </c>
      <c r="AO109" s="59">
        <f t="shared" si="90"/>
        <v>193.18009444354595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4</v>
      </c>
      <c r="BD109" s="12">
        <f>IF('Données projet'!$A$88&gt;35,BD108+BC109-BL108,IF(A109&lt;'Données projet'!$A$88,$BA$205^A109,IF(A109='Données projet'!$A$88,'Données projet'!$B$88,BD108+BC109-BL108)))</f>
        <v>267.99999999999955</v>
      </c>
      <c r="BE109" s="13">
        <f>BD109*VLOOKUP('Données projet'!$B$11,Paramètres!$A$1:$I$89,3,0)*VLOOKUP('Données projet'!$B$11,Paramètres!$A$1:$I$89,5,0)</f>
        <v>280.11359999999956</v>
      </c>
      <c r="BF109" s="13">
        <f t="shared" si="91"/>
        <v>66.99101525994125</v>
      </c>
      <c r="BG109" s="20">
        <f t="shared" si="61"/>
        <v>604.54053824439688</v>
      </c>
      <c r="BH109" s="59">
        <f t="shared" si="62"/>
        <v>897.87387157773014</v>
      </c>
      <c r="BI109" s="59">
        <f ca="1">AVERAGE(OFFSET($BH$3,0,0,'Données projet'!$E$11+1,1))-AVERAGE(OFFSET($H$3,0,0,'Données projet'!$E$11+1,1))</f>
        <v>340.76197766679212</v>
      </c>
      <c r="BJ109" s="59">
        <f t="shared" si="92"/>
        <v>199.70700738826872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4</v>
      </c>
      <c r="BY109" s="12">
        <f>IF('Données projet'!$A$114&gt;35,BY108+BX109-CG108,IF(A109&lt;'Données projet'!$A$114,$BV$205^A109,IF(A109='Données projet'!$A$114,'Données projet'!$B$114,BY108+BX109-CG108)))</f>
        <v>267.99999999999955</v>
      </c>
      <c r="BZ109" s="13">
        <f>BY109*VLOOKUP('Données projet'!$B$12,Paramètres!$A$1:$I$89,3,0)*VLOOKUP('Données projet'!$B$12,Paramètres!$A$1:$I$89,5,0)</f>
        <v>288.47519999999952</v>
      </c>
      <c r="CA109" s="13">
        <f t="shared" si="93"/>
        <v>68.754942080410729</v>
      </c>
      <c r="CB109" s="20">
        <f t="shared" si="64"/>
        <v>622.17583079004783</v>
      </c>
      <c r="CC109" s="59">
        <f t="shared" si="65"/>
        <v>915.5091641233812</v>
      </c>
      <c r="CD109" s="59">
        <f ca="1">AVERAGE(OFFSET($CC$3,0,0,'Données projet'!$E$12+1,1))-AVERAGE(OFFSET($H$3,0,0,'Données projet'!$E$12+1,1))</f>
        <v>354.06521046071936</v>
      </c>
      <c r="CE109" s="59">
        <f t="shared" si="94"/>
        <v>206.22956332364367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4</v>
      </c>
      <c r="N110" s="13">
        <f>IF('Données projet'!$A$36&gt;35,N109+M110-V109,IF(A110&lt;'Données projet'!$A$36,$K$205^A110,IF(A110='Données projet'!$A$36,'Données projet'!$B$36,N109+M110-V109)))</f>
        <v>271.99999999999955</v>
      </c>
      <c r="O110" s="13">
        <f>N110*VLOOKUP('Données projet'!$B$9,Paramètres!$A$1:$I$89,3,0)*VLOOKUP('Données projet'!$B$9,Paramètres!$A$1:$I$89,5,0)</f>
        <v>246.10559999999958</v>
      </c>
      <c r="P110" s="13">
        <f t="shared" si="87"/>
        <v>59.751253234371873</v>
      </c>
      <c r="Q110" s="20">
        <f t="shared" si="107"/>
        <v>532.70068604986363</v>
      </c>
      <c r="R110" s="59">
        <f t="shared" si="55"/>
        <v>826.03401938319689</v>
      </c>
      <c r="S110" s="59">
        <f ca="1">AVERAGE(OFFSET($R$3,0,0,'Données projet'!$E$9+1,1))-AVERAGE(OFFSET($H$3,0,0,'Données projet'!$E$9+1,1))</f>
        <v>280.79223530986889</v>
      </c>
      <c r="T110" s="59">
        <f t="shared" si="88"/>
        <v>170.29932835468685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</v>
      </c>
      <c r="AI110" s="13">
        <f>IF('Données projet'!$A$62&gt;35,AI109+AH110-AQ109,IF(A110&lt;'Données projet'!$A$62,$AF$205^A110,IF(A110='Données projet'!$A$62,'Données projet'!$B$62,AI109+AH110-AQ109)))</f>
        <v>271.99999999999955</v>
      </c>
      <c r="AJ110" s="13">
        <f>AI110*VLOOKUP('Données projet'!$B$10,Paramètres!$A$1:$I$89,3,0)*VLOOKUP('Données projet'!$B$10,Paramètres!$A$1:$I$89,5,0)</f>
        <v>275.80799999999954</v>
      </c>
      <c r="AK110" s="13">
        <f t="shared" si="89"/>
        <v>66.080342531440536</v>
      </c>
      <c r="AL110" s="20">
        <f t="shared" si="58"/>
        <v>595.45552990892475</v>
      </c>
      <c r="AM110" s="59">
        <f t="shared" si="59"/>
        <v>888.788863242258</v>
      </c>
      <c r="AN110" s="59">
        <f ca="1">AVERAGE(OFFSET($AM$3,0,0,'Données projet'!$E$10+1,1))-AVERAGE(OFFSET($H$3,0,0,'Données projet'!$E$10+1,1))</f>
        <v>327.4505861600158</v>
      </c>
      <c r="AO110" s="59">
        <f t="shared" si="90"/>
        <v>193.18009444354595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4</v>
      </c>
      <c r="BD110" s="12">
        <f>IF('Données projet'!$A$88&gt;35,BD109+BC110-BL109,IF(A110&lt;'Données projet'!$A$88,$BA$205^A110,IF(A110='Données projet'!$A$88,'Données projet'!$B$88,BD109+BC110-BL109)))</f>
        <v>271.99999999999955</v>
      </c>
      <c r="BE110" s="13">
        <f>BD110*VLOOKUP('Données projet'!$B$11,Paramètres!$A$1:$I$89,3,0)*VLOOKUP('Données projet'!$B$11,Paramètres!$A$1:$I$89,5,0)</f>
        <v>284.29439999999954</v>
      </c>
      <c r="BF110" s="13">
        <f t="shared" si="91"/>
        <v>67.873733555704447</v>
      </c>
      <c r="BG110" s="20">
        <f t="shared" si="61"/>
        <v>613.35949927618447</v>
      </c>
      <c r="BH110" s="59">
        <f t="shared" si="62"/>
        <v>906.69283260951784</v>
      </c>
      <c r="BI110" s="59">
        <f ca="1">AVERAGE(OFFSET($BH$3,0,0,'Données projet'!$E$11+1,1))-AVERAGE(OFFSET($H$3,0,0,'Données projet'!$E$11+1,1))</f>
        <v>340.76197766679212</v>
      </c>
      <c r="BJ110" s="59">
        <f t="shared" si="92"/>
        <v>199.70700738826872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4</v>
      </c>
      <c r="BY110" s="12">
        <f>IF('Données projet'!$A$114&gt;35,BY109+BX110-CG109,IF(A110&lt;'Données projet'!$A$114,$BV$205^A110,IF(A110='Données projet'!$A$114,'Données projet'!$B$114,BY109+BX110-CG109)))</f>
        <v>271.99999999999955</v>
      </c>
      <c r="BZ110" s="13">
        <f>BY110*VLOOKUP('Données projet'!$B$12,Paramètres!$A$1:$I$89,3,0)*VLOOKUP('Données projet'!$B$12,Paramètres!$A$1:$I$89,5,0)</f>
        <v>292.78079999999949</v>
      </c>
      <c r="CA110" s="13">
        <f t="shared" si="93"/>
        <v>69.660903052386161</v>
      </c>
      <c r="CB110" s="20">
        <f t="shared" si="64"/>
        <v>631.25263281623836</v>
      </c>
      <c r="CC110" s="59">
        <f t="shared" si="65"/>
        <v>924.58596614957173</v>
      </c>
      <c r="CD110" s="59">
        <f ca="1">AVERAGE(OFFSET($CC$3,0,0,'Données projet'!$E$12+1,1))-AVERAGE(OFFSET($H$3,0,0,'Données projet'!$E$12+1,1))</f>
        <v>354.06521046071936</v>
      </c>
      <c r="CE110" s="59">
        <f t="shared" si="94"/>
        <v>206.22956332364367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4</v>
      </c>
      <c r="N111" s="13">
        <f>IF('Données projet'!$A$36&gt;35,N110+M111-V110,IF(A111&lt;'Données projet'!$A$36,$K$205^A111,IF(A111='Données projet'!$A$36,'Données projet'!$B$36,N110+M111-V110)))</f>
        <v>275.99999999999955</v>
      </c>
      <c r="O111" s="13">
        <f>N111*VLOOKUP('Données projet'!$B$9,Paramètres!$A$1:$I$89,3,0)*VLOOKUP('Données projet'!$B$9,Paramètres!$A$1:$I$89,5,0)</f>
        <v>249.72479999999959</v>
      </c>
      <c r="P111" s="13">
        <f t="shared" si="87"/>
        <v>60.527007137298092</v>
      </c>
      <c r="Q111" s="20">
        <f t="shared" si="107"/>
        <v>540.35523076412676</v>
      </c>
      <c r="R111" s="59">
        <f t="shared" si="55"/>
        <v>833.68856409746013</v>
      </c>
      <c r="S111" s="59">
        <f ca="1">AVERAGE(OFFSET($R$3,0,0,'Données projet'!$E$9+1,1))-AVERAGE(OFFSET($H$3,0,0,'Données projet'!$E$9+1,1))</f>
        <v>280.79223530986889</v>
      </c>
      <c r="T111" s="59">
        <f t="shared" si="88"/>
        <v>170.29932835468685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</v>
      </c>
      <c r="AI111" s="13">
        <f>IF('Données projet'!$A$62&gt;35,AI110+AH111-AQ110,IF(A111&lt;'Données projet'!$A$62,$AF$205^A111,IF(A111='Données projet'!$A$62,'Données projet'!$B$62,AI110+AH111-AQ110)))</f>
        <v>275.99999999999955</v>
      </c>
      <c r="AJ111" s="13">
        <f>AI111*VLOOKUP('Données projet'!$B$10,Paramètres!$A$1:$I$89,3,0)*VLOOKUP('Données projet'!$B$10,Paramètres!$A$1:$I$89,5,0)</f>
        <v>279.86399999999958</v>
      </c>
      <c r="AK111" s="13">
        <f t="shared" si="89"/>
        <v>66.93826735896495</v>
      </c>
      <c r="AL111" s="20">
        <f t="shared" si="58"/>
        <v>604.01394898352987</v>
      </c>
      <c r="AM111" s="59">
        <f t="shared" si="59"/>
        <v>897.34728231686313</v>
      </c>
      <c r="AN111" s="59">
        <f ca="1">AVERAGE(OFFSET($AM$3,0,0,'Données projet'!$E$10+1,1))-AVERAGE(OFFSET($H$3,0,0,'Données projet'!$E$10+1,1))</f>
        <v>327.4505861600158</v>
      </c>
      <c r="AO111" s="59">
        <f t="shared" si="90"/>
        <v>193.18009444354595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4</v>
      </c>
      <c r="BD111" s="12">
        <f>IF('Données projet'!$A$88&gt;35,BD110+BC111-BL110,IF(A111&lt;'Données projet'!$A$88,$BA$205^A111,IF(A111='Données projet'!$A$88,'Données projet'!$B$88,BD110+BC111-BL110)))</f>
        <v>275.99999999999955</v>
      </c>
      <c r="BE111" s="13">
        <f>BD111*VLOOKUP('Données projet'!$B$11,Paramètres!$A$1:$I$89,3,0)*VLOOKUP('Données projet'!$B$11,Paramètres!$A$1:$I$89,5,0)</f>
        <v>288.47519999999957</v>
      </c>
      <c r="BF111" s="13">
        <f t="shared" si="91"/>
        <v>68.754942080410729</v>
      </c>
      <c r="BG111" s="20">
        <f t="shared" si="61"/>
        <v>622.17583079004794</v>
      </c>
      <c r="BH111" s="59">
        <f t="shared" si="62"/>
        <v>915.5091641233812</v>
      </c>
      <c r="BI111" s="59">
        <f ca="1">AVERAGE(OFFSET($BH$3,0,0,'Données projet'!$E$11+1,1))-AVERAGE(OFFSET($H$3,0,0,'Données projet'!$E$11+1,1))</f>
        <v>340.76197766679212</v>
      </c>
      <c r="BJ111" s="59">
        <f t="shared" si="92"/>
        <v>199.70700738826872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4</v>
      </c>
      <c r="BY111" s="12">
        <f>IF('Données projet'!$A$114&gt;35,BY110+BX111-CG110,IF(A111&lt;'Données projet'!$A$114,$BV$205^A111,IF(A111='Données projet'!$A$114,'Données projet'!$B$114,BY110+BX111-CG110)))</f>
        <v>275.99999999999955</v>
      </c>
      <c r="BZ111" s="13">
        <f>BY111*VLOOKUP('Données projet'!$B$12,Paramètres!$A$1:$I$89,3,0)*VLOOKUP('Données projet'!$B$12,Paramètres!$A$1:$I$89,5,0)</f>
        <v>297.08639999999951</v>
      </c>
      <c r="CA111" s="13">
        <f t="shared" si="93"/>
        <v>70.565314499829526</v>
      </c>
      <c r="CB111" s="20">
        <f t="shared" si="64"/>
        <v>640.32673608720222</v>
      </c>
      <c r="CC111" s="59">
        <f t="shared" si="65"/>
        <v>933.66006942053559</v>
      </c>
      <c r="CD111" s="59">
        <f ca="1">AVERAGE(OFFSET($CC$3,0,0,'Données projet'!$E$12+1,1))-AVERAGE(OFFSET($H$3,0,0,'Données projet'!$E$12+1,1))</f>
        <v>354.06521046071936</v>
      </c>
      <c r="CE111" s="59">
        <f t="shared" si="94"/>
        <v>206.22956332364367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</v>
      </c>
      <c r="N112" s="13">
        <f>IF('Données projet'!$A$36&gt;35,N111+M112-V111,IF(A112&lt;'Données projet'!$A$36,$K$205^A112,IF(A112='Données projet'!$A$36,'Données projet'!$B$36,N111+M112-V111)))</f>
        <v>279.99999999999955</v>
      </c>
      <c r="O112" s="13">
        <f>N112*VLOOKUP('Données projet'!$B$9,Paramètres!$A$1:$I$89,3,0)*VLOOKUP('Données projet'!$B$9,Paramètres!$A$1:$I$89,5,0)</f>
        <v>253.34399999999957</v>
      </c>
      <c r="P112" s="13">
        <f t="shared" si="87"/>
        <v>61.301453431926198</v>
      </c>
      <c r="Q112" s="20">
        <f t="shared" si="107"/>
        <v>548.00749806060401</v>
      </c>
      <c r="R112" s="59">
        <f t="shared" si="55"/>
        <v>841.34083139393738</v>
      </c>
      <c r="S112" s="59">
        <f ca="1">AVERAGE(OFFSET($R$3,0,0,'Données projet'!$E$9+1,1))-AVERAGE(OFFSET($H$3,0,0,'Données projet'!$E$9+1,1))</f>
        <v>280.79223530986889</v>
      </c>
      <c r="T112" s="59">
        <f t="shared" si="88"/>
        <v>170.29932835468685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</v>
      </c>
      <c r="AI112" s="13">
        <f>IF('Données projet'!$A$62&gt;35,AI111+AH112-AQ111,IF(A112&lt;'Données projet'!$A$62,$AF$205^A112,IF(A112='Données projet'!$A$62,'Données projet'!$B$62,AI111+AH112-AQ111)))</f>
        <v>279.99999999999955</v>
      </c>
      <c r="AJ112" s="13">
        <f>AI112*VLOOKUP('Données projet'!$B$10,Paramètres!$A$1:$I$89,3,0)*VLOOKUP('Données projet'!$B$10,Paramètres!$A$1:$I$89,5,0)</f>
        <v>283.91999999999956</v>
      </c>
      <c r="AK112" s="13">
        <f t="shared" si="89"/>
        <v>67.794746071143507</v>
      </c>
      <c r="AL112" s="20">
        <f t="shared" si="58"/>
        <v>612.56984940724078</v>
      </c>
      <c r="AM112" s="59">
        <f t="shared" si="59"/>
        <v>905.90318274057404</v>
      </c>
      <c r="AN112" s="59">
        <f ca="1">AVERAGE(OFFSET($AM$3,0,0,'Données projet'!$E$10+1,1))-AVERAGE(OFFSET($H$3,0,0,'Données projet'!$E$10+1,1))</f>
        <v>327.4505861600158</v>
      </c>
      <c r="AO112" s="59">
        <f t="shared" si="90"/>
        <v>193.18009444354595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4</v>
      </c>
      <c r="BD112" s="12">
        <f>IF('Données projet'!$A$88&gt;35,BD111+BC112-BL111,IF(A112&lt;'Données projet'!$A$88,$BA$205^A112,IF(A112='Données projet'!$A$88,'Données projet'!$B$88,BD111+BC112-BL111)))</f>
        <v>279.99999999999955</v>
      </c>
      <c r="BE112" s="13">
        <f>BD112*VLOOKUP('Données projet'!$B$11,Paramètres!$A$1:$I$89,3,0)*VLOOKUP('Données projet'!$B$11,Paramètres!$A$1:$I$89,5,0)</f>
        <v>292.65599999999955</v>
      </c>
      <c r="BF112" s="13">
        <f t="shared" si="91"/>
        <v>69.634665242845699</v>
      </c>
      <c r="BG112" s="20">
        <f t="shared" si="61"/>
        <v>630.98957529795541</v>
      </c>
      <c r="BH112" s="59">
        <f t="shared" si="62"/>
        <v>924.32290863128878</v>
      </c>
      <c r="BI112" s="59">
        <f ca="1">AVERAGE(OFFSET($BH$3,0,0,'Données projet'!$E$11+1,1))-AVERAGE(OFFSET($H$3,0,0,'Données projet'!$E$11+1,1))</f>
        <v>340.76197766679212</v>
      </c>
      <c r="BJ112" s="59">
        <f t="shared" si="92"/>
        <v>199.70700738826872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4</v>
      </c>
      <c r="BY112" s="12">
        <f>IF('Données projet'!$A$114&gt;35,BY111+BX112-CG111,IF(A112&lt;'Données projet'!$A$114,$BV$205^A112,IF(A112='Données projet'!$A$114,'Données projet'!$B$114,BY111+BX112-CG111)))</f>
        <v>279.99999999999955</v>
      </c>
      <c r="BZ112" s="13">
        <f>BY112*VLOOKUP('Données projet'!$B$12,Paramètres!$A$1:$I$89,3,0)*VLOOKUP('Données projet'!$B$12,Paramètres!$A$1:$I$89,5,0)</f>
        <v>301.39199999999948</v>
      </c>
      <c r="CA112" s="13">
        <f t="shared" si="93"/>
        <v>71.468201474229161</v>
      </c>
      <c r="CB112" s="20">
        <f t="shared" si="64"/>
        <v>649.39818423428153</v>
      </c>
      <c r="CC112" s="59">
        <f t="shared" si="65"/>
        <v>942.7315175676149</v>
      </c>
      <c r="CD112" s="59">
        <f ca="1">AVERAGE(OFFSET($CC$3,0,0,'Données projet'!$E$12+1,1))-AVERAGE(OFFSET($H$3,0,0,'Données projet'!$E$12+1,1))</f>
        <v>354.06521046071936</v>
      </c>
      <c r="CE112" s="59">
        <f t="shared" si="94"/>
        <v>206.22956332364367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4</v>
      </c>
      <c r="N113" s="13">
        <f>IF('Données projet'!$A$36&gt;35,N112+M113-V112,IF(A113&lt;'Données projet'!$A$36,$K$205^A113,IF(A113='Données projet'!$A$36,'Données projet'!$B$36,N112+M113-V112)))</f>
        <v>283.99999999999955</v>
      </c>
      <c r="O113" s="13">
        <f>N113*VLOOKUP('Données projet'!$B$9,Paramètres!$A$1:$I$89,3,0)*VLOOKUP('Données projet'!$B$9,Paramètres!$A$1:$I$89,5,0)</f>
        <v>256.96319999999957</v>
      </c>
      <c r="P113" s="13">
        <f t="shared" si="87"/>
        <v>62.07461295683791</v>
      </c>
      <c r="Q113" s="20">
        <f t="shared" si="107"/>
        <v>555.6575242331586</v>
      </c>
      <c r="R113" s="59">
        <f t="shared" si="55"/>
        <v>848.99085756649197</v>
      </c>
      <c r="S113" s="59">
        <f ca="1">AVERAGE(OFFSET($R$3,0,0,'Données projet'!$E$9+1,1))-AVERAGE(OFFSET($H$3,0,0,'Données projet'!$E$9+1,1))</f>
        <v>280.79223530986889</v>
      </c>
      <c r="T113" s="59">
        <f t="shared" si="88"/>
        <v>170.29932835468685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4</v>
      </c>
      <c r="AI113" s="13">
        <f>IF('Données projet'!$A$62&gt;35,AI112+AH113-AQ112,IF(A113&lt;'Données projet'!$A$62,$AF$205^A113,IF(A113='Données projet'!$A$62,'Données projet'!$B$62,AI112+AH113-AQ112)))</f>
        <v>283.99999999999955</v>
      </c>
      <c r="AJ113" s="13">
        <f>AI113*VLOOKUP('Données projet'!$B$10,Paramètres!$A$1:$I$89,3,0)*VLOOKUP('Données projet'!$B$10,Paramètres!$A$1:$I$89,5,0)</f>
        <v>287.97599999999954</v>
      </c>
      <c r="AK113" s="13">
        <f t="shared" si="89"/>
        <v>68.649801713863027</v>
      </c>
      <c r="AL113" s="20">
        <f t="shared" si="58"/>
        <v>621.12327131831069</v>
      </c>
      <c r="AM113" s="59">
        <f t="shared" si="59"/>
        <v>914.45660465164406</v>
      </c>
      <c r="AN113" s="59">
        <f ca="1">AVERAGE(OFFSET($AM$3,0,0,'Données projet'!$E$10+1,1))-AVERAGE(OFFSET($H$3,0,0,'Données projet'!$E$10+1,1))</f>
        <v>327.4505861600158</v>
      </c>
      <c r="AO113" s="59">
        <f t="shared" si="90"/>
        <v>193.18009444354595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4</v>
      </c>
      <c r="BD113" s="12">
        <f>IF('Données projet'!$A$88&gt;35,BD112+BC113-BL112,IF(A113&lt;'Données projet'!$A$88,$BA$205^A113,IF(A113='Données projet'!$A$88,'Données projet'!$B$88,BD112+BC113-BL112)))</f>
        <v>283.99999999999955</v>
      </c>
      <c r="BE113" s="13">
        <f>BD113*VLOOKUP('Données projet'!$B$11,Paramètres!$A$1:$I$89,3,0)*VLOOKUP('Données projet'!$B$11,Paramètres!$A$1:$I$89,5,0)</f>
        <v>296.83679999999958</v>
      </c>
      <c r="BF113" s="13">
        <f t="shared" si="91"/>
        <v>70.512926714351124</v>
      </c>
      <c r="BG113" s="20">
        <f t="shared" si="61"/>
        <v>639.80077402749419</v>
      </c>
      <c r="BH113" s="59">
        <f t="shared" si="62"/>
        <v>933.13410736082756</v>
      </c>
      <c r="BI113" s="59">
        <f ca="1">AVERAGE(OFFSET($BH$3,0,0,'Données projet'!$E$11+1,1))-AVERAGE(OFFSET($H$3,0,0,'Données projet'!$E$11+1,1))</f>
        <v>340.76197766679212</v>
      </c>
      <c r="BJ113" s="59">
        <f t="shared" si="92"/>
        <v>199.70700738826872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4</v>
      </c>
      <c r="BY113" s="12">
        <f>IF('Données projet'!$A$114&gt;35,BY112+BX113-CG112,IF(A113&lt;'Données projet'!$A$114,$BV$205^A113,IF(A113='Données projet'!$A$114,'Données projet'!$B$114,BY112+BX113-CG112)))</f>
        <v>283.99999999999955</v>
      </c>
      <c r="BZ113" s="13">
        <f>BY113*VLOOKUP('Données projet'!$B$12,Paramètres!$A$1:$I$89,3,0)*VLOOKUP('Données projet'!$B$12,Paramètres!$A$1:$I$89,5,0)</f>
        <v>305.69759999999951</v>
      </c>
      <c r="CA113" s="13">
        <f t="shared" si="93"/>
        <v>72.36958827021229</v>
      </c>
      <c r="CB113" s="20">
        <f t="shared" si="64"/>
        <v>658.46701957061885</v>
      </c>
      <c r="CC113" s="59">
        <f t="shared" si="65"/>
        <v>951.80035290395222</v>
      </c>
      <c r="CD113" s="59">
        <f ca="1">AVERAGE(OFFSET($CC$3,0,0,'Données projet'!$E$12+1,1))-AVERAGE(OFFSET($H$3,0,0,'Données projet'!$E$12+1,1))</f>
        <v>354.06521046071936</v>
      </c>
      <c r="CE113" s="59">
        <f t="shared" si="94"/>
        <v>206.22956332364367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</v>
      </c>
      <c r="N114" s="13">
        <f>IF('Données projet'!$A$36&gt;35,N113+M114-V113,IF(A114&lt;'Données projet'!$A$36,$K$205^A114,IF(A114='Données projet'!$A$36,'Données projet'!$B$36,N113+M114-V113)))</f>
        <v>287.99999999999955</v>
      </c>
      <c r="O114" s="13">
        <f>N114*VLOOKUP('Données projet'!$B$9,Paramètres!$A$1:$I$89,3,0)*VLOOKUP('Données projet'!$B$9,Paramètres!$A$1:$I$89,5,0)</f>
        <v>260.58239999999961</v>
      </c>
      <c r="P114" s="13">
        <f t="shared" si="87"/>
        <v>62.846505929896793</v>
      </c>
      <c r="Q114" s="20">
        <f t="shared" si="107"/>
        <v>563.30534449456957</v>
      </c>
      <c r="R114" s="59">
        <f t="shared" si="55"/>
        <v>856.63867782790294</v>
      </c>
      <c r="S114" s="59">
        <f ca="1">AVERAGE(OFFSET($R$3,0,0,'Données projet'!$E$9+1,1))-AVERAGE(OFFSET($H$3,0,0,'Données projet'!$E$9+1,1))</f>
        <v>280.79223530986889</v>
      </c>
      <c r="T114" s="59">
        <f t="shared" si="88"/>
        <v>170.29932835468685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</v>
      </c>
      <c r="AI114" s="13">
        <f>IF('Données projet'!$A$62&gt;35,AI113+AH114-AQ113,IF(A114&lt;'Données projet'!$A$62,$AF$205^A114,IF(A114='Données projet'!$A$62,'Données projet'!$B$62,AI113+AH114-AQ113)))</f>
        <v>287.99999999999955</v>
      </c>
      <c r="AJ114" s="13">
        <f>AI114*VLOOKUP('Données projet'!$B$10,Paramètres!$A$1:$I$89,3,0)*VLOOKUP('Données projet'!$B$10,Paramètres!$A$1:$I$89,5,0)</f>
        <v>292.03199999999953</v>
      </c>
      <c r="AK114" s="13">
        <f t="shared" si="89"/>
        <v>69.503456646543185</v>
      </c>
      <c r="AL114" s="20">
        <f t="shared" si="58"/>
        <v>629.67425365939516</v>
      </c>
      <c r="AM114" s="59">
        <f t="shared" si="59"/>
        <v>923.00758699272842</v>
      </c>
      <c r="AN114" s="59">
        <f ca="1">AVERAGE(OFFSET($AM$3,0,0,'Données projet'!$E$10+1,1))-AVERAGE(OFFSET($H$3,0,0,'Données projet'!$E$10+1,1))</f>
        <v>327.4505861600158</v>
      </c>
      <c r="AO114" s="59">
        <f t="shared" si="90"/>
        <v>193.18009444354595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4</v>
      </c>
      <c r="BD114" s="12">
        <f>IF('Données projet'!$A$88&gt;35,BD113+BC114-BL113,IF(A114&lt;'Données projet'!$A$88,$BA$205^A114,IF(A114='Données projet'!$A$88,'Données projet'!$B$88,BD113+BC114-BL113)))</f>
        <v>287.99999999999955</v>
      </c>
      <c r="BE114" s="13">
        <f>BD114*VLOOKUP('Données projet'!$B$11,Paramètres!$A$1:$I$89,3,0)*VLOOKUP('Données projet'!$B$11,Paramètres!$A$1:$I$89,5,0)</f>
        <v>301.01759999999956</v>
      </c>
      <c r="BF114" s="13">
        <f t="shared" si="91"/>
        <v>71.389749461171391</v>
      </c>
      <c r="BG114" s="20">
        <f t="shared" si="61"/>
        <v>648.60946697820611</v>
      </c>
      <c r="BH114" s="59">
        <f t="shared" si="62"/>
        <v>941.94280031153949</v>
      </c>
      <c r="BI114" s="59">
        <f ca="1">AVERAGE(OFFSET($BH$3,0,0,'Données projet'!$E$11+1,1))-AVERAGE(OFFSET($H$3,0,0,'Données projet'!$E$11+1,1))</f>
        <v>340.76197766679212</v>
      </c>
      <c r="BJ114" s="59">
        <f t="shared" si="92"/>
        <v>199.70700738826872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4</v>
      </c>
      <c r="BY114" s="12">
        <f>IF('Données projet'!$A$114&gt;35,BY113+BX114-CG113,IF(A114&lt;'Données projet'!$A$114,$BV$205^A114,IF(A114='Données projet'!$A$114,'Données projet'!$B$114,BY113+BX114-CG113)))</f>
        <v>287.99999999999955</v>
      </c>
      <c r="BZ114" s="13">
        <f>BY114*VLOOKUP('Données projet'!$B$12,Paramètres!$A$1:$I$89,3,0)*VLOOKUP('Données projet'!$B$12,Paramètres!$A$1:$I$89,5,0)</f>
        <v>310.00319999999948</v>
      </c>
      <c r="CA114" s="13">
        <f t="shared" si="93"/>
        <v>73.269498458742731</v>
      </c>
      <c r="CB114" s="20">
        <f t="shared" si="64"/>
        <v>667.5332831489759</v>
      </c>
      <c r="CC114" s="59">
        <f t="shared" si="65"/>
        <v>960.86661648230915</v>
      </c>
      <c r="CD114" s="59">
        <f ca="1">AVERAGE(OFFSET($CC$3,0,0,'Données projet'!$E$12+1,1))-AVERAGE(OFFSET($H$3,0,0,'Données projet'!$E$12+1,1))</f>
        <v>354.06521046071936</v>
      </c>
      <c r="CE114" s="59">
        <f t="shared" si="94"/>
        <v>206.22956332364367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</v>
      </c>
      <c r="N115" s="13">
        <f>IF('Données projet'!$A$36&gt;35,N114+M115-V114,IF(A115&lt;'Données projet'!$A$36,$K$205^A115,IF(A115='Données projet'!$A$36,'Données projet'!$B$36,N114+M115-V114)))</f>
        <v>291.99999999999955</v>
      </c>
      <c r="O115" s="13">
        <f>N115*VLOOKUP('Données projet'!$B$9,Paramètres!$A$1:$I$89,3,0)*VLOOKUP('Données projet'!$B$9,Paramètres!$A$1:$I$89,5,0)</f>
        <v>264.20159999999959</v>
      </c>
      <c r="P115" s="13">
        <f t="shared" si="87"/>
        <v>63.617151975096654</v>
      </c>
      <c r="Q115" s="20">
        <f t="shared" si="107"/>
        <v>570.95099302329265</v>
      </c>
      <c r="R115" s="59">
        <f t="shared" si="55"/>
        <v>864.28432635662602</v>
      </c>
      <c r="S115" s="59">
        <f ca="1">AVERAGE(OFFSET($R$3,0,0,'Données projet'!$E$9+1,1))-AVERAGE(OFFSET($H$3,0,0,'Données projet'!$E$9+1,1))</f>
        <v>280.79223530986889</v>
      </c>
      <c r="T115" s="59">
        <f t="shared" si="88"/>
        <v>170.29932835468685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</v>
      </c>
      <c r="AI115" s="13">
        <f>IF('Données projet'!$A$62&gt;35,AI114+AH115-AQ114,IF(A115&lt;'Données projet'!$A$62,$AF$205^A115,IF(A115='Données projet'!$A$62,'Données projet'!$B$62,AI114+AH115-AQ114)))</f>
        <v>291.99999999999955</v>
      </c>
      <c r="AJ115" s="13">
        <f>AI115*VLOOKUP('Données projet'!$B$10,Paramètres!$A$1:$I$89,3,0)*VLOOKUP('Données projet'!$B$10,Paramètres!$A$1:$I$89,5,0)</f>
        <v>296.08799999999957</v>
      </c>
      <c r="AK115" s="13">
        <f t="shared" si="89"/>
        <v>70.35573257182898</v>
      </c>
      <c r="AL115" s="20">
        <f t="shared" si="58"/>
        <v>638.22283422926796</v>
      </c>
      <c r="AM115" s="59">
        <f t="shared" si="59"/>
        <v>931.55616756260133</v>
      </c>
      <c r="AN115" s="59">
        <f ca="1">AVERAGE(OFFSET($AM$3,0,0,'Données projet'!$E$10+1,1))-AVERAGE(OFFSET($H$3,0,0,'Données projet'!$E$10+1,1))</f>
        <v>327.4505861600158</v>
      </c>
      <c r="AO115" s="59">
        <f t="shared" si="90"/>
        <v>193.18009444354595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4</v>
      </c>
      <c r="BD115" s="12">
        <f>IF('Données projet'!$A$88&gt;35,BD114+BC115-BL114,IF(A115&lt;'Données projet'!$A$88,$BA$205^A115,IF(A115='Données projet'!$A$88,'Données projet'!$B$88,BD114+BC115-BL114)))</f>
        <v>291.99999999999955</v>
      </c>
      <c r="BE115" s="13">
        <f>BD115*VLOOKUP('Données projet'!$B$11,Paramètres!$A$1:$I$89,3,0)*VLOOKUP('Données projet'!$B$11,Paramètres!$A$1:$I$89,5,0)</f>
        <v>305.19839999999954</v>
      </c>
      <c r="BF115" s="13">
        <f t="shared" si="91"/>
        <v>72.265155774951722</v>
      </c>
      <c r="BG115" s="20">
        <f t="shared" si="61"/>
        <v>657.41569297470676</v>
      </c>
      <c r="BH115" s="59">
        <f t="shared" si="62"/>
        <v>950.74902630804013</v>
      </c>
      <c r="BI115" s="59">
        <f ca="1">AVERAGE(OFFSET($BH$3,0,0,'Données projet'!$E$11+1,1))-AVERAGE(OFFSET($H$3,0,0,'Données projet'!$E$11+1,1))</f>
        <v>340.76197766679212</v>
      </c>
      <c r="BJ115" s="59">
        <f t="shared" si="92"/>
        <v>199.70700738826872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4</v>
      </c>
      <c r="BY115" s="12">
        <f>IF('Données projet'!$A$114&gt;35,BY114+BX115-CG114,IF(A115&lt;'Données projet'!$A$114,$BV$205^A115,IF(A115='Données projet'!$A$114,'Données projet'!$B$114,BY114+BX115-CG114)))</f>
        <v>291.99999999999955</v>
      </c>
      <c r="BZ115" s="13">
        <f>BY115*VLOOKUP('Données projet'!$B$12,Paramètres!$A$1:$I$89,3,0)*VLOOKUP('Données projet'!$B$12,Paramètres!$A$1:$I$89,5,0)</f>
        <v>314.30879999999951</v>
      </c>
      <c r="CA115" s="13">
        <f t="shared" si="93"/>
        <v>74.167954918422311</v>
      </c>
      <c r="CB115" s="20">
        <f t="shared" si="64"/>
        <v>676.59701481625132</v>
      </c>
      <c r="CC115" s="59">
        <f t="shared" si="65"/>
        <v>969.93034814958469</v>
      </c>
      <c r="CD115" s="59">
        <f ca="1">AVERAGE(OFFSET($CC$3,0,0,'Données projet'!$E$12+1,1))-AVERAGE(OFFSET($H$3,0,0,'Données projet'!$E$12+1,1))</f>
        <v>354.06521046071936</v>
      </c>
      <c r="CE115" s="59">
        <f t="shared" si="94"/>
        <v>206.22956332364367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</v>
      </c>
      <c r="N116" s="13">
        <f>IF('Données projet'!$A$36&gt;35,N115+M116-V115,IF(A116&lt;'Données projet'!$A$36,$K$205^A116,IF(A116='Données projet'!$A$36,'Données projet'!$B$36,N115+M116-V115)))</f>
        <v>295.99999999999955</v>
      </c>
      <c r="O116" s="13">
        <f>N116*VLOOKUP('Données projet'!$B$9,Paramètres!$A$1:$I$89,3,0)*VLOOKUP('Données projet'!$B$9,Paramètres!$A$1:$I$89,5,0)</f>
        <v>267.82079999999956</v>
      </c>
      <c r="P116" s="13">
        <f t="shared" si="87"/>
        <v>64.386570147897245</v>
      </c>
      <c r="Q116" s="20">
        <f t="shared" si="107"/>
        <v>578.59450300758692</v>
      </c>
      <c r="R116" s="59">
        <f t="shared" si="55"/>
        <v>871.92783634092029</v>
      </c>
      <c r="S116" s="59">
        <f ca="1">AVERAGE(OFFSET($R$3,0,0,'Données projet'!$E$9+1,1))-AVERAGE(OFFSET($H$3,0,0,'Données projet'!$E$9+1,1))</f>
        <v>280.79223530986889</v>
      </c>
      <c r="T116" s="59">
        <f t="shared" si="88"/>
        <v>170.29932835468685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</v>
      </c>
      <c r="AI116" s="13">
        <f>IF('Données projet'!$A$62&gt;35,AI115+AH116-AQ115,IF(A116&lt;'Données projet'!$A$62,$AF$205^A116,IF(A116='Données projet'!$A$62,'Données projet'!$B$62,AI115+AH116-AQ115)))</f>
        <v>295.99999999999955</v>
      </c>
      <c r="AJ116" s="13">
        <f>AI116*VLOOKUP('Données projet'!$B$10,Paramètres!$A$1:$I$89,3,0)*VLOOKUP('Données projet'!$B$10,Paramètres!$A$1:$I$89,5,0)</f>
        <v>300.14399999999955</v>
      </c>
      <c r="AK116" s="13">
        <f t="shared" si="89"/>
        <v>71.206650563609799</v>
      </c>
      <c r="AL116" s="20">
        <f t="shared" si="58"/>
        <v>646.76904973161959</v>
      </c>
      <c r="AM116" s="59">
        <f t="shared" si="59"/>
        <v>940.10238306495285</v>
      </c>
      <c r="AN116" s="59">
        <f ca="1">AVERAGE(OFFSET($AM$3,0,0,'Données projet'!$E$10+1,1))-AVERAGE(OFFSET($H$3,0,0,'Données projet'!$E$10+1,1))</f>
        <v>327.4505861600158</v>
      </c>
      <c r="AO116" s="59">
        <f t="shared" si="90"/>
        <v>193.18009444354595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4</v>
      </c>
      <c r="BD116" s="12">
        <f>IF('Données projet'!$A$88&gt;35,BD115+BC116-BL115,IF(A116&lt;'Données projet'!$A$88,$BA$205^A116,IF(A116='Données projet'!$A$88,'Données projet'!$B$88,BD115+BC116-BL115)))</f>
        <v>295.99999999999955</v>
      </c>
      <c r="BE116" s="13">
        <f>BD116*VLOOKUP('Données projet'!$B$11,Paramètres!$A$1:$I$89,3,0)*VLOOKUP('Données projet'!$B$11,Paramètres!$A$1:$I$89,5,0)</f>
        <v>309.37919999999957</v>
      </c>
      <c r="BF116" s="13">
        <f t="shared" si="91"/>
        <v>73.139167301517375</v>
      </c>
      <c r="BG116" s="20">
        <f t="shared" si="61"/>
        <v>666.21948971680865</v>
      </c>
      <c r="BH116" s="59">
        <f t="shared" si="62"/>
        <v>959.55282305014202</v>
      </c>
      <c r="BI116" s="59">
        <f ca="1">AVERAGE(OFFSET($BH$3,0,0,'Données projet'!$E$11+1,1))-AVERAGE(OFFSET($H$3,0,0,'Données projet'!$E$11+1,1))</f>
        <v>340.76197766679212</v>
      </c>
      <c r="BJ116" s="59">
        <f t="shared" si="92"/>
        <v>199.70700738826872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4</v>
      </c>
      <c r="BY116" s="12">
        <f>IF('Données projet'!$A$114&gt;35,BY115+BX116-CG115,IF(A116&lt;'Données projet'!$A$114,$BV$205^A116,IF(A116='Données projet'!$A$114,'Données projet'!$B$114,BY115+BX116-CG115)))</f>
        <v>295.99999999999955</v>
      </c>
      <c r="BZ116" s="13">
        <f>BY116*VLOOKUP('Données projet'!$B$12,Paramètres!$A$1:$I$89,3,0)*VLOOKUP('Données projet'!$B$12,Paramètres!$A$1:$I$89,5,0)</f>
        <v>318.61439999999948</v>
      </c>
      <c r="CA116" s="13">
        <f t="shared" si="93"/>
        <v>75.064979865028363</v>
      </c>
      <c r="CB116" s="20">
        <f t="shared" si="64"/>
        <v>685.65825326492347</v>
      </c>
      <c r="CC116" s="59">
        <f t="shared" si="65"/>
        <v>978.99158659825684</v>
      </c>
      <c r="CD116" s="59">
        <f ca="1">AVERAGE(OFFSET($CC$3,0,0,'Données projet'!$E$12+1,1))-AVERAGE(OFFSET($H$3,0,0,'Données projet'!$E$12+1,1))</f>
        <v>354.06521046071936</v>
      </c>
      <c r="CE116" s="59">
        <f t="shared" si="94"/>
        <v>206.22956332364367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</v>
      </c>
      <c r="N117" s="13">
        <f>IF('Données projet'!$A$36&gt;35,N116+M117-V116,IF(A117&lt;'Données projet'!$A$36,$K$205^A117,IF(A117='Données projet'!$A$36,'Données projet'!$B$36,N116+M117-V116)))</f>
        <v>299.99999999999955</v>
      </c>
      <c r="O117" s="13">
        <f>N117*VLOOKUP('Données projet'!$B$9,Paramètres!$A$1:$I$89,3,0)*VLOOKUP('Données projet'!$B$9,Paramètres!$A$1:$I$89,5,0)</f>
        <v>271.43999999999954</v>
      </c>
      <c r="P117" s="13">
        <f t="shared" si="87"/>
        <v>65.154778959151116</v>
      </c>
      <c r="Q117" s="20">
        <f t="shared" si="107"/>
        <v>586.23590668718737</v>
      </c>
      <c r="R117" s="59">
        <f t="shared" si="55"/>
        <v>879.56924002052074</v>
      </c>
      <c r="S117" s="59">
        <f ca="1">AVERAGE(OFFSET($R$3,0,0,'Données projet'!$E$9+1,1))-AVERAGE(OFFSET($H$3,0,0,'Données projet'!$E$9+1,1))</f>
        <v>280.79223530986889</v>
      </c>
      <c r="T117" s="59">
        <f t="shared" si="88"/>
        <v>170.29932835468685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</v>
      </c>
      <c r="AI117" s="13">
        <f>IF('Données projet'!$A$62&gt;35,AI116+AH117-AQ116,IF(A117&lt;'Données projet'!$A$62,$AF$205^A117,IF(A117='Données projet'!$A$62,'Données projet'!$B$62,AI116+AH117-AQ116)))</f>
        <v>299.99999999999955</v>
      </c>
      <c r="AJ117" s="13">
        <f>AI117*VLOOKUP('Données projet'!$B$10,Paramètres!$A$1:$I$89,3,0)*VLOOKUP('Données projet'!$B$10,Paramètres!$A$1:$I$89,5,0)</f>
        <v>304.19999999999959</v>
      </c>
      <c r="AK117" s="13">
        <f t="shared" si="89"/>
        <v>72.056231093481003</v>
      </c>
      <c r="AL117" s="20">
        <f t="shared" si="58"/>
        <v>655.31293582114529</v>
      </c>
      <c r="AM117" s="59">
        <f t="shared" si="59"/>
        <v>948.64626915447866</v>
      </c>
      <c r="AN117" s="59">
        <f ca="1">AVERAGE(OFFSET($AM$3,0,0,'Données projet'!$E$10+1,1))-AVERAGE(OFFSET($H$3,0,0,'Données projet'!$E$10+1,1))</f>
        <v>327.4505861600158</v>
      </c>
      <c r="AO117" s="59">
        <f t="shared" si="90"/>
        <v>193.18009444354595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4</v>
      </c>
      <c r="BD117" s="12">
        <f>IF('Données projet'!$A$88&gt;35,BD116+BC117-BL116,IF(A117&lt;'Données projet'!$A$88,$BA$205^A117,IF(A117='Données projet'!$A$88,'Données projet'!$B$88,BD116+BC117-BL116)))</f>
        <v>299.99999999999955</v>
      </c>
      <c r="BE117" s="13">
        <f>BD117*VLOOKUP('Données projet'!$B$11,Paramètres!$A$1:$I$89,3,0)*VLOOKUP('Données projet'!$B$11,Paramètres!$A$1:$I$89,5,0)</f>
        <v>313.55999999999955</v>
      </c>
      <c r="BF117" s="13">
        <f t="shared" si="91"/>
        <v>74.011805068053718</v>
      </c>
      <c r="BG117" s="20">
        <f t="shared" si="61"/>
        <v>675.02089382685938</v>
      </c>
      <c r="BH117" s="59">
        <f t="shared" si="62"/>
        <v>968.35422716019275</v>
      </c>
      <c r="BI117" s="59">
        <f ca="1">AVERAGE(OFFSET($BH$3,0,0,'Données projet'!$E$11+1,1))-AVERAGE(OFFSET($H$3,0,0,'Données projet'!$E$11+1,1))</f>
        <v>340.76197766679212</v>
      </c>
      <c r="BJ117" s="59">
        <f t="shared" si="92"/>
        <v>199.70700738826872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4</v>
      </c>
      <c r="BY117" s="12">
        <f>IF('Données projet'!$A$114&gt;35,BY116+BX117-CG116,IF(A117&lt;'Données projet'!$A$114,$BV$205^A117,IF(A117='Données projet'!$A$114,'Données projet'!$B$114,BY116+BX117-CG116)))</f>
        <v>299.99999999999955</v>
      </c>
      <c r="BZ117" s="13">
        <f>BY117*VLOOKUP('Données projet'!$B$12,Paramètres!$A$1:$I$89,3,0)*VLOOKUP('Données projet'!$B$12,Paramètres!$A$1:$I$89,5,0)</f>
        <v>322.9199999999995</v>
      </c>
      <c r="CA117" s="13">
        <f t="shared" si="93"/>
        <v>75.960594879408688</v>
      </c>
      <c r="CB117" s="20">
        <f t="shared" si="64"/>
        <v>694.71703608163591</v>
      </c>
      <c r="CC117" s="59">
        <f t="shared" si="65"/>
        <v>988.05036941496928</v>
      </c>
      <c r="CD117" s="59">
        <f ca="1">AVERAGE(OFFSET($CC$3,0,0,'Données projet'!$E$12+1,1))-AVERAGE(OFFSET($H$3,0,0,'Données projet'!$E$12+1,1))</f>
        <v>354.06521046071936</v>
      </c>
      <c r="CE117" s="59">
        <f t="shared" si="94"/>
        <v>206.22956332364367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304</v>
      </c>
      <c r="L118" s="12">
        <f>VLOOKUP(A118,'Données projet'!$A$35:$I$55,9,0)</f>
        <v>4</v>
      </c>
      <c r="M118" s="12">
        <f t="array" ref="M118">INDEX(L:L,MIN(IF(ISNUMBER(L118:L314),ROW(L118:L314),"")))</f>
        <v>4</v>
      </c>
      <c r="N118" s="13">
        <f>IF('Données projet'!$A$36&gt;35,N117+M118-V117,IF(A118&lt;'Données projet'!$A$36,$K$205^A118,IF(A118='Données projet'!$A$36,'Données projet'!$B$36,N117+M118-V117)))</f>
        <v>303.99999999999955</v>
      </c>
      <c r="O118" s="13">
        <f>N118*VLOOKUP('Données projet'!$B$9,Paramètres!$A$1:$I$89,3,0)*VLOOKUP('Données projet'!$B$9,Paramètres!$A$1:$I$89,5,0)</f>
        <v>275.05919999999958</v>
      </c>
      <c r="P118" s="13">
        <f t="shared" si="87"/>
        <v>65.921796397718268</v>
      </c>
      <c r="Q118" s="20">
        <f t="shared" si="107"/>
        <v>593.87523539269193</v>
      </c>
      <c r="R118" s="59">
        <f t="shared" si="55"/>
        <v>887.20856872602531</v>
      </c>
      <c r="S118" s="59">
        <f ca="1">AVERAGE(OFFSET($R$3,0,0,'Données projet'!$E$9+1,1))-AVERAGE(OFFSET($H$3,0,0,'Données projet'!$E$9+1,1))</f>
        <v>280.79223530986889</v>
      </c>
      <c r="T118" s="59">
        <f t="shared" si="88"/>
        <v>170.29932835468685</v>
      </c>
      <c r="U118" s="15">
        <f>IF(ISNA(VLOOKUP(A118,'Données projet'!$A$35:$I$55,3,0)),0,VLOOKUP(A118,'Données projet'!$A$35:$I$55,3,0))</f>
        <v>10</v>
      </c>
      <c r="V118" s="15">
        <f>IF(ISNA(VLOOKUP(A118,'Données projet'!$A$35:$I$55,4,0)),0,VLOOKUP(A118,'Données projet'!$A$35:$I$55,4,0))</f>
        <v>37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304</v>
      </c>
      <c r="AG118" s="12">
        <f>VLOOKUP(A118,'Données projet'!$A$61:$I$81,9,0)</f>
        <v>4</v>
      </c>
      <c r="AH118" s="12">
        <f t="array" ref="AH118">INDEX(AG:AG,MIN(IF(ISNUMBER(AG118:AG314),ROW(AG118:AG314),"")))</f>
        <v>4</v>
      </c>
      <c r="AI118" s="13">
        <f>IF('Données projet'!$A$62&gt;35,AI117+AH118-AQ117,IF(A118&lt;'Données projet'!$A$62,$AF$205^A118,IF(A118='Données projet'!$A$62,'Données projet'!$B$62,AI117+AH118-AQ117)))</f>
        <v>303.99999999999955</v>
      </c>
      <c r="AJ118" s="13">
        <f>AI118*VLOOKUP('Données projet'!$B$10,Paramètres!$A$1:$I$89,3,0)*VLOOKUP('Données projet'!$B$10,Paramètres!$A$1:$I$89,5,0)</f>
        <v>308.25599999999957</v>
      </c>
      <c r="AK118" s="13">
        <f t="shared" si="89"/>
        <v>72.904494055753887</v>
      </c>
      <c r="AL118" s="20">
        <f t="shared" si="58"/>
        <v>663.85452714710391</v>
      </c>
      <c r="AM118" s="59">
        <f t="shared" si="59"/>
        <v>957.18786048043717</v>
      </c>
      <c r="AN118" s="59">
        <f ca="1">AVERAGE(OFFSET($AM$3,0,0,'Données projet'!$E$10+1,1))-AVERAGE(OFFSET($H$3,0,0,'Données projet'!$E$10+1,1))</f>
        <v>327.4505861600158</v>
      </c>
      <c r="AO118" s="59">
        <f t="shared" si="90"/>
        <v>193.18009444354595</v>
      </c>
      <c r="AP118" s="15">
        <f>IF(ISNA(VLOOKUP(A118,'Données projet'!$A$61:$I$81,3,0)),0,VLOOKUP(A118,'Données projet'!$A$61:$I$81,3,0))</f>
        <v>10</v>
      </c>
      <c r="AQ118" s="15">
        <f>IF(ISNA(VLOOKUP(A118,'Données projet'!$A$61:$I$81,4,0)),0,VLOOKUP(A118,'Données projet'!$A$61:$I$81,4,0))</f>
        <v>37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304</v>
      </c>
      <c r="BB118" s="12">
        <f>VLOOKUP(A118,'Données projet'!$A$87:$I$107,9,0)</f>
        <v>4</v>
      </c>
      <c r="BC118" s="12">
        <f t="array" ref="BC118">INDEX(BB:BB,MIN(IF(ISNUMBER(BB118:BB314),ROW(BB118:BB314),"")))</f>
        <v>4</v>
      </c>
      <c r="BD118" s="12">
        <f>IF('Données projet'!$A$88&gt;35,BD117+BC118-BL117,IF(A118&lt;'Données projet'!$A$88,$BA$205^A118,IF(A118='Données projet'!$A$88,'Données projet'!$B$88,BD117+BC118-BL117)))</f>
        <v>303.99999999999955</v>
      </c>
      <c r="BE118" s="13">
        <f>BD118*VLOOKUP('Données projet'!$B$11,Paramètres!$A$1:$I$89,3,0)*VLOOKUP('Données projet'!$B$11,Paramètres!$A$1:$I$89,5,0)</f>
        <v>317.74079999999952</v>
      </c>
      <c r="BF118" s="13">
        <f t="shared" si="91"/>
        <v>74.883089508794683</v>
      </c>
      <c r="BG118" s="20">
        <f t="shared" si="61"/>
        <v>683.81994089448324</v>
      </c>
      <c r="BH118" s="59">
        <f t="shared" si="62"/>
        <v>977.15327422781661</v>
      </c>
      <c r="BI118" s="59">
        <f ca="1">AVERAGE(OFFSET($BH$3,0,0,'Données projet'!$E$11+1,1))-AVERAGE(OFFSET($H$3,0,0,'Données projet'!$E$11+1,1))</f>
        <v>340.76197766679212</v>
      </c>
      <c r="BJ118" s="59">
        <f t="shared" si="92"/>
        <v>199.70700738826872</v>
      </c>
      <c r="BK118" s="15">
        <f>IF(ISNA(VLOOKUP(A118,'Données projet'!$A$87:$I$107,3,0)),0,VLOOKUP(A118,'Données projet'!$A$87:$I$107,3,0))</f>
        <v>10</v>
      </c>
      <c r="BL118" s="15">
        <f>IF(ISNA(VLOOKUP(A118,'Données projet'!$A$87:$I$107,4,0)),0,VLOOKUP(A118,'Données projet'!$A$87:$I$107,4,0))</f>
        <v>37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>
        <f>VLOOKUP(A118,'Données projet'!$A$113:$I$133,2,0)</f>
        <v>304</v>
      </c>
      <c r="BW118" s="12">
        <f>VLOOKUP(A118,'Données projet'!$A$113:$I$133,9,0)</f>
        <v>4</v>
      </c>
      <c r="BX118" s="12">
        <f t="array" ref="BX118">INDEX(BW:BW,MIN(IF(ISNUMBER(BW118:BW314),ROW(BW118:BW314),"")))</f>
        <v>4</v>
      </c>
      <c r="BY118" s="12">
        <f>IF('Données projet'!$A$114&gt;35,BY117+BX118-CG117,IF(A118&lt;'Données projet'!$A$114,$BV$205^A118,IF(A118='Données projet'!$A$114,'Données projet'!$B$114,BY117+BX118-CG117)))</f>
        <v>303.99999999999955</v>
      </c>
      <c r="BZ118" s="13">
        <f>BY118*VLOOKUP('Données projet'!$B$12,Paramètres!$A$1:$I$89,3,0)*VLOOKUP('Données projet'!$B$12,Paramètres!$A$1:$I$89,5,0)</f>
        <v>327.22559999999953</v>
      </c>
      <c r="CA118" s="13">
        <f t="shared" si="93"/>
        <v>76.85482093384698</v>
      </c>
      <c r="CB118" s="20">
        <f t="shared" si="64"/>
        <v>703.77339979311603</v>
      </c>
      <c r="CC118" s="59">
        <f t="shared" si="65"/>
        <v>997.1067331264494</v>
      </c>
      <c r="CD118" s="59">
        <f ca="1">AVERAGE(OFFSET($CC$3,0,0,'Données projet'!$E$12+1,1))-AVERAGE(OFFSET($H$3,0,0,'Données projet'!$E$12+1,1))</f>
        <v>354.06521046071936</v>
      </c>
      <c r="CE118" s="59">
        <f t="shared" si="94"/>
        <v>206.22956332364367</v>
      </c>
      <c r="CF118" s="15">
        <f>IF(ISNA(VLOOKUP(A118,'Données projet'!$A$113:$I$133,3,0)),0,VLOOKUP(A118,'Données projet'!$A$113:$I$133,3,0))</f>
        <v>10</v>
      </c>
      <c r="CG118" s="15">
        <f>IF(ISNA(VLOOKUP(A118,'Données projet'!$A$113:$I$133,4,0)),0,VLOOKUP(A118,'Données projet'!$A$113:$I$133,4,0))</f>
        <v>37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3.4</v>
      </c>
      <c r="N119" s="13">
        <f>IF('Données projet'!$A$36&gt;35,N118+M119-V118,IF(A119&lt;'Données projet'!$A$36,$K$205^A119,IF(A119='Données projet'!$A$36,'Données projet'!$B$36,N118+M119-V118)))</f>
        <v>270.39999999999952</v>
      </c>
      <c r="O119" s="13">
        <f>N119*VLOOKUP('Données projet'!$B$9,Paramètres!$A$1:$I$89,3,0)*VLOOKUP('Données projet'!$B$9,Paramètres!$A$1:$I$89,5,0)</f>
        <v>244.65791999999956</v>
      </c>
      <c r="P119" s="13">
        <f t="shared" si="87"/>
        <v>59.44058075210858</v>
      </c>
      <c r="Q119" s="20">
        <f t="shared" si="107"/>
        <v>529.63822214325501</v>
      </c>
      <c r="R119" s="59">
        <f t="shared" si="55"/>
        <v>822.97155547658826</v>
      </c>
      <c r="S119" s="59">
        <f ca="1">AVERAGE(OFFSET($R$3,0,0,'Données projet'!$E$9+1,1))-AVERAGE(OFFSET($H$3,0,0,'Données projet'!$E$9+1,1))</f>
        <v>280.79223530986889</v>
      </c>
      <c r="T119" s="59">
        <f t="shared" si="88"/>
        <v>170.29932835468685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3.4</v>
      </c>
      <c r="AI119" s="13">
        <f>IF('Données projet'!$A$62&gt;35,AI118+AH119-AQ118,IF(A119&lt;'Données projet'!$A$62,$AF$205^A119,IF(A119='Données projet'!$A$62,'Données projet'!$B$62,AI118+AH119-AQ118)))</f>
        <v>270.39999999999952</v>
      </c>
      <c r="AJ119" s="13">
        <f>AI119*VLOOKUP('Données projet'!$B$10,Paramètres!$A$1:$I$89,3,0)*VLOOKUP('Données projet'!$B$10,Paramètres!$A$1:$I$89,5,0)</f>
        <v>274.18559999999957</v>
      </c>
      <c r="AK119" s="13">
        <f t="shared" si="89"/>
        <v>65.736762389907327</v>
      </c>
      <c r="AL119" s="20">
        <f t="shared" si="58"/>
        <v>592.03144782908782</v>
      </c>
      <c r="AM119" s="59">
        <f t="shared" si="59"/>
        <v>885.3647811624212</v>
      </c>
      <c r="AN119" s="59">
        <f ca="1">AVERAGE(OFFSET($AM$3,0,0,'Données projet'!$E$10+1,1))-AVERAGE(OFFSET($H$3,0,0,'Données projet'!$E$10+1,1))</f>
        <v>327.4505861600158</v>
      </c>
      <c r="AO119" s="59">
        <f t="shared" si="90"/>
        <v>193.18009444354595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3.4</v>
      </c>
      <c r="BD119" s="12">
        <f>IF('Données projet'!$A$88&gt;35,BD118+BC119-BL118,IF(A119&lt;'Données projet'!$A$88,$BA$205^A119,IF(A119='Données projet'!$A$88,'Données projet'!$B$88,BD118+BC119-BL118)))</f>
        <v>270.39999999999952</v>
      </c>
      <c r="BE119" s="13">
        <f>BD119*VLOOKUP('Données projet'!$B$11,Paramètres!$A$1:$I$89,3,0)*VLOOKUP('Données projet'!$B$11,Paramètres!$A$1:$I$89,5,0)</f>
        <v>282.62207999999953</v>
      </c>
      <c r="BF119" s="13">
        <f t="shared" si="91"/>
        <v>67.520828802367916</v>
      </c>
      <c r="BG119" s="20">
        <f t="shared" si="61"/>
        <v>609.83223283078996</v>
      </c>
      <c r="BH119" s="59">
        <f t="shared" si="62"/>
        <v>903.16556616412322</v>
      </c>
      <c r="BI119" s="59">
        <f ca="1">AVERAGE(OFFSET($BH$3,0,0,'Données projet'!$E$11+1,1))-AVERAGE(OFFSET($H$3,0,0,'Données projet'!$E$11+1,1))</f>
        <v>340.76197766679212</v>
      </c>
      <c r="BJ119" s="59">
        <f t="shared" si="92"/>
        <v>199.70700738826872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3.4</v>
      </c>
      <c r="BY119" s="12">
        <f>IF('Données projet'!$A$114&gt;35,BY118+BX119-CG118,IF(A119&lt;'Données projet'!$A$114,$BV$205^A119,IF(A119='Données projet'!$A$114,'Données projet'!$B$114,BY118+BX119-CG118)))</f>
        <v>270.39999999999952</v>
      </c>
      <c r="BZ119" s="13">
        <f>BY119*VLOOKUP('Données projet'!$B$12,Paramètres!$A$1:$I$89,3,0)*VLOOKUP('Données projet'!$B$12,Paramètres!$A$1:$I$89,5,0)</f>
        <v>291.05855999999949</v>
      </c>
      <c r="CA119" s="13">
        <f t="shared" si="93"/>
        <v>69.298706035645793</v>
      </c>
      <c r="CB119" s="20">
        <f t="shared" si="64"/>
        <v>627.62223834541555</v>
      </c>
      <c r="CC119" s="59">
        <f t="shared" si="65"/>
        <v>920.95557167874881</v>
      </c>
      <c r="CD119" s="59">
        <f ca="1">AVERAGE(OFFSET($CC$3,0,0,'Données projet'!$E$12+1,1))-AVERAGE(OFFSET($H$3,0,0,'Données projet'!$E$12+1,1))</f>
        <v>354.06521046071936</v>
      </c>
      <c r="CE119" s="59">
        <f t="shared" si="94"/>
        <v>206.22956332364367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3.4</v>
      </c>
      <c r="N120" s="13">
        <f>IF('Données projet'!$A$36&gt;35,N119+M120-V119,IF(A120&lt;'Données projet'!$A$36,$K$205^A120,IF(A120='Données projet'!$A$36,'Données projet'!$B$36,N119+M120-V119)))</f>
        <v>273.7999999999995</v>
      </c>
      <c r="O120" s="13">
        <f>N120*VLOOKUP('Données projet'!$B$9,Paramètres!$A$1:$I$89,3,0)*VLOOKUP('Données projet'!$B$9,Paramètres!$A$1:$I$89,5,0)</f>
        <v>247.73423999999952</v>
      </c>
      <c r="P120" s="13">
        <f t="shared" si="87"/>
        <v>60.100505665695003</v>
      </c>
      <c r="Q120" s="20">
        <f t="shared" si="107"/>
        <v>536.14551536775127</v>
      </c>
      <c r="R120" s="59">
        <f t="shared" si="55"/>
        <v>829.47884870108464</v>
      </c>
      <c r="S120" s="59">
        <f ca="1">AVERAGE(OFFSET($R$3,0,0,'Données projet'!$E$9+1,1))-AVERAGE(OFFSET($H$3,0,0,'Données projet'!$E$9+1,1))</f>
        <v>280.79223530986889</v>
      </c>
      <c r="T120" s="59">
        <f t="shared" si="88"/>
        <v>170.29932835468685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3.4</v>
      </c>
      <c r="AI120" s="13">
        <f>IF('Données projet'!$A$62&gt;35,AI119+AH120-AQ119,IF(A120&lt;'Données projet'!$A$62,$AF$205^A120,IF(A120='Données projet'!$A$62,'Données projet'!$B$62,AI119+AH120-AQ119)))</f>
        <v>273.7999999999995</v>
      </c>
      <c r="AJ120" s="13">
        <f>AI120*VLOOKUP('Données projet'!$B$10,Paramètres!$A$1:$I$89,3,0)*VLOOKUP('Données projet'!$B$10,Paramètres!$A$1:$I$89,5,0)</f>
        <v>277.63319999999953</v>
      </c>
      <c r="AK120" s="13">
        <f t="shared" si="89"/>
        <v>66.466589162975581</v>
      </c>
      <c r="AL120" s="20">
        <f t="shared" si="58"/>
        <v>599.30713279218173</v>
      </c>
      <c r="AM120" s="59">
        <f t="shared" si="59"/>
        <v>892.6404661255151</v>
      </c>
      <c r="AN120" s="59">
        <f ca="1">AVERAGE(OFFSET($AM$3,0,0,'Données projet'!$E$10+1,1))-AVERAGE(OFFSET($H$3,0,0,'Données projet'!$E$10+1,1))</f>
        <v>327.4505861600158</v>
      </c>
      <c r="AO120" s="59">
        <f t="shared" si="90"/>
        <v>193.18009444354595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3.4</v>
      </c>
      <c r="BD120" s="12">
        <f>IF('Données projet'!$A$88&gt;35,BD119+BC120-BL119,IF(A120&lt;'Données projet'!$A$88,$BA$205^A120,IF(A120='Données projet'!$A$88,'Données projet'!$B$88,BD119+BC120-BL119)))</f>
        <v>273.7999999999995</v>
      </c>
      <c r="BE120" s="13">
        <f>BD120*VLOOKUP('Données projet'!$B$11,Paramètres!$A$1:$I$89,3,0)*VLOOKUP('Données projet'!$B$11,Paramètres!$A$1:$I$89,5,0)</f>
        <v>286.17575999999951</v>
      </c>
      <c r="BF120" s="13">
        <f t="shared" si="91"/>
        <v>68.27046274855222</v>
      </c>
      <c r="BG120" s="20">
        <f t="shared" si="61"/>
        <v>617.32717128706088</v>
      </c>
      <c r="BH120" s="59">
        <f t="shared" si="62"/>
        <v>910.66050462039425</v>
      </c>
      <c r="BI120" s="59">
        <f ca="1">AVERAGE(OFFSET($BH$3,0,0,'Données projet'!$E$11+1,1))-AVERAGE(OFFSET($H$3,0,0,'Données projet'!$E$11+1,1))</f>
        <v>340.76197766679212</v>
      </c>
      <c r="BJ120" s="59">
        <f t="shared" si="92"/>
        <v>199.70700738826872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3.4</v>
      </c>
      <c r="BY120" s="12">
        <f>IF('Données projet'!$A$114&gt;35,BY119+BX120-CG119,IF(A120&lt;'Données projet'!$A$114,$BV$205^A120,IF(A120='Données projet'!$A$114,'Données projet'!$B$114,BY119+BX120-CG119)))</f>
        <v>273.7999999999995</v>
      </c>
      <c r="BZ120" s="13">
        <f>BY120*VLOOKUP('Données projet'!$B$12,Paramètres!$A$1:$I$89,3,0)*VLOOKUP('Données projet'!$B$12,Paramètres!$A$1:$I$89,5,0)</f>
        <v>294.71831999999944</v>
      </c>
      <c r="CA120" s="13">
        <f t="shared" si="93"/>
        <v>70.068078441055988</v>
      </c>
      <c r="CB120" s="20">
        <f t="shared" si="64"/>
        <v>635.33631061817152</v>
      </c>
      <c r="CC120" s="59">
        <f t="shared" si="65"/>
        <v>928.6696439515049</v>
      </c>
      <c r="CD120" s="59">
        <f ca="1">AVERAGE(OFFSET($CC$3,0,0,'Données projet'!$E$12+1,1))-AVERAGE(OFFSET($H$3,0,0,'Données projet'!$E$12+1,1))</f>
        <v>354.06521046071936</v>
      </c>
      <c r="CE120" s="59">
        <f t="shared" si="94"/>
        <v>206.22956332364367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3.4</v>
      </c>
      <c r="N121" s="13">
        <f>IF('Données projet'!$A$36&gt;35,N120+M121-V120,IF(A121&lt;'Données projet'!$A$36,$K$205^A121,IF(A121='Données projet'!$A$36,'Données projet'!$B$36,N120+M121-V120)))</f>
        <v>277.19999999999948</v>
      </c>
      <c r="O121" s="13">
        <f>N121*VLOOKUP('Données projet'!$B$9,Paramètres!$A$1:$I$89,3,0)*VLOOKUP('Données projet'!$B$9,Paramètres!$A$1:$I$89,5,0)</f>
        <v>250.81055999999953</v>
      </c>
      <c r="P121" s="13">
        <f t="shared" si="87"/>
        <v>60.759477364108577</v>
      </c>
      <c r="Q121" s="20">
        <f t="shared" si="107"/>
        <v>542.65114840915487</v>
      </c>
      <c r="R121" s="59">
        <f t="shared" si="55"/>
        <v>835.98448174248824</v>
      </c>
      <c r="S121" s="59">
        <f ca="1">AVERAGE(OFFSET($R$3,0,0,'Données projet'!$E$9+1,1))-AVERAGE(OFFSET($H$3,0,0,'Données projet'!$E$9+1,1))</f>
        <v>280.79223530986889</v>
      </c>
      <c r="T121" s="59">
        <f t="shared" si="88"/>
        <v>170.29932835468685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3.4</v>
      </c>
      <c r="AI121" s="13">
        <f>IF('Données projet'!$A$62&gt;35,AI120+AH121-AQ120,IF(A121&lt;'Données projet'!$A$62,$AF$205^A121,IF(A121='Données projet'!$A$62,'Données projet'!$B$62,AI120+AH121-AQ120)))</f>
        <v>277.19999999999948</v>
      </c>
      <c r="AJ121" s="13">
        <f>AI121*VLOOKUP('Données projet'!$B$10,Paramètres!$A$1:$I$89,3,0)*VLOOKUP('Données projet'!$B$10,Paramètres!$A$1:$I$89,5,0)</f>
        <v>281.0807999999995</v>
      </c>
      <c r="AK121" s="13">
        <f t="shared" si="89"/>
        <v>67.195361752546063</v>
      </c>
      <c r="AL121" s="20">
        <f t="shared" si="58"/>
        <v>606.5809817190169</v>
      </c>
      <c r="AM121" s="59">
        <f t="shared" si="59"/>
        <v>899.91431505235028</v>
      </c>
      <c r="AN121" s="59">
        <f ca="1">AVERAGE(OFFSET($AM$3,0,0,'Données projet'!$E$10+1,1))-AVERAGE(OFFSET($H$3,0,0,'Données projet'!$E$10+1,1))</f>
        <v>327.4505861600158</v>
      </c>
      <c r="AO121" s="59">
        <f t="shared" si="90"/>
        <v>193.18009444354595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3.4</v>
      </c>
      <c r="BD121" s="12">
        <f>IF('Données projet'!$A$88&gt;35,BD120+BC121-BL120,IF(A121&lt;'Données projet'!$A$88,$BA$205^A121,IF(A121='Données projet'!$A$88,'Données projet'!$B$88,BD120+BC121-BL120)))</f>
        <v>277.19999999999948</v>
      </c>
      <c r="BE121" s="13">
        <f>BD121*VLOOKUP('Données projet'!$B$11,Paramètres!$A$1:$I$89,3,0)*VLOOKUP('Données projet'!$B$11,Paramètres!$A$1:$I$89,5,0)</f>
        <v>289.72943999999944</v>
      </c>
      <c r="BF121" s="13">
        <f t="shared" si="91"/>
        <v>69.019013901168719</v>
      </c>
      <c r="BG121" s="20">
        <f t="shared" si="61"/>
        <v>624.82022387786776</v>
      </c>
      <c r="BH121" s="59">
        <f t="shared" si="62"/>
        <v>918.15355721120113</v>
      </c>
      <c r="BI121" s="59">
        <f ca="1">AVERAGE(OFFSET($BH$3,0,0,'Données projet'!$E$11+1,1))-AVERAGE(OFFSET($H$3,0,0,'Données projet'!$E$11+1,1))</f>
        <v>340.76197766679212</v>
      </c>
      <c r="BJ121" s="59">
        <f t="shared" si="92"/>
        <v>199.70700738826872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3.4</v>
      </c>
      <c r="BY121" s="12">
        <f>IF('Données projet'!$A$114&gt;35,BY120+BX121-CG120,IF(A121&lt;'Données projet'!$A$114,$BV$205^A121,IF(A121='Données projet'!$A$114,'Données projet'!$B$114,BY120+BX121-CG120)))</f>
        <v>277.19999999999948</v>
      </c>
      <c r="BZ121" s="13">
        <f>BY121*VLOOKUP('Données projet'!$B$12,Paramètres!$A$1:$I$89,3,0)*VLOOKUP('Données projet'!$B$12,Paramètres!$A$1:$I$89,5,0)</f>
        <v>298.37807999999944</v>
      </c>
      <c r="CA121" s="13">
        <f t="shared" si="93"/>
        <v>70.83633954208085</v>
      </c>
      <c r="CB121" s="20">
        <f t="shared" si="64"/>
        <v>643.04844736912321</v>
      </c>
      <c r="CC121" s="59">
        <f t="shared" si="65"/>
        <v>936.38178070245658</v>
      </c>
      <c r="CD121" s="59">
        <f ca="1">AVERAGE(OFFSET($CC$3,0,0,'Données projet'!$E$12+1,1))-AVERAGE(OFFSET($H$3,0,0,'Données projet'!$E$12+1,1))</f>
        <v>354.06521046071936</v>
      </c>
      <c r="CE121" s="59">
        <f t="shared" si="94"/>
        <v>206.22956332364367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3.4</v>
      </c>
      <c r="N122" s="13">
        <f>IF('Données projet'!$A$36&gt;35,N121+M122-V121,IF(A122&lt;'Données projet'!$A$36,$K$205^A122,IF(A122='Données projet'!$A$36,'Données projet'!$B$36,N121+M122-V121)))</f>
        <v>280.59999999999945</v>
      </c>
      <c r="O122" s="13">
        <f>N122*VLOOKUP('Données projet'!$B$9,Paramètres!$A$1:$I$89,3,0)*VLOOKUP('Données projet'!$B$9,Paramètres!$A$1:$I$89,5,0)</f>
        <v>253.88687999999951</v>
      </c>
      <c r="P122" s="13">
        <f t="shared" si="87"/>
        <v>61.41750889127686</v>
      </c>
      <c r="Q122" s="20">
        <f t="shared" si="107"/>
        <v>549.1551439856396</v>
      </c>
      <c r="R122" s="59">
        <f t="shared" si="55"/>
        <v>842.48847731897285</v>
      </c>
      <c r="S122" s="59">
        <f ca="1">AVERAGE(OFFSET($R$3,0,0,'Données projet'!$E$9+1,1))-AVERAGE(OFFSET($H$3,0,0,'Données projet'!$E$9+1,1))</f>
        <v>280.79223530986889</v>
      </c>
      <c r="T122" s="59">
        <f t="shared" si="88"/>
        <v>170.29932835468685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3.4</v>
      </c>
      <c r="AI122" s="13">
        <f>IF('Données projet'!$A$62&gt;35,AI121+AH122-AQ121,IF(A122&lt;'Données projet'!$A$62,$AF$205^A122,IF(A122='Données projet'!$A$62,'Données projet'!$B$62,AI121+AH122-AQ121)))</f>
        <v>280.59999999999945</v>
      </c>
      <c r="AJ122" s="13">
        <f>AI122*VLOOKUP('Données projet'!$B$10,Paramètres!$A$1:$I$89,3,0)*VLOOKUP('Données projet'!$B$10,Paramètres!$A$1:$I$89,5,0)</f>
        <v>284.52839999999946</v>
      </c>
      <c r="AK122" s="13">
        <f t="shared" si="89"/>
        <v>67.923094584210745</v>
      </c>
      <c r="AL122" s="20">
        <f t="shared" si="58"/>
        <v>613.85301973416608</v>
      </c>
      <c r="AM122" s="59">
        <f t="shared" si="59"/>
        <v>907.18635306749934</v>
      </c>
      <c r="AN122" s="59">
        <f ca="1">AVERAGE(OFFSET($AM$3,0,0,'Données projet'!$E$10+1,1))-AVERAGE(OFFSET($H$3,0,0,'Données projet'!$E$10+1,1))</f>
        <v>327.4505861600158</v>
      </c>
      <c r="AO122" s="59">
        <f t="shared" si="90"/>
        <v>193.18009444354595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3.4</v>
      </c>
      <c r="BD122" s="12">
        <f>IF('Données projet'!$A$88&gt;35,BD121+BC122-BL121,IF(A122&lt;'Données projet'!$A$88,$BA$205^A122,IF(A122='Données projet'!$A$88,'Données projet'!$B$88,BD121+BC122-BL121)))</f>
        <v>280.59999999999945</v>
      </c>
      <c r="BE122" s="13">
        <f>BD122*VLOOKUP('Données projet'!$B$11,Paramètres!$A$1:$I$89,3,0)*VLOOKUP('Données projet'!$B$11,Paramètres!$A$1:$I$89,5,0)</f>
        <v>293.28311999999943</v>
      </c>
      <c r="BF122" s="13">
        <f t="shared" si="91"/>
        <v>69.766497077313673</v>
      </c>
      <c r="BG122" s="20">
        <f t="shared" si="61"/>
        <v>632.31141640965359</v>
      </c>
      <c r="BH122" s="59">
        <f t="shared" si="62"/>
        <v>925.64474974298696</v>
      </c>
      <c r="BI122" s="59">
        <f ca="1">AVERAGE(OFFSET($BH$3,0,0,'Données projet'!$E$11+1,1))-AVERAGE(OFFSET($H$3,0,0,'Données projet'!$E$11+1,1))</f>
        <v>340.76197766679212</v>
      </c>
      <c r="BJ122" s="59">
        <f t="shared" si="92"/>
        <v>199.70700738826872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3.4</v>
      </c>
      <c r="BY122" s="12">
        <f>IF('Données projet'!$A$114&gt;35,BY121+BX122-CG121,IF(A122&lt;'Données projet'!$A$114,$BV$205^A122,IF(A122='Données projet'!$A$114,'Données projet'!$B$114,BY121+BX122-CG121)))</f>
        <v>280.59999999999945</v>
      </c>
      <c r="BZ122" s="13">
        <f>BY122*VLOOKUP('Données projet'!$B$12,Paramètres!$A$1:$I$89,3,0)*VLOOKUP('Données projet'!$B$12,Paramètres!$A$1:$I$89,5,0)</f>
        <v>302.03783999999939</v>
      </c>
      <c r="CA122" s="13">
        <f t="shared" si="93"/>
        <v>71.603504545962494</v>
      </c>
      <c r="CB122" s="20">
        <f t="shared" si="64"/>
        <v>650.75867508421697</v>
      </c>
      <c r="CC122" s="59">
        <f t="shared" si="65"/>
        <v>944.09200841755023</v>
      </c>
      <c r="CD122" s="59">
        <f ca="1">AVERAGE(OFFSET($CC$3,0,0,'Données projet'!$E$12+1,1))-AVERAGE(OFFSET($H$3,0,0,'Données projet'!$E$12+1,1))</f>
        <v>354.06521046071936</v>
      </c>
      <c r="CE122" s="59">
        <f t="shared" si="94"/>
        <v>206.22956332364367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3.4</v>
      </c>
      <c r="N123" s="13">
        <f>IF('Données projet'!$A$36&gt;35,N122+M123-V122,IF(A123&lt;'Données projet'!$A$36,$K$205^A123,IF(A123='Données projet'!$A$36,'Données projet'!$B$36,N122+M123-V122)))</f>
        <v>283.99999999999943</v>
      </c>
      <c r="O123" s="13">
        <f>N123*VLOOKUP('Données projet'!$B$9,Paramètres!$A$1:$I$89,3,0)*VLOOKUP('Données projet'!$B$9,Paramètres!$A$1:$I$89,5,0)</f>
        <v>256.96319999999946</v>
      </c>
      <c r="P123" s="13">
        <f t="shared" si="87"/>
        <v>62.07461295683791</v>
      </c>
      <c r="Q123" s="20">
        <f t="shared" si="107"/>
        <v>555.65752423315837</v>
      </c>
      <c r="R123" s="59">
        <f t="shared" si="55"/>
        <v>848.99085756649174</v>
      </c>
      <c r="S123" s="59">
        <f ca="1">AVERAGE(OFFSET($R$3,0,0,'Données projet'!$E$9+1,1))-AVERAGE(OFFSET($H$3,0,0,'Données projet'!$E$9+1,1))</f>
        <v>280.79223530986889</v>
      </c>
      <c r="T123" s="59">
        <f t="shared" si="88"/>
        <v>170.29932835468685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3.4</v>
      </c>
      <c r="AI123" s="13">
        <f>IF('Données projet'!$A$62&gt;35,AI122+AH123-AQ122,IF(A123&lt;'Données projet'!$A$62,$AF$205^A123,IF(A123='Données projet'!$A$62,'Données projet'!$B$62,AI122+AH123-AQ122)))</f>
        <v>283.99999999999943</v>
      </c>
      <c r="AJ123" s="13">
        <f>AI123*VLOOKUP('Données projet'!$B$10,Paramètres!$A$1:$I$89,3,0)*VLOOKUP('Données projet'!$B$10,Paramètres!$A$1:$I$89,5,0)</f>
        <v>287.97599999999943</v>
      </c>
      <c r="AK123" s="13">
        <f t="shared" si="89"/>
        <v>68.649801713863027</v>
      </c>
      <c r="AL123" s="20">
        <f t="shared" si="58"/>
        <v>621.12327131831046</v>
      </c>
      <c r="AM123" s="59">
        <f t="shared" si="59"/>
        <v>914.45660465164383</v>
      </c>
      <c r="AN123" s="59">
        <f ca="1">AVERAGE(OFFSET($AM$3,0,0,'Données projet'!$E$10+1,1))-AVERAGE(OFFSET($H$3,0,0,'Données projet'!$E$10+1,1))</f>
        <v>327.4505861600158</v>
      </c>
      <c r="AO123" s="59">
        <f t="shared" si="90"/>
        <v>193.18009444354595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3.4</v>
      </c>
      <c r="BD123" s="12">
        <f>IF('Données projet'!$A$88&gt;35,BD122+BC123-BL122,IF(A123&lt;'Données projet'!$A$88,$BA$205^A123,IF(A123='Données projet'!$A$88,'Données projet'!$B$88,BD122+BC123-BL122)))</f>
        <v>283.99999999999943</v>
      </c>
      <c r="BE123" s="13">
        <f>BD123*VLOOKUP('Données projet'!$B$11,Paramètres!$A$1:$I$89,3,0)*VLOOKUP('Données projet'!$B$11,Paramètres!$A$1:$I$89,5,0)</f>
        <v>296.83679999999941</v>
      </c>
      <c r="BF123" s="13">
        <f t="shared" si="91"/>
        <v>70.512926714351124</v>
      </c>
      <c r="BG123" s="20">
        <f t="shared" si="61"/>
        <v>639.80077402749373</v>
      </c>
      <c r="BH123" s="59">
        <f t="shared" si="62"/>
        <v>933.1341073608271</v>
      </c>
      <c r="BI123" s="59">
        <f ca="1">AVERAGE(OFFSET($BH$3,0,0,'Données projet'!$E$11+1,1))-AVERAGE(OFFSET($H$3,0,0,'Données projet'!$E$11+1,1))</f>
        <v>340.76197766679212</v>
      </c>
      <c r="BJ123" s="59">
        <f t="shared" si="92"/>
        <v>199.70700738826872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3.4</v>
      </c>
      <c r="BY123" s="12">
        <f>IF('Données projet'!$A$114&gt;35,BY122+BX123-CG122,IF(A123&lt;'Données projet'!$A$114,$BV$205^A123,IF(A123='Données projet'!$A$114,'Données projet'!$B$114,BY122+BX123-CG122)))</f>
        <v>283.99999999999943</v>
      </c>
      <c r="BZ123" s="13">
        <f>BY123*VLOOKUP('Données projet'!$B$12,Paramètres!$A$1:$I$89,3,0)*VLOOKUP('Données projet'!$B$12,Paramètres!$A$1:$I$89,5,0)</f>
        <v>305.69759999999934</v>
      </c>
      <c r="CA123" s="13">
        <f t="shared" si="93"/>
        <v>72.369588270212233</v>
      </c>
      <c r="CB123" s="20">
        <f t="shared" si="64"/>
        <v>658.46701957061839</v>
      </c>
      <c r="CC123" s="59">
        <f t="shared" si="65"/>
        <v>951.80035290395176</v>
      </c>
      <c r="CD123" s="59">
        <f ca="1">AVERAGE(OFFSET($CC$3,0,0,'Données projet'!$E$12+1,1))-AVERAGE(OFFSET($H$3,0,0,'Données projet'!$E$12+1,1))</f>
        <v>354.06521046071936</v>
      </c>
      <c r="CE123" s="59">
        <f t="shared" si="94"/>
        <v>206.22956332364367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3.4</v>
      </c>
      <c r="N124" s="13">
        <f>IF('Données projet'!$A$36&gt;35,N123+M124-V123,IF(A124&lt;'Données projet'!$A$36,$K$205^A124,IF(A124='Données projet'!$A$36,'Données projet'!$B$36,N123+M124-V123)))</f>
        <v>287.39999999999941</v>
      </c>
      <c r="O124" s="13">
        <f>N124*VLOOKUP('Données projet'!$B$9,Paramètres!$A$1:$I$89,3,0)*VLOOKUP('Données projet'!$B$9,Paramètres!$A$1:$I$89,5,0)</f>
        <v>260.03951999999947</v>
      </c>
      <c r="P124" s="13">
        <f t="shared" si="87"/>
        <v>62.730801948604764</v>
      </c>
      <c r="Q124" s="20">
        <f t="shared" si="107"/>
        <v>562.1583107271523</v>
      </c>
      <c r="R124" s="59">
        <f t="shared" si="55"/>
        <v>855.49164406048567</v>
      </c>
      <c r="S124" s="59">
        <f ca="1">AVERAGE(OFFSET($R$3,0,0,'Données projet'!$E$9+1,1))-AVERAGE(OFFSET($H$3,0,0,'Données projet'!$E$9+1,1))</f>
        <v>280.79223530986889</v>
      </c>
      <c r="T124" s="59">
        <f t="shared" si="88"/>
        <v>170.29932835468685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3.4</v>
      </c>
      <c r="AI124" s="13">
        <f>IF('Données projet'!$A$62&gt;35,AI123+AH124-AQ123,IF(A124&lt;'Données projet'!$A$62,$AF$205^A124,IF(A124='Données projet'!$A$62,'Données projet'!$B$62,AI123+AH124-AQ123)))</f>
        <v>287.39999999999941</v>
      </c>
      <c r="AJ124" s="13">
        <f>AI124*VLOOKUP('Données projet'!$B$10,Paramètres!$A$1:$I$89,3,0)*VLOOKUP('Données projet'!$B$10,Paramètres!$A$1:$I$89,5,0)</f>
        <v>291.42359999999945</v>
      </c>
      <c r="AK124" s="13">
        <f t="shared" si="89"/>
        <v>69.375496841482047</v>
      </c>
      <c r="AL124" s="20">
        <f t="shared" si="58"/>
        <v>628.39176033224692</v>
      </c>
      <c r="AM124" s="59">
        <f t="shared" si="59"/>
        <v>921.72509366558029</v>
      </c>
      <c r="AN124" s="59">
        <f ca="1">AVERAGE(OFFSET($AM$3,0,0,'Données projet'!$E$10+1,1))-AVERAGE(OFFSET($H$3,0,0,'Données projet'!$E$10+1,1))</f>
        <v>327.4505861600158</v>
      </c>
      <c r="AO124" s="59">
        <f t="shared" si="90"/>
        <v>193.18009444354595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3.4</v>
      </c>
      <c r="BD124" s="12">
        <f>IF('Données projet'!$A$88&gt;35,BD123+BC124-BL123,IF(A124&lt;'Données projet'!$A$88,$BA$205^A124,IF(A124='Données projet'!$A$88,'Données projet'!$B$88,BD123+BC124-BL123)))</f>
        <v>287.39999999999941</v>
      </c>
      <c r="BE124" s="13">
        <f>BD124*VLOOKUP('Données projet'!$B$11,Paramètres!$A$1:$I$89,3,0)*VLOOKUP('Données projet'!$B$11,Paramètres!$A$1:$I$89,5,0)</f>
        <v>300.3904799999994</v>
      </c>
      <c r="BF124" s="13">
        <f t="shared" si="91"/>
        <v>71.258316884071363</v>
      </c>
      <c r="BG124" s="20">
        <f t="shared" si="61"/>
        <v>647.28832123975644</v>
      </c>
      <c r="BH124" s="59">
        <f t="shared" si="62"/>
        <v>940.6216545730897</v>
      </c>
      <c r="BI124" s="59">
        <f ca="1">AVERAGE(OFFSET($BH$3,0,0,'Données projet'!$E$11+1,1))-AVERAGE(OFFSET($H$3,0,0,'Données projet'!$E$11+1,1))</f>
        <v>340.76197766679212</v>
      </c>
      <c r="BJ124" s="59">
        <f t="shared" si="92"/>
        <v>199.70700738826872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3.4</v>
      </c>
      <c r="BY124" s="12">
        <f>IF('Données projet'!$A$114&gt;35,BY123+BX124-CG123,IF(A124&lt;'Données projet'!$A$114,$BV$205^A124,IF(A124='Données projet'!$A$114,'Données projet'!$B$114,BY123+BX124-CG123)))</f>
        <v>287.39999999999941</v>
      </c>
      <c r="BZ124" s="13">
        <f>BY124*VLOOKUP('Données projet'!$B$12,Paramètres!$A$1:$I$89,3,0)*VLOOKUP('Données projet'!$B$12,Paramètres!$A$1:$I$89,5,0)</f>
        <v>309.35735999999935</v>
      </c>
      <c r="CA124" s="13">
        <f t="shared" si="93"/>
        <v>73.134605157142033</v>
      </c>
      <c r="CB124" s="20">
        <f t="shared" si="64"/>
        <v>666.17350598202131</v>
      </c>
      <c r="CC124" s="59">
        <f t="shared" si="65"/>
        <v>959.50683931535468</v>
      </c>
      <c r="CD124" s="59">
        <f ca="1">AVERAGE(OFFSET($CC$3,0,0,'Données projet'!$E$12+1,1))-AVERAGE(OFFSET($H$3,0,0,'Données projet'!$E$12+1,1))</f>
        <v>354.06521046071936</v>
      </c>
      <c r="CE124" s="59">
        <f t="shared" si="94"/>
        <v>206.22956332364367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3.4</v>
      </c>
      <c r="N125" s="13">
        <f>IF('Données projet'!$A$36&gt;35,N124+M125-V124,IF(A125&lt;'Données projet'!$A$36,$K$205^A125,IF(A125='Données projet'!$A$36,'Données projet'!$B$36,N124+M125-V124)))</f>
        <v>290.79999999999939</v>
      </c>
      <c r="O125" s="13">
        <f>N125*VLOOKUP('Données projet'!$B$9,Paramètres!$A$1:$I$89,3,0)*VLOOKUP('Données projet'!$B$9,Paramètres!$A$1:$I$89,5,0)</f>
        <v>263.11583999999948</v>
      </c>
      <c r="P125" s="13">
        <f t="shared" si="87"/>
        <v>63.386087944423274</v>
      </c>
      <c r="Q125" s="20">
        <f t="shared" si="107"/>
        <v>568.65752450320281</v>
      </c>
      <c r="R125" s="59">
        <f t="shared" si="55"/>
        <v>861.99085783653618</v>
      </c>
      <c r="S125" s="59">
        <f ca="1">AVERAGE(OFFSET($R$3,0,0,'Données projet'!$E$9+1,1))-AVERAGE(OFFSET($H$3,0,0,'Données projet'!$E$9+1,1))</f>
        <v>280.79223530986889</v>
      </c>
      <c r="T125" s="59">
        <f t="shared" si="88"/>
        <v>170.29932835468685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3.4</v>
      </c>
      <c r="AI125" s="13">
        <f>IF('Données projet'!$A$62&gt;35,AI124+AH125-AQ124,IF(A125&lt;'Données projet'!$A$62,$AF$205^A125,IF(A125='Données projet'!$A$62,'Données projet'!$B$62,AI124+AH125-AQ124)))</f>
        <v>290.79999999999939</v>
      </c>
      <c r="AJ125" s="13">
        <f>AI125*VLOOKUP('Données projet'!$B$10,Paramètres!$A$1:$I$89,3,0)*VLOOKUP('Données projet'!$B$10,Paramètres!$A$1:$I$89,5,0)</f>
        <v>294.87119999999942</v>
      </c>
      <c r="AK125" s="13">
        <f t="shared" si="89"/>
        <v>70.100193324246931</v>
      </c>
      <c r="AL125" s="20">
        <f t="shared" si="58"/>
        <v>635.65851003972909</v>
      </c>
      <c r="AM125" s="59">
        <f t="shared" si="59"/>
        <v>928.99184337306247</v>
      </c>
      <c r="AN125" s="59">
        <f ca="1">AVERAGE(OFFSET($AM$3,0,0,'Données projet'!$E$10+1,1))-AVERAGE(OFFSET($H$3,0,0,'Données projet'!$E$10+1,1))</f>
        <v>327.4505861600158</v>
      </c>
      <c r="AO125" s="59">
        <f t="shared" si="90"/>
        <v>193.18009444354595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3.4</v>
      </c>
      <c r="BD125" s="12">
        <f>IF('Données projet'!$A$88&gt;35,BD124+BC125-BL124,IF(A125&lt;'Données projet'!$A$88,$BA$205^A125,IF(A125='Données projet'!$A$88,'Données projet'!$B$88,BD124+BC125-BL124)))</f>
        <v>290.79999999999939</v>
      </c>
      <c r="BE125" s="13">
        <f>BD125*VLOOKUP('Données projet'!$B$11,Paramètres!$A$1:$I$89,3,0)*VLOOKUP('Données projet'!$B$11,Paramètres!$A$1:$I$89,5,0)</f>
        <v>303.94415999999939</v>
      </c>
      <c r="BF125" s="13">
        <f t="shared" si="91"/>
        <v>72.002681306161591</v>
      </c>
      <c r="BG125" s="20">
        <f t="shared" si="61"/>
        <v>654.77408194156374</v>
      </c>
      <c r="BH125" s="59">
        <f t="shared" si="62"/>
        <v>948.10741527489699</v>
      </c>
      <c r="BI125" s="59">
        <f ca="1">AVERAGE(OFFSET($BH$3,0,0,'Données projet'!$E$11+1,1))-AVERAGE(OFFSET($H$3,0,0,'Données projet'!$E$11+1,1))</f>
        <v>340.76197766679212</v>
      </c>
      <c r="BJ125" s="59">
        <f t="shared" si="92"/>
        <v>199.70700738826872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3.4</v>
      </c>
      <c r="BY125" s="12">
        <f>IF('Données projet'!$A$114&gt;35,BY124+BX125-CG124,IF(A125&lt;'Données projet'!$A$114,$BV$205^A125,IF(A125='Données projet'!$A$114,'Données projet'!$B$114,BY124+BX125-CG124)))</f>
        <v>290.79999999999939</v>
      </c>
      <c r="BZ125" s="13">
        <f>BY125*VLOOKUP('Données projet'!$B$12,Paramètres!$A$1:$I$89,3,0)*VLOOKUP('Données projet'!$B$12,Paramètres!$A$1:$I$89,5,0)</f>
        <v>313.01711999999935</v>
      </c>
      <c r="CA125" s="13">
        <f t="shared" si="93"/>
        <v>73.898569287689199</v>
      </c>
      <c r="CB125" s="20">
        <f t="shared" si="64"/>
        <v>673.87815884272425</v>
      </c>
      <c r="CC125" s="59">
        <f t="shared" si="65"/>
        <v>967.21149217605762</v>
      </c>
      <c r="CD125" s="59">
        <f ca="1">AVERAGE(OFFSET($CC$3,0,0,'Données projet'!$E$12+1,1))-AVERAGE(OFFSET($H$3,0,0,'Données projet'!$E$12+1,1))</f>
        <v>354.06521046071936</v>
      </c>
      <c r="CE125" s="59">
        <f t="shared" si="94"/>
        <v>206.22956332364367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3.4</v>
      </c>
      <c r="N126" s="13">
        <f>IF('Données projet'!$A$36&gt;35,N125+M126-V125,IF(A126&lt;'Données projet'!$A$36,$K$205^A126,IF(A126='Données projet'!$A$36,'Données projet'!$B$36,N125+M126-V125)))</f>
        <v>294.19999999999936</v>
      </c>
      <c r="O126" s="13">
        <f>N126*VLOOKUP('Données projet'!$B$9,Paramètres!$A$1:$I$89,3,0)*VLOOKUP('Données projet'!$B$9,Paramètres!$A$1:$I$89,5,0)</f>
        <v>266.19215999999943</v>
      </c>
      <c r="P126" s="13">
        <f t="shared" si="87"/>
        <v>64.04048272345959</v>
      </c>
      <c r="Q126" s="20">
        <f t="shared" si="107"/>
        <v>575.15518607669117</v>
      </c>
      <c r="R126" s="59">
        <f t="shared" si="55"/>
        <v>868.48851941002454</v>
      </c>
      <c r="S126" s="59">
        <f ca="1">AVERAGE(OFFSET($R$3,0,0,'Données projet'!$E$9+1,1))-AVERAGE(OFFSET($H$3,0,0,'Données projet'!$E$9+1,1))</f>
        <v>280.79223530986889</v>
      </c>
      <c r="T126" s="59">
        <f t="shared" si="88"/>
        <v>170.29932835468685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3.4</v>
      </c>
      <c r="AI126" s="13">
        <f>IF('Données projet'!$A$62&gt;35,AI125+AH126-AQ125,IF(A126&lt;'Données projet'!$A$62,$AF$205^A126,IF(A126='Données projet'!$A$62,'Données projet'!$B$62,AI125+AH126-AQ125)))</f>
        <v>294.19999999999936</v>
      </c>
      <c r="AJ126" s="13">
        <f>AI126*VLOOKUP('Données projet'!$B$10,Paramètres!$A$1:$I$89,3,0)*VLOOKUP('Données projet'!$B$10,Paramètres!$A$1:$I$89,5,0)</f>
        <v>298.31879999999938</v>
      </c>
      <c r="AK126" s="13">
        <f t="shared" si="89"/>
        <v>70.823904189019785</v>
      </c>
      <c r="AL126" s="20">
        <f t="shared" si="58"/>
        <v>642.92354312920827</v>
      </c>
      <c r="AM126" s="59">
        <f t="shared" si="59"/>
        <v>936.25687646254164</v>
      </c>
      <c r="AN126" s="59">
        <f ca="1">AVERAGE(OFFSET($AM$3,0,0,'Données projet'!$E$10+1,1))-AVERAGE(OFFSET($H$3,0,0,'Données projet'!$E$10+1,1))</f>
        <v>327.4505861600158</v>
      </c>
      <c r="AO126" s="59">
        <f t="shared" si="90"/>
        <v>193.18009444354595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3.4</v>
      </c>
      <c r="BD126" s="12">
        <f>IF('Données projet'!$A$88&gt;35,BD125+BC126-BL125,IF(A126&lt;'Données projet'!$A$88,$BA$205^A126,IF(A126='Données projet'!$A$88,'Données projet'!$B$88,BD125+BC126-BL125)))</f>
        <v>294.19999999999936</v>
      </c>
      <c r="BE126" s="13">
        <f>BD126*VLOOKUP('Données projet'!$B$11,Paramètres!$A$1:$I$89,3,0)*VLOOKUP('Données projet'!$B$11,Paramètres!$A$1:$I$89,5,0)</f>
        <v>307.49783999999937</v>
      </c>
      <c r="BF126" s="13">
        <f t="shared" si="91"/>
        <v>72.746033361027145</v>
      </c>
      <c r="BG126" s="20">
        <f t="shared" si="61"/>
        <v>662.25807943712118</v>
      </c>
      <c r="BH126" s="59">
        <f t="shared" si="62"/>
        <v>955.59141277045455</v>
      </c>
      <c r="BI126" s="59">
        <f ca="1">AVERAGE(OFFSET($BH$3,0,0,'Données projet'!$E$11+1,1))-AVERAGE(OFFSET($H$3,0,0,'Données projet'!$E$11+1,1))</f>
        <v>340.76197766679212</v>
      </c>
      <c r="BJ126" s="59">
        <f t="shared" si="92"/>
        <v>199.70700738826872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3.4</v>
      </c>
      <c r="BY126" s="12">
        <f>IF('Données projet'!$A$114&gt;35,BY125+BX126-CG125,IF(A126&lt;'Données projet'!$A$114,$BV$205^A126,IF(A126='Données projet'!$A$114,'Données projet'!$B$114,BY125+BX126-CG125)))</f>
        <v>294.19999999999936</v>
      </c>
      <c r="BZ126" s="13">
        <f>BY126*VLOOKUP('Données projet'!$B$12,Paramètres!$A$1:$I$89,3,0)*VLOOKUP('Données projet'!$B$12,Paramètres!$A$1:$I$89,5,0)</f>
        <v>316.6768799999993</v>
      </c>
      <c r="CA126" s="13">
        <f t="shared" si="93"/>
        <v>74.661494394575769</v>
      </c>
      <c r="CB126" s="20">
        <f t="shared" si="64"/>
        <v>681.58100207055156</v>
      </c>
      <c r="CC126" s="59">
        <f t="shared" si="65"/>
        <v>974.91433540388493</v>
      </c>
      <c r="CD126" s="59">
        <f ca="1">AVERAGE(OFFSET($CC$3,0,0,'Données projet'!$E$12+1,1))-AVERAGE(OFFSET($H$3,0,0,'Données projet'!$E$12+1,1))</f>
        <v>354.06521046071936</v>
      </c>
      <c r="CE126" s="59">
        <f t="shared" si="94"/>
        <v>206.22956332364367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3.4</v>
      </c>
      <c r="N127" s="13">
        <f>IF('Données projet'!$A$36&gt;35,N126+M127-V126,IF(A127&lt;'Données projet'!$A$36,$K$205^A127,IF(A127='Données projet'!$A$36,'Données projet'!$B$36,N126+M127-V126)))</f>
        <v>297.59999999999934</v>
      </c>
      <c r="O127" s="13">
        <f>N127*VLOOKUP('Données projet'!$B$9,Paramètres!$A$1:$I$89,3,0)*VLOOKUP('Données projet'!$B$9,Paramètres!$A$1:$I$89,5,0)</f>
        <v>269.26847999999939</v>
      </c>
      <c r="P127" s="13">
        <f t="shared" si="87"/>
        <v>64.693997776951065</v>
      </c>
      <c r="Q127" s="20">
        <f t="shared" si="107"/>
        <v>581.65131546152202</v>
      </c>
      <c r="R127" s="59">
        <f t="shared" si="55"/>
        <v>874.98464879485527</v>
      </c>
      <c r="S127" s="59">
        <f ca="1">AVERAGE(OFFSET($R$3,0,0,'Données projet'!$E$9+1,1))-AVERAGE(OFFSET($H$3,0,0,'Données projet'!$E$9+1,1))</f>
        <v>280.79223530986889</v>
      </c>
      <c r="T127" s="59">
        <f t="shared" si="88"/>
        <v>170.29932835468685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3.4</v>
      </c>
      <c r="AI127" s="13">
        <f>IF('Données projet'!$A$62&gt;35,AI126+AH127-AQ126,IF(A127&lt;'Données projet'!$A$62,$AF$205^A127,IF(A127='Données projet'!$A$62,'Données projet'!$B$62,AI126+AH127-AQ126)))</f>
        <v>297.59999999999934</v>
      </c>
      <c r="AJ127" s="13">
        <f>AI127*VLOOKUP('Données projet'!$B$10,Paramètres!$A$1:$I$89,3,0)*VLOOKUP('Données projet'!$B$10,Paramètres!$A$1:$I$89,5,0)</f>
        <v>301.76639999999935</v>
      </c>
      <c r="AK127" s="13">
        <f t="shared" si="89"/>
        <v>71.546642144235236</v>
      </c>
      <c r="AL127" s="20">
        <f t="shared" si="58"/>
        <v>650.18688173454188</v>
      </c>
      <c r="AM127" s="59">
        <f t="shared" si="59"/>
        <v>943.52021506787514</v>
      </c>
      <c r="AN127" s="59">
        <f ca="1">AVERAGE(OFFSET($AM$3,0,0,'Données projet'!$E$10+1,1))-AVERAGE(OFFSET($H$3,0,0,'Données projet'!$E$10+1,1))</f>
        <v>327.4505861600158</v>
      </c>
      <c r="AO127" s="59">
        <f t="shared" si="90"/>
        <v>193.18009444354595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3.4</v>
      </c>
      <c r="BD127" s="12">
        <f>IF('Données projet'!$A$88&gt;35,BD126+BC127-BL126,IF(A127&lt;'Données projet'!$A$88,$BA$205^A127,IF(A127='Données projet'!$A$88,'Données projet'!$B$88,BD126+BC127-BL126)))</f>
        <v>297.59999999999934</v>
      </c>
      <c r="BE127" s="13">
        <f>BD127*VLOOKUP('Données projet'!$B$11,Paramètres!$A$1:$I$89,3,0)*VLOOKUP('Données projet'!$B$11,Paramètres!$A$1:$I$89,5,0)</f>
        <v>311.05151999999936</v>
      </c>
      <c r="BF127" s="13">
        <f t="shared" si="91"/>
        <v>73.488386102003687</v>
      </c>
      <c r="BG127" s="20">
        <f t="shared" si="61"/>
        <v>669.7403364609886</v>
      </c>
      <c r="BH127" s="59">
        <f t="shared" si="62"/>
        <v>963.07366979432186</v>
      </c>
      <c r="BI127" s="59">
        <f ca="1">AVERAGE(OFFSET($BH$3,0,0,'Données projet'!$E$11+1,1))-AVERAGE(OFFSET($H$3,0,0,'Données projet'!$E$11+1,1))</f>
        <v>340.76197766679212</v>
      </c>
      <c r="BJ127" s="59">
        <f t="shared" si="92"/>
        <v>199.70700738826872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3.4</v>
      </c>
      <c r="BY127" s="12">
        <f>IF('Données projet'!$A$114&gt;35,BY126+BX127-CG126,IF(A127&lt;'Données projet'!$A$114,$BV$205^A127,IF(A127='Données projet'!$A$114,'Données projet'!$B$114,BY126+BX127-CG126)))</f>
        <v>297.59999999999934</v>
      </c>
      <c r="BZ127" s="13">
        <f>BY127*VLOOKUP('Données projet'!$B$12,Paramètres!$A$1:$I$89,3,0)*VLOOKUP('Données projet'!$B$12,Paramètres!$A$1:$I$89,5,0)</f>
        <v>320.33663999999931</v>
      </c>
      <c r="CA127" s="13">
        <f t="shared" si="93"/>
        <v>75.423393874842361</v>
      </c>
      <c r="CB127" s="20">
        <f t="shared" si="64"/>
        <v>689.2820589986826</v>
      </c>
      <c r="CC127" s="59">
        <f t="shared" si="65"/>
        <v>982.61539233201597</v>
      </c>
      <c r="CD127" s="59">
        <f ca="1">AVERAGE(OFFSET($CC$3,0,0,'Données projet'!$E$12+1,1))-AVERAGE(OFFSET($H$3,0,0,'Données projet'!$E$12+1,1))</f>
        <v>354.06521046071936</v>
      </c>
      <c r="CE127" s="59">
        <f t="shared" si="94"/>
        <v>206.22956332364367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>
        <f>VLOOKUP(A128,'Données projet'!$A$35:$I$55,2,0)</f>
        <v>301</v>
      </c>
      <c r="L128" s="12">
        <f>VLOOKUP(A128,'Données projet'!$A$35:$I$55,9,0)</f>
        <v>3.4</v>
      </c>
      <c r="M128" s="12">
        <f t="array" ref="M128">INDEX(L:L,MIN(IF(ISNUMBER(L128:L324),ROW(L128:L324),"")))</f>
        <v>3.4</v>
      </c>
      <c r="N128" s="13">
        <f>IF('Données projet'!$A$36&gt;35,N127+M128-V127,IF(A128&lt;'Données projet'!$A$36,$K$205^A128,IF(A128='Données projet'!$A$36,'Données projet'!$B$36,N127+M128-V127)))</f>
        <v>300.99999999999932</v>
      </c>
      <c r="O128" s="13">
        <f>N128*VLOOKUP('Données projet'!$B$9,Paramètres!$A$1:$I$89,3,0)*VLOOKUP('Données projet'!$B$9,Paramètres!$A$1:$I$89,5,0)</f>
        <v>272.34479999999934</v>
      </c>
      <c r="P128" s="13">
        <f t="shared" si="87"/>
        <v>65.346644318451595</v>
      </c>
      <c r="Q128" s="20">
        <f t="shared" si="107"/>
        <v>588.1459321879687</v>
      </c>
      <c r="R128" s="59">
        <f t="shared" si="55"/>
        <v>881.47926552130207</v>
      </c>
      <c r="S128" s="59">
        <f ca="1">AVERAGE(OFFSET($R$3,0,0,'Données projet'!$E$9+1,1))-AVERAGE(OFFSET($H$3,0,0,'Données projet'!$E$9+1,1))</f>
        <v>280.79223530986889</v>
      </c>
      <c r="T128" s="59">
        <f t="shared" si="88"/>
        <v>170.29932835468685</v>
      </c>
      <c r="U128" s="15">
        <f>IF(ISNA(VLOOKUP(A128,'Données projet'!$A$35:$I$55,3,0)),0,VLOOKUP(A128,'Données projet'!$A$35:$I$55,3,0))</f>
        <v>11</v>
      </c>
      <c r="V128" s="15">
        <f>IF(ISNA(VLOOKUP(A128,'Données projet'!$A$35:$I$55,4,0)),0,VLOOKUP(A128,'Données projet'!$A$35:$I$55,4,0))</f>
        <v>33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301</v>
      </c>
      <c r="AG128" s="12">
        <f>VLOOKUP(A128,'Données projet'!$A$61:$I$81,9,0)</f>
        <v>3.4</v>
      </c>
      <c r="AH128" s="12">
        <f t="array" ref="AH128">INDEX(AG:AG,MIN(IF(ISNUMBER(AG128:AG324),ROW(AG128:AG324),"")))</f>
        <v>3.4</v>
      </c>
      <c r="AI128" s="13">
        <f>IF('Données projet'!$A$62&gt;35,AI127+AH128-AQ127,IF(A128&lt;'Données projet'!$A$62,$AF$205^A128,IF(A128='Données projet'!$A$62,'Données projet'!$B$62,AI127+AH128-AQ127)))</f>
        <v>300.99999999999932</v>
      </c>
      <c r="AJ128" s="13">
        <f>AI128*VLOOKUP('Données projet'!$B$10,Paramètres!$A$1:$I$89,3,0)*VLOOKUP('Données projet'!$B$10,Paramètres!$A$1:$I$89,5,0)</f>
        <v>305.21399999999932</v>
      </c>
      <c r="AK128" s="13">
        <f t="shared" si="89"/>
        <v>72.268419591231137</v>
      </c>
      <c r="AL128" s="20">
        <f t="shared" si="58"/>
        <v>657.44854745472628</v>
      </c>
      <c r="AM128" s="59">
        <f t="shared" si="59"/>
        <v>950.78188078805965</v>
      </c>
      <c r="AN128" s="59">
        <f ca="1">AVERAGE(OFFSET($AM$3,0,0,'Données projet'!$E$10+1,1))-AVERAGE(OFFSET($H$3,0,0,'Données projet'!$E$10+1,1))</f>
        <v>327.4505861600158</v>
      </c>
      <c r="AO128" s="59">
        <f t="shared" si="90"/>
        <v>193.18009444354595</v>
      </c>
      <c r="AP128" s="15">
        <f>IF(ISNA(VLOOKUP(A128,'Données projet'!$A$61:$I$81,3,0)),0,VLOOKUP(A128,'Données projet'!$A$61:$I$81,3,0))</f>
        <v>11</v>
      </c>
      <c r="AQ128" s="15">
        <f>IF(ISNA(VLOOKUP(A128,'Données projet'!$A$61:$I$81,4,0)),0,VLOOKUP(A128,'Données projet'!$A$61:$I$81,4,0))</f>
        <v>33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301</v>
      </c>
      <c r="BB128" s="12">
        <f>VLOOKUP(A128,'Données projet'!$A$87:$I$107,9,0)</f>
        <v>3.4</v>
      </c>
      <c r="BC128" s="12">
        <f t="array" ref="BC128">INDEX(BB:BB,MIN(IF(ISNUMBER(BB128:BB324),ROW(BB128:BB324),"")))</f>
        <v>3.4</v>
      </c>
      <c r="BD128" s="12">
        <f>IF('Données projet'!$A$88&gt;35,BD127+BC128-BL127,IF(A128&lt;'Données projet'!$A$88,$BA$205^A128,IF(A128='Données projet'!$A$88,'Données projet'!$B$88,BD127+BC128-BL127)))</f>
        <v>300.99999999999932</v>
      </c>
      <c r="BE128" s="13">
        <f>BD128*VLOOKUP('Données projet'!$B$11,Paramètres!$A$1:$I$89,3,0)*VLOOKUP('Données projet'!$B$11,Paramètres!$A$1:$I$89,5,0)</f>
        <v>314.60519999999934</v>
      </c>
      <c r="BF128" s="13">
        <f t="shared" si="91"/>
        <v>74.229752266996059</v>
      </c>
      <c r="BG128" s="20">
        <f t="shared" si="61"/>
        <v>677.22087519835031</v>
      </c>
      <c r="BH128" s="59">
        <f t="shared" si="62"/>
        <v>970.55420853168357</v>
      </c>
      <c r="BI128" s="59">
        <f ca="1">AVERAGE(OFFSET($BH$3,0,0,'Données projet'!$E$11+1,1))-AVERAGE(OFFSET($H$3,0,0,'Données projet'!$E$11+1,1))</f>
        <v>340.76197766679212</v>
      </c>
      <c r="BJ128" s="59">
        <f t="shared" si="92"/>
        <v>199.70700738826872</v>
      </c>
      <c r="BK128" s="15">
        <f>IF(ISNA(VLOOKUP(A128,'Données projet'!$A$87:$I$107,3,0)),0,VLOOKUP(A128,'Données projet'!$A$87:$I$107,3,0))</f>
        <v>11</v>
      </c>
      <c r="BL128" s="15">
        <f>IF(ISNA(VLOOKUP(A128,'Données projet'!$A$87:$I$107,4,0)),0,VLOOKUP(A128,'Données projet'!$A$87:$I$107,4,0))</f>
        <v>33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>
        <f>VLOOKUP(A128,'Données projet'!$A$113:$I$133,2,0)</f>
        <v>301</v>
      </c>
      <c r="BW128" s="12">
        <f>VLOOKUP(A128,'Données projet'!$A$113:$I$133,9,0)</f>
        <v>3.4</v>
      </c>
      <c r="BX128" s="12">
        <f t="array" ref="BX128">INDEX(BW:BW,MIN(IF(ISNUMBER(BW128:BW324),ROW(BW128:BW324),"")))</f>
        <v>3.4</v>
      </c>
      <c r="BY128" s="12">
        <f>IF('Données projet'!$A$114&gt;35,BY127+BX128-CG127,IF(A128&lt;'Données projet'!$A$114,$BV$205^A128,IF(A128='Données projet'!$A$114,'Données projet'!$B$114,BY127+BX128-CG127)))</f>
        <v>300.99999999999932</v>
      </c>
      <c r="BZ128" s="13">
        <f>BY128*VLOOKUP('Données projet'!$B$12,Paramètres!$A$1:$I$89,3,0)*VLOOKUP('Données projet'!$B$12,Paramètres!$A$1:$I$89,5,0)</f>
        <v>323.99639999999926</v>
      </c>
      <c r="CA128" s="13">
        <f t="shared" si="93"/>
        <v>76.184280801792809</v>
      </c>
      <c r="CB128" s="20">
        <f t="shared" si="64"/>
        <v>696.98135239645444</v>
      </c>
      <c r="CC128" s="59">
        <f t="shared" si="65"/>
        <v>990.3146857297877</v>
      </c>
      <c r="CD128" s="59">
        <f ca="1">AVERAGE(OFFSET($CC$3,0,0,'Données projet'!$E$12+1,1))-AVERAGE(OFFSET($H$3,0,0,'Données projet'!$E$12+1,1))</f>
        <v>354.06521046071936</v>
      </c>
      <c r="CE128" s="59">
        <f t="shared" si="94"/>
        <v>206.22956332364367</v>
      </c>
      <c r="CF128" s="15">
        <f>IF(ISNA(VLOOKUP(A128,'Données projet'!$A$113:$I$133,3,0)),0,VLOOKUP(A128,'Données projet'!$A$113:$I$133,3,0))</f>
        <v>11</v>
      </c>
      <c r="CG128" s="15">
        <f>IF(ISNA(VLOOKUP(A128,'Données projet'!$A$113:$I$133,4,0)),0,VLOOKUP(A128,'Données projet'!$A$113:$I$133,4,0))</f>
        <v>33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3</v>
      </c>
      <c r="N129" s="13">
        <f>IF('Données projet'!$A$36&gt;35,N128+M129-V128,IF(A129&lt;'Données projet'!$A$36,$K$205^A129,IF(A129='Données projet'!$A$36,'Données projet'!$B$36,N128+M129-V128)))</f>
        <v>270.99999999999932</v>
      </c>
      <c r="O129" s="13">
        <f>N129*VLOOKUP('Données projet'!$B$9,Paramètres!$A$1:$I$89,3,0)*VLOOKUP('Données projet'!$B$9,Paramètres!$A$1:$I$89,5,0)</f>
        <v>245.20079999999936</v>
      </c>
      <c r="P129" s="13">
        <f t="shared" si="87"/>
        <v>59.557107941433571</v>
      </c>
      <c r="Q129" s="20">
        <f t="shared" si="107"/>
        <v>530.78668966466228</v>
      </c>
      <c r="R129" s="59">
        <f t="shared" si="55"/>
        <v>824.12002299799565</v>
      </c>
      <c r="S129" s="59">
        <f ca="1">AVERAGE(OFFSET($R$3,0,0,'Données projet'!$E$9+1,1))-AVERAGE(OFFSET($H$3,0,0,'Données projet'!$E$9+1,1))</f>
        <v>280.79223530986889</v>
      </c>
      <c r="T129" s="59">
        <f t="shared" si="88"/>
        <v>170.29932835468685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3</v>
      </c>
      <c r="AI129" s="13">
        <f>IF('Données projet'!$A$62&gt;35,AI128+AH129-AQ128,IF(A129&lt;'Données projet'!$A$62,$AF$205^A129,IF(A129='Données projet'!$A$62,'Données projet'!$B$62,AI128+AH129-AQ128)))</f>
        <v>270.99999999999932</v>
      </c>
      <c r="AJ129" s="13">
        <f>AI129*VLOOKUP('Données projet'!$B$10,Paramètres!$A$1:$I$89,3,0)*VLOOKUP('Données projet'!$B$10,Paramètres!$A$1:$I$89,5,0)</f>
        <v>274.7939999999993</v>
      </c>
      <c r="AK129" s="13">
        <f t="shared" si="89"/>
        <v>65.865632600455356</v>
      </c>
      <c r="AL129" s="20">
        <f t="shared" si="58"/>
        <v>593.31552677912521</v>
      </c>
      <c r="AM129" s="59">
        <f t="shared" si="59"/>
        <v>886.64886011245858</v>
      </c>
      <c r="AN129" s="59">
        <f ca="1">AVERAGE(OFFSET($AM$3,0,0,'Données projet'!$E$10+1,1))-AVERAGE(OFFSET($H$3,0,0,'Données projet'!$E$10+1,1))</f>
        <v>327.4505861600158</v>
      </c>
      <c r="AO129" s="59">
        <f t="shared" si="90"/>
        <v>193.18009444354595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3</v>
      </c>
      <c r="BD129" s="12">
        <f>IF('Données projet'!$A$88&gt;35,BD128+BC129-BL128,IF(A129&lt;'Données projet'!$A$88,$BA$205^A129,IF(A129='Données projet'!$A$88,'Données projet'!$B$88,BD128+BC129-BL128)))</f>
        <v>270.99999999999932</v>
      </c>
      <c r="BE129" s="13">
        <f>BD129*VLOOKUP('Données projet'!$B$11,Paramètres!$A$1:$I$89,3,0)*VLOOKUP('Données projet'!$B$11,Paramètres!$A$1:$I$89,5,0)</f>
        <v>283.24919999999935</v>
      </c>
      <c r="BF129" s="13">
        <f t="shared" si="91"/>
        <v>67.653196492953697</v>
      </c>
      <c r="BG129" s="20">
        <f t="shared" si="61"/>
        <v>611.15500722522654</v>
      </c>
      <c r="BH129" s="59">
        <f t="shared" si="62"/>
        <v>904.48834055855991</v>
      </c>
      <c r="BI129" s="59">
        <f ca="1">AVERAGE(OFFSET($BH$3,0,0,'Données projet'!$E$11+1,1))-AVERAGE(OFFSET($H$3,0,0,'Données projet'!$E$11+1,1))</f>
        <v>340.76197766679212</v>
      </c>
      <c r="BJ129" s="59">
        <f t="shared" si="92"/>
        <v>199.70700738826872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3</v>
      </c>
      <c r="BY129" s="12">
        <f>IF('Données projet'!$A$114&gt;35,BY128+BX129-CG128,IF(A129&lt;'Données projet'!$A$114,$BV$205^A129,IF(A129='Données projet'!$A$114,'Données projet'!$B$114,BY128+BX129-CG128)))</f>
        <v>270.99999999999932</v>
      </c>
      <c r="BZ129" s="13">
        <f>BY129*VLOOKUP('Données projet'!$B$12,Paramètres!$A$1:$I$89,3,0)*VLOOKUP('Données projet'!$B$12,Paramètres!$A$1:$I$89,5,0)</f>
        <v>291.70439999999928</v>
      </c>
      <c r="CA129" s="13">
        <f t="shared" si="93"/>
        <v>69.434559073015549</v>
      </c>
      <c r="CB129" s="20">
        <f t="shared" si="64"/>
        <v>628.9836870521674</v>
      </c>
      <c r="CC129" s="59">
        <f t="shared" si="65"/>
        <v>922.31702038550065</v>
      </c>
      <c r="CD129" s="59">
        <f ca="1">AVERAGE(OFFSET($CC$3,0,0,'Données projet'!$E$12+1,1))-AVERAGE(OFFSET($H$3,0,0,'Données projet'!$E$12+1,1))</f>
        <v>354.06521046071936</v>
      </c>
      <c r="CE129" s="59">
        <f t="shared" si="94"/>
        <v>206.22956332364367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3</v>
      </c>
      <c r="N130" s="13">
        <f>IF('Données projet'!$A$36&gt;35,N129+M130-V129,IF(A130&lt;'Données projet'!$A$36,$K$205^A130,IF(A130='Données projet'!$A$36,'Données projet'!$B$36,N129+M130-V129)))</f>
        <v>273.99999999999932</v>
      </c>
      <c r="O130" s="13">
        <f>N130*VLOOKUP('Données projet'!$B$9,Paramètres!$A$1:$I$89,3,0)*VLOOKUP('Données projet'!$B$9,Paramètres!$A$1:$I$89,5,0)</f>
        <v>247.91519999999937</v>
      </c>
      <c r="P130" s="13">
        <f t="shared" si="87"/>
        <v>60.139294964297299</v>
      </c>
      <c r="Q130" s="20">
        <f t="shared" si="107"/>
        <v>536.52824539615006</v>
      </c>
      <c r="R130" s="59">
        <f t="shared" si="55"/>
        <v>829.86157872948343</v>
      </c>
      <c r="S130" s="59">
        <f ca="1">AVERAGE(OFFSET($R$3,0,0,'Données projet'!$E$9+1,1))-AVERAGE(OFFSET($H$3,0,0,'Données projet'!$E$9+1,1))</f>
        <v>280.79223530986889</v>
      </c>
      <c r="T130" s="59">
        <f t="shared" si="88"/>
        <v>170.29932835468685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3</v>
      </c>
      <c r="AI130" s="13">
        <f>IF('Données projet'!$A$62&gt;35,AI129+AH130-AQ129,IF(A130&lt;'Données projet'!$A$62,$AF$205^A130,IF(A130='Données projet'!$A$62,'Données projet'!$B$62,AI129+AH130-AQ129)))</f>
        <v>273.99999999999932</v>
      </c>
      <c r="AJ130" s="13">
        <f>AI130*VLOOKUP('Données projet'!$B$10,Paramètres!$A$1:$I$89,3,0)*VLOOKUP('Données projet'!$B$10,Paramètres!$A$1:$I$89,5,0)</f>
        <v>277.83599999999933</v>
      </c>
      <c r="AK130" s="13">
        <f t="shared" si="89"/>
        <v>66.509487177652147</v>
      </c>
      <c r="AL130" s="20">
        <f t="shared" si="58"/>
        <v>599.73505683440965</v>
      </c>
      <c r="AM130" s="59">
        <f t="shared" si="59"/>
        <v>893.06839016774302</v>
      </c>
      <c r="AN130" s="59">
        <f ca="1">AVERAGE(OFFSET($AM$3,0,0,'Données projet'!$E$10+1,1))-AVERAGE(OFFSET($H$3,0,0,'Données projet'!$E$10+1,1))</f>
        <v>327.4505861600158</v>
      </c>
      <c r="AO130" s="59">
        <f t="shared" si="90"/>
        <v>193.18009444354595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3</v>
      </c>
      <c r="BD130" s="12">
        <f>IF('Données projet'!$A$88&gt;35,BD129+BC130-BL129,IF(A130&lt;'Données projet'!$A$88,$BA$205^A130,IF(A130='Données projet'!$A$88,'Données projet'!$B$88,BD129+BC130-BL129)))</f>
        <v>273.99999999999932</v>
      </c>
      <c r="BE130" s="13">
        <f>BD130*VLOOKUP('Données projet'!$B$11,Paramètres!$A$1:$I$89,3,0)*VLOOKUP('Données projet'!$B$11,Paramètres!$A$1:$I$89,5,0)</f>
        <v>286.3847999999993</v>
      </c>
      <c r="BF130" s="13">
        <f t="shared" si="91"/>
        <v>68.314524996214388</v>
      </c>
      <c r="BG130" s="20">
        <f t="shared" si="61"/>
        <v>617.7679910350721</v>
      </c>
      <c r="BH130" s="59">
        <f t="shared" si="62"/>
        <v>911.10132436840536</v>
      </c>
      <c r="BI130" s="59">
        <f ca="1">AVERAGE(OFFSET($BH$3,0,0,'Données projet'!$E$11+1,1))-AVERAGE(OFFSET($H$3,0,0,'Données projet'!$E$11+1,1))</f>
        <v>340.76197766679212</v>
      </c>
      <c r="BJ130" s="59">
        <f t="shared" si="92"/>
        <v>199.70700738826872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3</v>
      </c>
      <c r="BY130" s="12">
        <f>IF('Données projet'!$A$114&gt;35,BY129+BX130-CG129,IF(A130&lt;'Données projet'!$A$114,$BV$205^A130,IF(A130='Données projet'!$A$114,'Données projet'!$B$114,BY129+BX130-CG129)))</f>
        <v>273.99999999999932</v>
      </c>
      <c r="BZ130" s="13">
        <f>BY130*VLOOKUP('Données projet'!$B$12,Paramètres!$A$1:$I$89,3,0)*VLOOKUP('Données projet'!$B$12,Paramètres!$A$1:$I$89,5,0)</f>
        <v>294.93359999999927</v>
      </c>
      <c r="CA130" s="13">
        <f t="shared" si="93"/>
        <v>70.113300882814755</v>
      </c>
      <c r="CB130" s="20">
        <f t="shared" si="64"/>
        <v>635.79001903756773</v>
      </c>
      <c r="CC130" s="59">
        <f t="shared" si="65"/>
        <v>929.1233523709011</v>
      </c>
      <c r="CD130" s="59">
        <f ca="1">AVERAGE(OFFSET($CC$3,0,0,'Données projet'!$E$12+1,1))-AVERAGE(OFFSET($H$3,0,0,'Données projet'!$E$12+1,1))</f>
        <v>354.06521046071936</v>
      </c>
      <c r="CE130" s="59">
        <f t="shared" si="94"/>
        <v>206.22956332364367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3</v>
      </c>
      <c r="N131" s="13">
        <f>IF('Données projet'!$A$36&gt;35,N130+M131-V130,IF(A131&lt;'Données projet'!$A$36,$K$205^A131,IF(A131='Données projet'!$A$36,'Données projet'!$B$36,N130+M131-V130)))</f>
        <v>276.99999999999932</v>
      </c>
      <c r="O131" s="13">
        <f>N131*VLOOKUP('Données projet'!$B$9,Paramètres!$A$1:$I$89,3,0)*VLOOKUP('Données projet'!$B$9,Paramètres!$A$1:$I$89,5,0)</f>
        <v>250.62959999999939</v>
      </c>
      <c r="P131" s="13">
        <f t="shared" si="87"/>
        <v>60.720740474356212</v>
      </c>
      <c r="Q131" s="20">
        <f t="shared" ref="Q131:Q153" si="108">(O131+P131)*0.475*44/12</f>
        <v>542.26850965950268</v>
      </c>
      <c r="R131" s="59">
        <f t="shared" ref="R131:R194" si="109">Q131+(I131+J131)*44/12</f>
        <v>835.60184299283605</v>
      </c>
      <c r="S131" s="59">
        <f ca="1">AVERAGE(OFFSET($R$3,0,0,'Données projet'!$E$9+1,1))-AVERAGE(OFFSET($H$3,0,0,'Données projet'!$E$9+1,1))</f>
        <v>280.79223530986889</v>
      </c>
      <c r="T131" s="59">
        <f t="shared" si="88"/>
        <v>170.29932835468685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3</v>
      </c>
      <c r="AI131" s="13">
        <f>IF('Données projet'!$A$62&gt;35,AI130+AH131-AQ130,IF(A131&lt;'Données projet'!$A$62,$AF$205^A131,IF(A131='Données projet'!$A$62,'Données projet'!$B$62,AI130+AH131-AQ130)))</f>
        <v>276.99999999999932</v>
      </c>
      <c r="AJ131" s="13">
        <f>AI131*VLOOKUP('Données projet'!$B$10,Paramètres!$A$1:$I$89,3,0)*VLOOKUP('Données projet'!$B$10,Paramètres!$A$1:$I$89,5,0)</f>
        <v>280.8779999999993</v>
      </c>
      <c r="AK131" s="13">
        <f t="shared" si="89"/>
        <v>67.152521698072178</v>
      </c>
      <c r="AL131" s="20">
        <f t="shared" si="58"/>
        <v>606.15315862414116</v>
      </c>
      <c r="AM131" s="59">
        <f t="shared" si="59"/>
        <v>899.48649195747453</v>
      </c>
      <c r="AN131" s="59">
        <f ca="1">AVERAGE(OFFSET($AM$3,0,0,'Données projet'!$E$10+1,1))-AVERAGE(OFFSET($H$3,0,0,'Données projet'!$E$10+1,1))</f>
        <v>327.4505861600158</v>
      </c>
      <c r="AO131" s="59">
        <f t="shared" si="90"/>
        <v>193.18009444354595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3</v>
      </c>
      <c r="BD131" s="12">
        <f>IF('Données projet'!$A$88&gt;35,BD130+BC131-BL130,IF(A131&lt;'Données projet'!$A$88,$BA$205^A131,IF(A131='Données projet'!$A$88,'Données projet'!$B$88,BD130+BC131-BL130)))</f>
        <v>276.99999999999932</v>
      </c>
      <c r="BE131" s="13">
        <f>BD131*VLOOKUP('Données projet'!$B$11,Paramètres!$A$1:$I$89,3,0)*VLOOKUP('Données projet'!$B$11,Paramètres!$A$1:$I$89,5,0)</f>
        <v>289.52039999999931</v>
      </c>
      <c r="BF131" s="13">
        <f t="shared" si="91"/>
        <v>68.975011186723293</v>
      </c>
      <c r="BG131" s="20">
        <f t="shared" si="61"/>
        <v>624.37950781687516</v>
      </c>
      <c r="BH131" s="59">
        <f t="shared" si="62"/>
        <v>917.71284115020853</v>
      </c>
      <c r="BI131" s="59">
        <f ca="1">AVERAGE(OFFSET($BH$3,0,0,'Données projet'!$E$11+1,1))-AVERAGE(OFFSET($H$3,0,0,'Données projet'!$E$11+1,1))</f>
        <v>340.76197766679212</v>
      </c>
      <c r="BJ131" s="59">
        <f t="shared" si="92"/>
        <v>199.70700738826872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3</v>
      </c>
      <c r="BY131" s="12">
        <f>IF('Données projet'!$A$114&gt;35,BY130+BX131-CG130,IF(A131&lt;'Données projet'!$A$114,$BV$205^A131,IF(A131='Données projet'!$A$114,'Données projet'!$B$114,BY130+BX131-CG130)))</f>
        <v>276.99999999999932</v>
      </c>
      <c r="BZ131" s="13">
        <f>BY131*VLOOKUP('Données projet'!$B$12,Paramètres!$A$1:$I$89,3,0)*VLOOKUP('Données projet'!$B$12,Paramètres!$A$1:$I$89,5,0)</f>
        <v>298.16279999999927</v>
      </c>
      <c r="CA131" s="13">
        <f t="shared" si="93"/>
        <v>70.791178201095988</v>
      </c>
      <c r="CB131" s="20">
        <f t="shared" si="64"/>
        <v>642.59484536690752</v>
      </c>
      <c r="CC131" s="59">
        <f t="shared" si="65"/>
        <v>935.92817870024078</v>
      </c>
      <c r="CD131" s="59">
        <f ca="1">AVERAGE(OFFSET($CC$3,0,0,'Données projet'!$E$12+1,1))-AVERAGE(OFFSET($H$3,0,0,'Données projet'!$E$12+1,1))</f>
        <v>354.06521046071936</v>
      </c>
      <c r="CE131" s="59">
        <f t="shared" si="94"/>
        <v>206.22956332364367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3</v>
      </c>
      <c r="N132" s="13">
        <f>IF('Données projet'!$A$36&gt;35,N131+M132-V131,IF(A132&lt;'Données projet'!$A$36,$K$205^A132,IF(A132='Données projet'!$A$36,'Données projet'!$B$36,N131+M132-V131)))</f>
        <v>279.99999999999932</v>
      </c>
      <c r="O132" s="13">
        <f>N132*VLOOKUP('Données projet'!$B$9,Paramètres!$A$1:$I$89,3,0)*VLOOKUP('Données projet'!$B$9,Paramètres!$A$1:$I$89,5,0)</f>
        <v>253.34399999999934</v>
      </c>
      <c r="P132" s="13">
        <f t="shared" si="87"/>
        <v>61.301453431926141</v>
      </c>
      <c r="Q132" s="20">
        <f t="shared" si="108"/>
        <v>548.00749806060355</v>
      </c>
      <c r="R132" s="59">
        <f t="shared" si="109"/>
        <v>841.34083139393692</v>
      </c>
      <c r="S132" s="59">
        <f ca="1">AVERAGE(OFFSET($R$3,0,0,'Données projet'!$E$9+1,1))-AVERAGE(OFFSET($H$3,0,0,'Données projet'!$E$9+1,1))</f>
        <v>280.79223530986889</v>
      </c>
      <c r="T132" s="59">
        <f t="shared" si="88"/>
        <v>170.29932835468685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3</v>
      </c>
      <c r="AI132" s="13">
        <f>IF('Données projet'!$A$62&gt;35,AI131+AH132-AQ131,IF(A132&lt;'Données projet'!$A$62,$AF$205^A132,IF(A132='Données projet'!$A$62,'Données projet'!$B$62,AI131+AH132-AQ131)))</f>
        <v>279.99999999999932</v>
      </c>
      <c r="AJ132" s="13">
        <f>AI132*VLOOKUP('Données projet'!$B$10,Paramètres!$A$1:$I$89,3,0)*VLOOKUP('Données projet'!$B$10,Paramètres!$A$1:$I$89,5,0)</f>
        <v>283.91999999999933</v>
      </c>
      <c r="AK132" s="13">
        <f t="shared" si="89"/>
        <v>67.794746071143507</v>
      </c>
      <c r="AL132" s="20">
        <f t="shared" ref="AL132:AL153" si="112">(AJ132+AK132)*0.475*44/12</f>
        <v>612.56984940724044</v>
      </c>
      <c r="AM132" s="59">
        <f t="shared" ref="AM132:AM195" si="113">AL132+(AD132+AE132)*44/12</f>
        <v>905.90318274057381</v>
      </c>
      <c r="AN132" s="59">
        <f ca="1">AVERAGE(OFFSET($AM$3,0,0,'Données projet'!$E$10+1,1))-AVERAGE(OFFSET($H$3,0,0,'Données projet'!$E$10+1,1))</f>
        <v>327.4505861600158</v>
      </c>
      <c r="AO132" s="59">
        <f t="shared" si="90"/>
        <v>193.18009444354595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3</v>
      </c>
      <c r="BD132" s="12">
        <f>IF('Données projet'!$A$88&gt;35,BD131+BC132-BL131,IF(A132&lt;'Données projet'!$A$88,$BA$205^A132,IF(A132='Données projet'!$A$88,'Données projet'!$B$88,BD131+BC132-BL131)))</f>
        <v>279.99999999999932</v>
      </c>
      <c r="BE132" s="13">
        <f>BD132*VLOOKUP('Données projet'!$B$11,Paramètres!$A$1:$I$89,3,0)*VLOOKUP('Données projet'!$B$11,Paramètres!$A$1:$I$89,5,0)</f>
        <v>292.65599999999932</v>
      </c>
      <c r="BF132" s="13">
        <f t="shared" si="91"/>
        <v>69.634665242845628</v>
      </c>
      <c r="BG132" s="20">
        <f t="shared" ref="BG132:BG153" si="115">(BE132+BF132)*0.475*44/12</f>
        <v>630.98957529795496</v>
      </c>
      <c r="BH132" s="59">
        <f t="shared" ref="BH132:BH195" si="116">BG132+(AY132+AZ132)*44/12</f>
        <v>924.32290863128833</v>
      </c>
      <c r="BI132" s="59">
        <f ca="1">AVERAGE(OFFSET($BH$3,0,0,'Données projet'!$E$11+1,1))-AVERAGE(OFFSET($H$3,0,0,'Données projet'!$E$11+1,1))</f>
        <v>340.76197766679212</v>
      </c>
      <c r="BJ132" s="59">
        <f t="shared" si="92"/>
        <v>199.70700738826872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3</v>
      </c>
      <c r="BY132" s="12">
        <f>IF('Données projet'!$A$114&gt;35,BY131+BX132-CG131,IF(A132&lt;'Données projet'!$A$114,$BV$205^A132,IF(A132='Données projet'!$A$114,'Données projet'!$B$114,BY131+BX132-CG131)))</f>
        <v>279.99999999999932</v>
      </c>
      <c r="BZ132" s="13">
        <f>BY132*VLOOKUP('Données projet'!$B$12,Paramètres!$A$1:$I$89,3,0)*VLOOKUP('Données projet'!$B$12,Paramètres!$A$1:$I$89,5,0)</f>
        <v>301.39199999999926</v>
      </c>
      <c r="CA132" s="13">
        <f t="shared" si="93"/>
        <v>71.46820147422909</v>
      </c>
      <c r="CB132" s="20">
        <f t="shared" ref="CB132:CB153" si="118">(BZ132+CA132)*0.475*44/12</f>
        <v>649.39818423428108</v>
      </c>
      <c r="CC132" s="59">
        <f t="shared" ref="CC132:CC195" si="119">CB132+(BT132+BU132)*44/12</f>
        <v>942.73151756761445</v>
      </c>
      <c r="CD132" s="59">
        <f ca="1">AVERAGE(OFFSET($CC$3,0,0,'Données projet'!$E$12+1,1))-AVERAGE(OFFSET($H$3,0,0,'Données projet'!$E$12+1,1))</f>
        <v>354.06521046071936</v>
      </c>
      <c r="CE132" s="59">
        <f t="shared" si="94"/>
        <v>206.22956332364367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3</v>
      </c>
      <c r="N133" s="13">
        <f>IF('Données projet'!$A$36&gt;35,N132+M133-V132,IF(A133&lt;'Données projet'!$A$36,$K$205^A133,IF(A133='Données projet'!$A$36,'Données projet'!$B$36,N132+M133-V132)))</f>
        <v>282.99999999999932</v>
      </c>
      <c r="O133" s="13">
        <f>N133*VLOOKUP('Données projet'!$B$9,Paramètres!$A$1:$I$89,3,0)*VLOOKUP('Données projet'!$B$9,Paramètres!$A$1:$I$89,5,0)</f>
        <v>256.05839999999938</v>
      </c>
      <c r="P133" s="13">
        <f t="shared" ref="P133:P196" si="141">EXP(-1.0587+0.8836*LN(O133)+0.284)</f>
        <v>61.88144259425632</v>
      </c>
      <c r="Q133" s="20">
        <f t="shared" si="108"/>
        <v>553.74522585166198</v>
      </c>
      <c r="R133" s="59">
        <f t="shared" si="109"/>
        <v>847.07855918499536</v>
      </c>
      <c r="S133" s="59">
        <f ca="1">AVERAGE(OFFSET($R$3,0,0,'Données projet'!$E$9+1,1))-AVERAGE(OFFSET($H$3,0,0,'Données projet'!$E$9+1,1))</f>
        <v>280.79223530986889</v>
      </c>
      <c r="T133" s="59">
        <f t="shared" ref="T133:T196" si="142">$T$3</f>
        <v>170.29932835468685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3</v>
      </c>
      <c r="AI133" s="13">
        <f>IF('Données projet'!$A$62&gt;35,AI132+AH133-AQ132,IF(A133&lt;'Données projet'!$A$62,$AF$205^A133,IF(A133='Données projet'!$A$62,'Données projet'!$B$62,AI132+AH133-AQ132)))</f>
        <v>282.99999999999932</v>
      </c>
      <c r="AJ133" s="13">
        <f>AI133*VLOOKUP('Données projet'!$B$10,Paramètres!$A$1:$I$89,3,0)*VLOOKUP('Données projet'!$B$10,Paramètres!$A$1:$I$89,5,0)</f>
        <v>286.96199999999931</v>
      </c>
      <c r="AK133" s="13">
        <f t="shared" ref="AK133:AK153" si="143">EXP(-1.0587+0.8836*LN(AJ133)+0.284)</f>
        <v>68.436169981717669</v>
      </c>
      <c r="AL133" s="20">
        <f t="shared" si="112"/>
        <v>618.98514605149035</v>
      </c>
      <c r="AM133" s="59">
        <f t="shared" si="113"/>
        <v>912.3184793848236</v>
      </c>
      <c r="AN133" s="59">
        <f ca="1">AVERAGE(OFFSET($AM$3,0,0,'Données projet'!$E$10+1,1))-AVERAGE(OFFSET($H$3,0,0,'Données projet'!$E$10+1,1))</f>
        <v>327.4505861600158</v>
      </c>
      <c r="AO133" s="59">
        <f t="shared" ref="AO133:AO196" si="144">$AO$3</f>
        <v>193.18009444354595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3</v>
      </c>
      <c r="BD133" s="12">
        <f>IF('Données projet'!$A$88&gt;35,BD132+BC133-BL132,IF(A133&lt;'Données projet'!$A$88,$BA$205^A133,IF(A133='Données projet'!$A$88,'Données projet'!$B$88,BD132+BC133-BL132)))</f>
        <v>282.99999999999932</v>
      </c>
      <c r="BE133" s="13">
        <f>BD133*VLOOKUP('Données projet'!$B$11,Paramètres!$A$1:$I$89,3,0)*VLOOKUP('Données projet'!$B$11,Paramètres!$A$1:$I$89,5,0)</f>
        <v>295.79159999999933</v>
      </c>
      <c r="BF133" s="13">
        <f t="shared" ref="BF133:BF153" si="145">EXP(-1.0587+0.8836*LN(BE133)+0.284)</f>
        <v>70.293497112275773</v>
      </c>
      <c r="BG133" s="20">
        <f t="shared" si="115"/>
        <v>637.59821080387917</v>
      </c>
      <c r="BH133" s="59">
        <f t="shared" si="116"/>
        <v>930.93154413721254</v>
      </c>
      <c r="BI133" s="59">
        <f ca="1">AVERAGE(OFFSET($BH$3,0,0,'Données projet'!$E$11+1,1))-AVERAGE(OFFSET($H$3,0,0,'Données projet'!$E$11+1,1))</f>
        <v>340.76197766679212</v>
      </c>
      <c r="BJ133" s="59">
        <f t="shared" ref="BJ133:BJ196" si="146">$BJ$3</f>
        <v>199.70700738826872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3</v>
      </c>
      <c r="BY133" s="12">
        <f>IF('Données projet'!$A$114&gt;35,BY132+BX133-CG132,IF(A133&lt;'Données projet'!$A$114,$BV$205^A133,IF(A133='Données projet'!$A$114,'Données projet'!$B$114,BY132+BX133-CG132)))</f>
        <v>282.99999999999932</v>
      </c>
      <c r="BZ133" s="13">
        <f>BY133*VLOOKUP('Données projet'!$B$12,Paramètres!$A$1:$I$89,3,0)*VLOOKUP('Données projet'!$B$12,Paramètres!$A$1:$I$89,5,0)</f>
        <v>304.62119999999925</v>
      </c>
      <c r="CA133" s="13">
        <f t="shared" ref="CA133:CA153" si="147">EXP(-1.0587+0.8836*LN(BZ133)+0.284)</f>
        <v>72.144380911839278</v>
      </c>
      <c r="CB133" s="20">
        <f t="shared" si="118"/>
        <v>656.20005342145203</v>
      </c>
      <c r="CC133" s="59">
        <f t="shared" si="119"/>
        <v>949.5333867547854</v>
      </c>
      <c r="CD133" s="59">
        <f ca="1">AVERAGE(OFFSET($CC$3,0,0,'Données projet'!$E$12+1,1))-AVERAGE(OFFSET($H$3,0,0,'Données projet'!$E$12+1,1))</f>
        <v>354.06521046071936</v>
      </c>
      <c r="CE133" s="59">
        <f t="shared" ref="CE133:CE196" si="148">$CE$3</f>
        <v>206.22956332364367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3</v>
      </c>
      <c r="N134" s="13">
        <f>IF('Données projet'!$A$36&gt;35,N133+M134-V133,IF(A134&lt;'Données projet'!$A$36,$K$205^A134,IF(A134='Données projet'!$A$36,'Données projet'!$B$36,N133+M134-V133)))</f>
        <v>285.99999999999932</v>
      </c>
      <c r="O134" s="13">
        <f>N134*VLOOKUP('Données projet'!$B$9,Paramètres!$A$1:$I$89,3,0)*VLOOKUP('Données projet'!$B$9,Paramètres!$A$1:$I$89,5,0)</f>
        <v>258.77279999999939</v>
      </c>
      <c r="P134" s="13">
        <f t="shared" si="141"/>
        <v>62.460716522234527</v>
      </c>
      <c r="Q134" s="20">
        <f t="shared" si="108"/>
        <v>559.48170794289069</v>
      </c>
      <c r="R134" s="59">
        <f t="shared" si="109"/>
        <v>852.81504127622406</v>
      </c>
      <c r="S134" s="59">
        <f ca="1">AVERAGE(OFFSET($R$3,0,0,'Données projet'!$E$9+1,1))-AVERAGE(OFFSET($H$3,0,0,'Données projet'!$E$9+1,1))</f>
        <v>280.79223530986889</v>
      </c>
      <c r="T134" s="59">
        <f t="shared" si="142"/>
        <v>170.29932835468685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3</v>
      </c>
      <c r="AI134" s="13">
        <f>IF('Données projet'!$A$62&gt;35,AI133+AH134-AQ133,IF(A134&lt;'Données projet'!$A$62,$AF$205^A134,IF(A134='Données projet'!$A$62,'Données projet'!$B$62,AI133+AH134-AQ133)))</f>
        <v>285.99999999999932</v>
      </c>
      <c r="AJ134" s="13">
        <f>AI134*VLOOKUP('Données projet'!$B$10,Paramètres!$A$1:$I$89,3,0)*VLOOKUP('Données projet'!$B$10,Paramètres!$A$1:$I$89,5,0)</f>
        <v>290.00399999999934</v>
      </c>
      <c r="AK134" s="13">
        <f t="shared" si="143"/>
        <v>69.076802897485763</v>
      </c>
      <c r="AL134" s="20">
        <f t="shared" si="112"/>
        <v>625.39906504645319</v>
      </c>
      <c r="AM134" s="59">
        <f t="shared" si="113"/>
        <v>918.73239837978645</v>
      </c>
      <c r="AN134" s="59">
        <f ca="1">AVERAGE(OFFSET($AM$3,0,0,'Données projet'!$E$10+1,1))-AVERAGE(OFFSET($H$3,0,0,'Données projet'!$E$10+1,1))</f>
        <v>327.4505861600158</v>
      </c>
      <c r="AO134" s="59">
        <f t="shared" si="144"/>
        <v>193.18009444354595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3</v>
      </c>
      <c r="BD134" s="12">
        <f>IF('Données projet'!$A$88&gt;35,BD133+BC134-BL133,IF(A134&lt;'Données projet'!$A$88,$BA$205^A134,IF(A134='Données projet'!$A$88,'Données projet'!$B$88,BD133+BC134-BL133)))</f>
        <v>285.99999999999932</v>
      </c>
      <c r="BE134" s="13">
        <f>BD134*VLOOKUP('Données projet'!$B$11,Paramètres!$A$1:$I$89,3,0)*VLOOKUP('Données projet'!$B$11,Paramètres!$A$1:$I$89,5,0)</f>
        <v>298.92719999999929</v>
      </c>
      <c r="BF134" s="13">
        <f t="shared" si="145"/>
        <v>70.951516519653453</v>
      </c>
      <c r="BG134" s="20">
        <f t="shared" si="115"/>
        <v>644.20543127172857</v>
      </c>
      <c r="BH134" s="59">
        <f t="shared" si="116"/>
        <v>937.53876460506194</v>
      </c>
      <c r="BI134" s="59">
        <f ca="1">AVERAGE(OFFSET($BH$3,0,0,'Données projet'!$E$11+1,1))-AVERAGE(OFFSET($H$3,0,0,'Données projet'!$E$11+1,1))</f>
        <v>340.76197766679212</v>
      </c>
      <c r="BJ134" s="59">
        <f t="shared" si="146"/>
        <v>199.70700738826872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3</v>
      </c>
      <c r="BY134" s="12">
        <f>IF('Données projet'!$A$114&gt;35,BY133+BX134-CG133,IF(A134&lt;'Données projet'!$A$114,$BV$205^A134,IF(A134='Données projet'!$A$114,'Données projet'!$B$114,BY133+BX134-CG133)))</f>
        <v>285.99999999999932</v>
      </c>
      <c r="BZ134" s="13">
        <f>BY134*VLOOKUP('Données projet'!$B$12,Paramètres!$A$1:$I$89,3,0)*VLOOKUP('Données projet'!$B$12,Paramètres!$A$1:$I$89,5,0)</f>
        <v>307.85039999999924</v>
      </c>
      <c r="CA134" s="13">
        <f t="shared" si="147"/>
        <v>72.819726494623595</v>
      </c>
      <c r="CB134" s="20">
        <f t="shared" si="118"/>
        <v>663.00047031146812</v>
      </c>
      <c r="CC134" s="59">
        <f t="shared" si="119"/>
        <v>956.33380364480149</v>
      </c>
      <c r="CD134" s="59">
        <f ca="1">AVERAGE(OFFSET($CC$3,0,0,'Données projet'!$E$12+1,1))-AVERAGE(OFFSET($H$3,0,0,'Données projet'!$E$12+1,1))</f>
        <v>354.06521046071936</v>
      </c>
      <c r="CE134" s="59">
        <f t="shared" si="148"/>
        <v>206.22956332364367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3</v>
      </c>
      <c r="N135" s="13">
        <f>IF('Données projet'!$A$36&gt;35,N134+M135-V134,IF(A135&lt;'Données projet'!$A$36,$K$205^A135,IF(A135='Données projet'!$A$36,'Données projet'!$B$36,N134+M135-V134)))</f>
        <v>288.99999999999932</v>
      </c>
      <c r="O135" s="13">
        <f>N135*VLOOKUP('Données projet'!$B$9,Paramètres!$A$1:$I$89,3,0)*VLOOKUP('Données projet'!$B$9,Paramètres!$A$1:$I$89,5,0)</f>
        <v>261.4871999999994</v>
      </c>
      <c r="P135" s="13">
        <f t="shared" si="141"/>
        <v>63.03928358680222</v>
      </c>
      <c r="Q135" s="20">
        <f t="shared" si="108"/>
        <v>565.21695891367949</v>
      </c>
      <c r="R135" s="59">
        <f t="shared" si="109"/>
        <v>858.55029224701275</v>
      </c>
      <c r="S135" s="59">
        <f ca="1">AVERAGE(OFFSET($R$3,0,0,'Données projet'!$E$9+1,1))-AVERAGE(OFFSET($H$3,0,0,'Données projet'!$E$9+1,1))</f>
        <v>280.79223530986889</v>
      </c>
      <c r="T135" s="59">
        <f t="shared" si="142"/>
        <v>170.29932835468685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3</v>
      </c>
      <c r="AI135" s="13">
        <f>IF('Données projet'!$A$62&gt;35,AI134+AH135-AQ134,IF(A135&lt;'Données projet'!$A$62,$AF$205^A135,IF(A135='Données projet'!$A$62,'Données projet'!$B$62,AI134+AH135-AQ134)))</f>
        <v>288.99999999999932</v>
      </c>
      <c r="AJ135" s="13">
        <f>AI135*VLOOKUP('Données projet'!$B$10,Paramètres!$A$1:$I$89,3,0)*VLOOKUP('Données projet'!$B$10,Paramètres!$A$1:$I$89,5,0)</f>
        <v>293.04599999999931</v>
      </c>
      <c r="AK135" s="13">
        <f t="shared" si="143"/>
        <v>69.716654076072487</v>
      </c>
      <c r="AL135" s="20">
        <f t="shared" si="112"/>
        <v>631.81162251582498</v>
      </c>
      <c r="AM135" s="59">
        <f t="shared" si="113"/>
        <v>925.14495584915835</v>
      </c>
      <c r="AN135" s="59">
        <f ca="1">AVERAGE(OFFSET($AM$3,0,0,'Données projet'!$E$10+1,1))-AVERAGE(OFFSET($H$3,0,0,'Données projet'!$E$10+1,1))</f>
        <v>327.4505861600158</v>
      </c>
      <c r="AO135" s="59">
        <f t="shared" si="144"/>
        <v>193.18009444354595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3</v>
      </c>
      <c r="BD135" s="12">
        <f>IF('Données projet'!$A$88&gt;35,BD134+BC135-BL134,IF(A135&lt;'Données projet'!$A$88,$BA$205^A135,IF(A135='Données projet'!$A$88,'Données projet'!$B$88,BD134+BC135-BL134)))</f>
        <v>288.99999999999932</v>
      </c>
      <c r="BE135" s="13">
        <f>BD135*VLOOKUP('Données projet'!$B$11,Paramètres!$A$1:$I$89,3,0)*VLOOKUP('Données projet'!$B$11,Paramètres!$A$1:$I$89,5,0)</f>
        <v>302.0627999999993</v>
      </c>
      <c r="BF135" s="13">
        <f t="shared" si="145"/>
        <v>71.608732973851403</v>
      </c>
      <c r="BG135" s="20">
        <f t="shared" si="115"/>
        <v>650.81125326279005</v>
      </c>
      <c r="BH135" s="59">
        <f t="shared" si="116"/>
        <v>944.14458659612342</v>
      </c>
      <c r="BI135" s="59">
        <f ca="1">AVERAGE(OFFSET($BH$3,0,0,'Données projet'!$E$11+1,1))-AVERAGE(OFFSET($H$3,0,0,'Données projet'!$E$11+1,1))</f>
        <v>340.76197766679212</v>
      </c>
      <c r="BJ135" s="59">
        <f t="shared" si="146"/>
        <v>199.70700738826872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3</v>
      </c>
      <c r="BY135" s="12">
        <f>IF('Données projet'!$A$114&gt;35,BY134+BX135-CG134,IF(A135&lt;'Données projet'!$A$114,$BV$205^A135,IF(A135='Données projet'!$A$114,'Données projet'!$B$114,BY134+BX135-CG134)))</f>
        <v>288.99999999999932</v>
      </c>
      <c r="BZ135" s="13">
        <f>BY135*VLOOKUP('Données projet'!$B$12,Paramètres!$A$1:$I$89,3,0)*VLOOKUP('Données projet'!$B$12,Paramètres!$A$1:$I$89,5,0)</f>
        <v>311.07959999999923</v>
      </c>
      <c r="CA135" s="13">
        <f t="shared" si="147"/>
        <v>73.494247981831052</v>
      </c>
      <c r="CB135" s="20">
        <f t="shared" si="118"/>
        <v>669.79945190168769</v>
      </c>
      <c r="CC135" s="59">
        <f t="shared" si="119"/>
        <v>963.13278523502095</v>
      </c>
      <c r="CD135" s="59">
        <f ca="1">AVERAGE(OFFSET($CC$3,0,0,'Données projet'!$E$12+1,1))-AVERAGE(OFFSET($H$3,0,0,'Données projet'!$E$12+1,1))</f>
        <v>354.06521046071936</v>
      </c>
      <c r="CE135" s="59">
        <f t="shared" si="148"/>
        <v>206.22956332364367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3</v>
      </c>
      <c r="N136" s="13">
        <f>IF('Données projet'!$A$36&gt;35,N135+M136-V135,IF(A136&lt;'Données projet'!$A$36,$K$205^A136,IF(A136='Données projet'!$A$36,'Données projet'!$B$36,N135+M136-V135)))</f>
        <v>291.99999999999932</v>
      </c>
      <c r="O136" s="13">
        <f>N136*VLOOKUP('Données projet'!$B$9,Paramètres!$A$1:$I$89,3,0)*VLOOKUP('Données projet'!$B$9,Paramètres!$A$1:$I$89,5,0)</f>
        <v>264.20159999999936</v>
      </c>
      <c r="P136" s="13">
        <f t="shared" si="141"/>
        <v>63.617151975096597</v>
      </c>
      <c r="Q136" s="20">
        <f t="shared" si="108"/>
        <v>570.95099302329209</v>
      </c>
      <c r="R136" s="59">
        <f t="shared" si="109"/>
        <v>864.28432635662534</v>
      </c>
      <c r="S136" s="59">
        <f ca="1">AVERAGE(OFFSET($R$3,0,0,'Données projet'!$E$9+1,1))-AVERAGE(OFFSET($H$3,0,0,'Données projet'!$E$9+1,1))</f>
        <v>280.79223530986889</v>
      </c>
      <c r="T136" s="59">
        <f t="shared" si="142"/>
        <v>170.29932835468685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3</v>
      </c>
      <c r="AI136" s="13">
        <f>IF('Données projet'!$A$62&gt;35,AI135+AH136-AQ135,IF(A136&lt;'Données projet'!$A$62,$AF$205^A136,IF(A136='Données projet'!$A$62,'Données projet'!$B$62,AI135+AH136-AQ135)))</f>
        <v>291.99999999999932</v>
      </c>
      <c r="AJ136" s="13">
        <f>AI136*VLOOKUP('Données projet'!$B$10,Paramètres!$A$1:$I$89,3,0)*VLOOKUP('Données projet'!$B$10,Paramètres!$A$1:$I$89,5,0)</f>
        <v>296.08799999999934</v>
      </c>
      <c r="AK136" s="13">
        <f t="shared" si="143"/>
        <v>70.355732571828923</v>
      </c>
      <c r="AL136" s="20">
        <f t="shared" si="112"/>
        <v>638.22283422926751</v>
      </c>
      <c r="AM136" s="59">
        <f t="shared" si="113"/>
        <v>931.55616756260088</v>
      </c>
      <c r="AN136" s="59">
        <f ca="1">AVERAGE(OFFSET($AM$3,0,0,'Données projet'!$E$10+1,1))-AVERAGE(OFFSET($H$3,0,0,'Données projet'!$E$10+1,1))</f>
        <v>327.4505861600158</v>
      </c>
      <c r="AO136" s="59">
        <f t="shared" si="144"/>
        <v>193.18009444354595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3</v>
      </c>
      <c r="BD136" s="12">
        <f>IF('Données projet'!$A$88&gt;35,BD135+BC136-BL135,IF(A136&lt;'Données projet'!$A$88,$BA$205^A136,IF(A136='Données projet'!$A$88,'Données projet'!$B$88,BD135+BC136-BL135)))</f>
        <v>291.99999999999932</v>
      </c>
      <c r="BE136" s="13">
        <f>BD136*VLOOKUP('Données projet'!$B$11,Paramètres!$A$1:$I$89,3,0)*VLOOKUP('Données projet'!$B$11,Paramètres!$A$1:$I$89,5,0)</f>
        <v>305.19839999999931</v>
      </c>
      <c r="BF136" s="13">
        <f t="shared" si="145"/>
        <v>72.265155774951651</v>
      </c>
      <c r="BG136" s="20">
        <f t="shared" si="115"/>
        <v>657.4156929747063</v>
      </c>
      <c r="BH136" s="59">
        <f t="shared" si="116"/>
        <v>950.74902630803967</v>
      </c>
      <c r="BI136" s="59">
        <f ca="1">AVERAGE(OFFSET($BH$3,0,0,'Données projet'!$E$11+1,1))-AVERAGE(OFFSET($H$3,0,0,'Données projet'!$E$11+1,1))</f>
        <v>340.76197766679212</v>
      </c>
      <c r="BJ136" s="59">
        <f t="shared" si="146"/>
        <v>199.70700738826872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3</v>
      </c>
      <c r="BY136" s="12">
        <f>IF('Données projet'!$A$114&gt;35,BY135+BX136-CG135,IF(A136&lt;'Données projet'!$A$114,$BV$205^A136,IF(A136='Données projet'!$A$114,'Données projet'!$B$114,BY135+BX136-CG135)))</f>
        <v>291.99999999999932</v>
      </c>
      <c r="BZ136" s="13">
        <f>BY136*VLOOKUP('Données projet'!$B$12,Paramètres!$A$1:$I$89,3,0)*VLOOKUP('Données projet'!$B$12,Paramètres!$A$1:$I$89,5,0)</f>
        <v>314.30879999999922</v>
      </c>
      <c r="CA136" s="13">
        <f t="shared" si="147"/>
        <v>74.16795491842224</v>
      </c>
      <c r="CB136" s="20">
        <f t="shared" si="118"/>
        <v>676.59701481625063</v>
      </c>
      <c r="CC136" s="59">
        <f t="shared" si="119"/>
        <v>969.93034814958401</v>
      </c>
      <c r="CD136" s="59">
        <f ca="1">AVERAGE(OFFSET($CC$3,0,0,'Données projet'!$E$12+1,1))-AVERAGE(OFFSET($H$3,0,0,'Données projet'!$E$12+1,1))</f>
        <v>354.06521046071936</v>
      </c>
      <c r="CE136" s="59">
        <f t="shared" si="148"/>
        <v>206.22956332364367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3</v>
      </c>
      <c r="N137" s="13">
        <f>IF('Données projet'!$A$36&gt;35,N136+M137-V136,IF(A137&lt;'Données projet'!$A$36,$K$205^A137,IF(A137='Données projet'!$A$36,'Données projet'!$B$36,N136+M137-V136)))</f>
        <v>294.99999999999932</v>
      </c>
      <c r="O137" s="13">
        <f>N137*VLOOKUP('Données projet'!$B$9,Paramètres!$A$1:$I$89,3,0)*VLOOKUP('Données projet'!$B$9,Paramètres!$A$1:$I$89,5,0)</f>
        <v>266.91599999999937</v>
      </c>
      <c r="P137" s="13">
        <f t="shared" si="141"/>
        <v>64.194329696332005</v>
      </c>
      <c r="Q137" s="20">
        <f t="shared" si="108"/>
        <v>576.68382422111051</v>
      </c>
      <c r="R137" s="59">
        <f t="shared" si="109"/>
        <v>870.01715755444388</v>
      </c>
      <c r="S137" s="59">
        <f ca="1">AVERAGE(OFFSET($R$3,0,0,'Données projet'!$E$9+1,1))-AVERAGE(OFFSET($H$3,0,0,'Données projet'!$E$9+1,1))</f>
        <v>280.79223530986889</v>
      </c>
      <c r="T137" s="59">
        <f t="shared" si="142"/>
        <v>170.29932835468685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3</v>
      </c>
      <c r="AI137" s="13">
        <f>IF('Données projet'!$A$62&gt;35,AI136+AH137-AQ136,IF(A137&lt;'Données projet'!$A$62,$AF$205^A137,IF(A137='Données projet'!$A$62,'Données projet'!$B$62,AI136+AH137-AQ136)))</f>
        <v>294.99999999999932</v>
      </c>
      <c r="AJ137" s="13">
        <f>AI137*VLOOKUP('Données projet'!$B$10,Paramètres!$A$1:$I$89,3,0)*VLOOKUP('Données projet'!$B$10,Paramètres!$A$1:$I$89,5,0)</f>
        <v>299.12999999999937</v>
      </c>
      <c r="AK137" s="13">
        <f t="shared" si="143"/>
        <v>70.994047242337089</v>
      </c>
      <c r="AL137" s="20">
        <f t="shared" si="112"/>
        <v>644.63271561373597</v>
      </c>
      <c r="AM137" s="59">
        <f t="shared" si="113"/>
        <v>937.96604894706934</v>
      </c>
      <c r="AN137" s="59">
        <f ca="1">AVERAGE(OFFSET($AM$3,0,0,'Données projet'!$E$10+1,1))-AVERAGE(OFFSET($H$3,0,0,'Données projet'!$E$10+1,1))</f>
        <v>327.4505861600158</v>
      </c>
      <c r="AO137" s="59">
        <f t="shared" si="144"/>
        <v>193.18009444354595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3</v>
      </c>
      <c r="BD137" s="12">
        <f>IF('Données projet'!$A$88&gt;35,BD136+BC137-BL136,IF(A137&lt;'Données projet'!$A$88,$BA$205^A137,IF(A137='Données projet'!$A$88,'Données projet'!$B$88,BD136+BC137-BL136)))</f>
        <v>294.99999999999932</v>
      </c>
      <c r="BE137" s="13">
        <f>BD137*VLOOKUP('Données projet'!$B$11,Paramètres!$A$1:$I$89,3,0)*VLOOKUP('Données projet'!$B$11,Paramètres!$A$1:$I$89,5,0)</f>
        <v>308.33399999999932</v>
      </c>
      <c r="BF137" s="13">
        <f t="shared" si="145"/>
        <v>72.920794020927147</v>
      </c>
      <c r="BG137" s="20">
        <f t="shared" si="115"/>
        <v>664.01876625311354</v>
      </c>
      <c r="BH137" s="59">
        <f t="shared" si="116"/>
        <v>957.35209958644691</v>
      </c>
      <c r="BI137" s="59">
        <f ca="1">AVERAGE(OFFSET($BH$3,0,0,'Données projet'!$E$11+1,1))-AVERAGE(OFFSET($H$3,0,0,'Données projet'!$E$11+1,1))</f>
        <v>340.76197766679212</v>
      </c>
      <c r="BJ137" s="59">
        <f t="shared" si="146"/>
        <v>199.70700738826872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3</v>
      </c>
      <c r="BY137" s="12">
        <f>IF('Données projet'!$A$114&gt;35,BY136+BX137-CG136,IF(A137&lt;'Données projet'!$A$114,$BV$205^A137,IF(A137='Données projet'!$A$114,'Données projet'!$B$114,BY136+BX137-CG136)))</f>
        <v>294.99999999999932</v>
      </c>
      <c r="BZ137" s="13">
        <f>BY137*VLOOKUP('Données projet'!$B$12,Paramètres!$A$1:$I$89,3,0)*VLOOKUP('Données projet'!$B$12,Paramètres!$A$1:$I$89,5,0)</f>
        <v>317.53799999999922</v>
      </c>
      <c r="CA137" s="13">
        <f t="shared" si="147"/>
        <v>74.840856641926919</v>
      </c>
      <c r="CB137" s="20">
        <f t="shared" si="118"/>
        <v>683.39317531802135</v>
      </c>
      <c r="CC137" s="59">
        <f t="shared" si="119"/>
        <v>976.72650865135461</v>
      </c>
      <c r="CD137" s="59">
        <f ca="1">AVERAGE(OFFSET($CC$3,0,0,'Données projet'!$E$12+1,1))-AVERAGE(OFFSET($H$3,0,0,'Données projet'!$E$12+1,1))</f>
        <v>354.06521046071936</v>
      </c>
      <c r="CE137" s="59">
        <f t="shared" si="148"/>
        <v>206.22956332364367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>
        <f>VLOOKUP(A138,'Données projet'!$A$35:$I$55,2,0)</f>
        <v>298</v>
      </c>
      <c r="L138" s="12">
        <f>VLOOKUP(A138,'Données projet'!$A$35:$I$55,9,0)</f>
        <v>3</v>
      </c>
      <c r="M138" s="12">
        <f t="array" ref="M138">INDEX(L:L,MIN(IF(ISNUMBER(L138:L334),ROW(L138:L334),"")))</f>
        <v>3</v>
      </c>
      <c r="N138" s="13">
        <f>IF('Données projet'!$A$36&gt;35,N137+M138-V137,IF(A138&lt;'Données projet'!$A$36,$K$205^A138,IF(A138='Données projet'!$A$36,'Données projet'!$B$36,N137+M138-V137)))</f>
        <v>297.99999999999932</v>
      </c>
      <c r="O138" s="13">
        <f>N138*VLOOKUP('Données projet'!$B$9,Paramètres!$A$1:$I$89,3,0)*VLOOKUP('Données projet'!$B$9,Paramètres!$A$1:$I$89,5,0)</f>
        <v>269.63039999999938</v>
      </c>
      <c r="P138" s="13">
        <f t="shared" si="141"/>
        <v>64.770824587435968</v>
      </c>
      <c r="Q138" s="20">
        <f t="shared" si="108"/>
        <v>582.41546615644995</v>
      </c>
      <c r="R138" s="59">
        <f t="shared" si="109"/>
        <v>875.74879948978332</v>
      </c>
      <c r="S138" s="59">
        <f ca="1">AVERAGE(OFFSET($R$3,0,0,'Données projet'!$E$9+1,1))-AVERAGE(OFFSET($H$3,0,0,'Données projet'!$E$9+1,1))</f>
        <v>280.79223530986889</v>
      </c>
      <c r="T138" s="59">
        <f t="shared" si="142"/>
        <v>170.29932835468685</v>
      </c>
      <c r="U138" s="15">
        <f>IF(ISNA(VLOOKUP(A138,'Données projet'!$A$35:$I$55,3,0)),0,VLOOKUP(A138,'Données projet'!$A$35:$I$55,3,0))</f>
        <v>12</v>
      </c>
      <c r="V138" s="15">
        <f>IF(ISNA(VLOOKUP(A138,'Données projet'!$A$35:$I$55,4,0)),0,VLOOKUP(A138,'Données projet'!$A$35:$I$55,4,0))</f>
        <v>29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>
        <f>VLOOKUP(A138,'Données projet'!$A$61:$I$81,2,0)</f>
        <v>298</v>
      </c>
      <c r="AG138" s="12">
        <f>VLOOKUP(A138,'Données projet'!$A$61:$I$81,9,0)</f>
        <v>3</v>
      </c>
      <c r="AH138" s="12">
        <f t="array" ref="AH138">INDEX(AG:AG,MIN(IF(ISNUMBER(AG138:AG334),ROW(AG138:AG334),"")))</f>
        <v>3</v>
      </c>
      <c r="AI138" s="13">
        <f>IF('Données projet'!$A$62&gt;35,AI137+AH138-AQ137,IF(A138&lt;'Données projet'!$A$62,$AF$205^A138,IF(A138='Données projet'!$A$62,'Données projet'!$B$62,AI137+AH138-AQ137)))</f>
        <v>297.99999999999932</v>
      </c>
      <c r="AJ138" s="13">
        <f>AI138*VLOOKUP('Données projet'!$B$10,Paramètres!$A$1:$I$89,3,0)*VLOOKUP('Données projet'!$B$10,Paramètres!$A$1:$I$89,5,0)</f>
        <v>302.17199999999934</v>
      </c>
      <c r="AK138" s="13">
        <f t="shared" si="143"/>
        <v>71.631606754643101</v>
      </c>
      <c r="AL138" s="20">
        <f t="shared" si="112"/>
        <v>651.04128176433551</v>
      </c>
      <c r="AM138" s="59">
        <f t="shared" si="113"/>
        <v>944.37461509766877</v>
      </c>
      <c r="AN138" s="59">
        <f ca="1">AVERAGE(OFFSET($AM$3,0,0,'Données projet'!$E$10+1,1))-AVERAGE(OFFSET($H$3,0,0,'Données projet'!$E$10+1,1))</f>
        <v>327.4505861600158</v>
      </c>
      <c r="AO138" s="59">
        <f t="shared" si="144"/>
        <v>193.18009444354595</v>
      </c>
      <c r="AP138" s="15">
        <f>IF(ISNA(VLOOKUP(A138,'Données projet'!$A$61:$I$81,3,0)),0,VLOOKUP(A138,'Données projet'!$A$61:$I$81,3,0))</f>
        <v>12</v>
      </c>
      <c r="AQ138" s="15">
        <f>IF(ISNA(VLOOKUP(A138,'Données projet'!$A$61:$I$81,4,0)),0,VLOOKUP(A138,'Données projet'!$A$61:$I$81,4,0))</f>
        <v>29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>
        <f>VLOOKUP(A138,'Données projet'!$A$87:$I$107,2,0)</f>
        <v>298</v>
      </c>
      <c r="BB138" s="12">
        <f>VLOOKUP(A138,'Données projet'!$A$87:$I$107,9,0)</f>
        <v>3</v>
      </c>
      <c r="BC138" s="12">
        <f t="array" ref="BC138">INDEX(BB:BB,MIN(IF(ISNUMBER(BB138:BB334),ROW(BB138:BB334),"")))</f>
        <v>3</v>
      </c>
      <c r="BD138" s="12">
        <f>IF('Données projet'!$A$88&gt;35,BD137+BC138-BL137,IF(A138&lt;'Données projet'!$A$88,$BA$205^A138,IF(A138='Données projet'!$A$88,'Données projet'!$B$88,BD137+BC138-BL137)))</f>
        <v>297.99999999999932</v>
      </c>
      <c r="BE138" s="13">
        <f>BD138*VLOOKUP('Données projet'!$B$11,Paramètres!$A$1:$I$89,3,0)*VLOOKUP('Données projet'!$B$11,Paramètres!$A$1:$I$89,5,0)</f>
        <v>311.46959999999928</v>
      </c>
      <c r="BF138" s="13">
        <f t="shared" si="145"/>
        <v>73.575656614043538</v>
      </c>
      <c r="BG138" s="20">
        <f t="shared" si="115"/>
        <v>670.62048860279128</v>
      </c>
      <c r="BH138" s="59">
        <f t="shared" si="116"/>
        <v>963.95382193612454</v>
      </c>
      <c r="BI138" s="59">
        <f ca="1">AVERAGE(OFFSET($BH$3,0,0,'Données projet'!$E$11+1,1))-AVERAGE(OFFSET($H$3,0,0,'Données projet'!$E$11+1,1))</f>
        <v>340.76197766679212</v>
      </c>
      <c r="BJ138" s="59">
        <f t="shared" si="146"/>
        <v>199.70700738826872</v>
      </c>
      <c r="BK138" s="15">
        <f>IF(ISNA(VLOOKUP(A138,'Données projet'!$A$87:$I$107,3,0)),0,VLOOKUP(A138,'Données projet'!$A$87:$I$107,3,0))</f>
        <v>12</v>
      </c>
      <c r="BL138" s="15">
        <f>IF(ISNA(VLOOKUP(A138,'Données projet'!$A$87:$I$107,4,0)),0,VLOOKUP(A138,'Données projet'!$A$87:$I$107,4,0))</f>
        <v>29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>
        <f>VLOOKUP(A138,'Données projet'!$A$113:$I$133,2,0)</f>
        <v>298</v>
      </c>
      <c r="BW138" s="12">
        <f>VLOOKUP(A138,'Données projet'!$A$113:$I$133,9,0)</f>
        <v>3</v>
      </c>
      <c r="BX138" s="12">
        <f t="array" ref="BX138">INDEX(BW:BW,MIN(IF(ISNUMBER(BW138:BW334),ROW(BW138:BW334),"")))</f>
        <v>3</v>
      </c>
      <c r="BY138" s="12">
        <f>IF('Données projet'!$A$114&gt;35,BY137+BX138-CG137,IF(A138&lt;'Données projet'!$A$114,$BV$205^A138,IF(A138='Données projet'!$A$114,'Données projet'!$B$114,BY137+BX138-CG137)))</f>
        <v>297.99999999999932</v>
      </c>
      <c r="BZ138" s="13">
        <f>BY138*VLOOKUP('Données projet'!$B$12,Paramètres!$A$1:$I$89,3,0)*VLOOKUP('Données projet'!$B$12,Paramètres!$A$1:$I$89,5,0)</f>
        <v>320.76719999999926</v>
      </c>
      <c r="CA138" s="13">
        <f t="shared" si="147"/>
        <v>75.512962289014695</v>
      </c>
      <c r="CB138" s="20">
        <f t="shared" si="118"/>
        <v>690.18794932003266</v>
      </c>
      <c r="CC138" s="59">
        <f t="shared" si="119"/>
        <v>983.52128265336592</v>
      </c>
      <c r="CD138" s="59">
        <f ca="1">AVERAGE(OFFSET($CC$3,0,0,'Données projet'!$E$12+1,1))-AVERAGE(OFFSET($H$3,0,0,'Données projet'!$E$12+1,1))</f>
        <v>354.06521046071936</v>
      </c>
      <c r="CE138" s="59">
        <f t="shared" si="148"/>
        <v>206.22956332364367</v>
      </c>
      <c r="CF138" s="15">
        <f>IF(ISNA(VLOOKUP(A138,'Données projet'!$A$113:$I$133,3,0)),0,VLOOKUP(A138,'Données projet'!$A$113:$I$133,3,0))</f>
        <v>12</v>
      </c>
      <c r="CG138" s="15">
        <f>IF(ISNA(VLOOKUP(A138,'Données projet'!$A$113:$I$133,4,0)),0,VLOOKUP(A138,'Données projet'!$A$113:$I$133,4,0))</f>
        <v>29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2.6</v>
      </c>
      <c r="N139" s="13">
        <f>IF('Données projet'!$A$36&gt;35,N138+M139-V138,IF(A139&lt;'Données projet'!$A$36,$K$205^A139,IF(A139='Données projet'!$A$36,'Données projet'!$B$36,N138+M139-V138)))</f>
        <v>271.59999999999934</v>
      </c>
      <c r="O139" s="13">
        <f>N139*VLOOKUP('Données projet'!$B$9,Paramètres!$A$1:$I$89,3,0)*VLOOKUP('Données projet'!$B$9,Paramètres!$A$1:$I$89,5,0)</f>
        <v>245.74367999999939</v>
      </c>
      <c r="P139" s="13">
        <f t="shared" si="141"/>
        <v>59.673605104126288</v>
      </c>
      <c r="Q139" s="20">
        <f t="shared" si="108"/>
        <v>531.93510488968548</v>
      </c>
      <c r="R139" s="59">
        <f t="shared" si="109"/>
        <v>825.26843822301885</v>
      </c>
      <c r="S139" s="59">
        <f ca="1">AVERAGE(OFFSET($R$3,0,0,'Données projet'!$E$9+1,1))-AVERAGE(OFFSET($H$3,0,0,'Données projet'!$E$9+1,1))</f>
        <v>280.79223530986889</v>
      </c>
      <c r="T139" s="59">
        <f t="shared" si="142"/>
        <v>170.29932835468685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2.6</v>
      </c>
      <c r="AI139" s="13">
        <f>IF('Données projet'!$A$62&gt;35,AI138+AH139-AQ138,IF(A139&lt;'Données projet'!$A$62,$AF$205^A139,IF(A139='Données projet'!$A$62,'Données projet'!$B$62,AI138+AH139-AQ138)))</f>
        <v>271.59999999999934</v>
      </c>
      <c r="AJ139" s="13">
        <f>AI139*VLOOKUP('Données projet'!$B$10,Paramètres!$A$1:$I$89,3,0)*VLOOKUP('Données projet'!$B$10,Paramètres!$A$1:$I$89,5,0)</f>
        <v>275.40239999999932</v>
      </c>
      <c r="AK139" s="13">
        <f t="shared" si="143"/>
        <v>65.994469603831334</v>
      </c>
      <c r="AL139" s="20">
        <f t="shared" si="112"/>
        <v>594.59954789333835</v>
      </c>
      <c r="AM139" s="59">
        <f t="shared" si="113"/>
        <v>887.93288122667173</v>
      </c>
      <c r="AN139" s="59">
        <f ca="1">AVERAGE(OFFSET($AM$3,0,0,'Données projet'!$E$10+1,1))-AVERAGE(OFFSET($H$3,0,0,'Données projet'!$E$10+1,1))</f>
        <v>327.4505861600158</v>
      </c>
      <c r="AO139" s="59">
        <f t="shared" si="144"/>
        <v>193.18009444354595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2.6</v>
      </c>
      <c r="BD139" s="12">
        <f>IF('Données projet'!$A$88&gt;35,BD138+BC139-BL138,IF(A139&lt;'Données projet'!$A$88,$BA$205^A139,IF(A139='Données projet'!$A$88,'Données projet'!$B$88,BD138+BC139-BL138)))</f>
        <v>271.59999999999934</v>
      </c>
      <c r="BE139" s="13">
        <f>BD139*VLOOKUP('Données projet'!$B$11,Paramètres!$A$1:$I$89,3,0)*VLOOKUP('Données projet'!$B$11,Paramètres!$A$1:$I$89,5,0)</f>
        <v>283.87631999999934</v>
      </c>
      <c r="BF139" s="13">
        <f t="shared" si="145"/>
        <v>67.78553007513959</v>
      </c>
      <c r="BG139" s="20">
        <f t="shared" si="115"/>
        <v>612.4777222142003</v>
      </c>
      <c r="BH139" s="59">
        <f t="shared" si="116"/>
        <v>905.81105554753367</v>
      </c>
      <c r="BI139" s="59">
        <f ca="1">AVERAGE(OFFSET($BH$3,0,0,'Données projet'!$E$11+1,1))-AVERAGE(OFFSET($H$3,0,0,'Données projet'!$E$11+1,1))</f>
        <v>340.76197766679212</v>
      </c>
      <c r="BJ139" s="59">
        <f t="shared" si="146"/>
        <v>199.70700738826872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2.6</v>
      </c>
      <c r="BY139" s="12">
        <f>IF('Données projet'!$A$114&gt;35,BY138+BX139-CG138,IF(A139&lt;'Données projet'!$A$114,$BV$205^A139,IF(A139='Données projet'!$A$114,'Données projet'!$B$114,BY138+BX139-CG138)))</f>
        <v>271.59999999999934</v>
      </c>
      <c r="BZ139" s="13">
        <f>BY139*VLOOKUP('Données projet'!$B$12,Paramètres!$A$1:$I$89,3,0)*VLOOKUP('Données projet'!$B$12,Paramètres!$A$1:$I$89,5,0)</f>
        <v>292.3502399999993</v>
      </c>
      <c r="CA139" s="13">
        <f t="shared" si="147"/>
        <v>69.570377103884013</v>
      </c>
      <c r="CB139" s="20">
        <f t="shared" si="118"/>
        <v>630.34507478926355</v>
      </c>
      <c r="CC139" s="59">
        <f t="shared" si="119"/>
        <v>923.67840812259692</v>
      </c>
      <c r="CD139" s="59">
        <f ca="1">AVERAGE(OFFSET($CC$3,0,0,'Données projet'!$E$12+1,1))-AVERAGE(OFFSET($H$3,0,0,'Données projet'!$E$12+1,1))</f>
        <v>354.06521046071936</v>
      </c>
      <c r="CE139" s="59">
        <f t="shared" si="148"/>
        <v>206.22956332364367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2.6</v>
      </c>
      <c r="N140" s="13">
        <f>IF('Données projet'!$A$36&gt;35,N139+M140-V139,IF(A140&lt;'Données projet'!$A$36,$K$205^A140,IF(A140='Données projet'!$A$36,'Données projet'!$B$36,N139+M140-V139)))</f>
        <v>274.19999999999936</v>
      </c>
      <c r="O140" s="13">
        <f>N140*VLOOKUP('Données projet'!$B$9,Paramètres!$A$1:$I$89,3,0)*VLOOKUP('Données projet'!$B$9,Paramètres!$A$1:$I$89,5,0)</f>
        <v>248.09615999999943</v>
      </c>
      <c r="P140" s="13">
        <f t="shared" si="141"/>
        <v>60.178080967364579</v>
      </c>
      <c r="Q140" s="20">
        <f t="shared" si="108"/>
        <v>536.91096968482555</v>
      </c>
      <c r="R140" s="59">
        <f t="shared" si="109"/>
        <v>830.24430301815892</v>
      </c>
      <c r="S140" s="59">
        <f ca="1">AVERAGE(OFFSET($R$3,0,0,'Données projet'!$E$9+1,1))-AVERAGE(OFFSET($H$3,0,0,'Données projet'!$E$9+1,1))</f>
        <v>280.79223530986889</v>
      </c>
      <c r="T140" s="59">
        <f t="shared" si="142"/>
        <v>170.29932835468685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2.6</v>
      </c>
      <c r="AI140" s="13">
        <f>IF('Données projet'!$A$62&gt;35,AI139+AH140-AQ139,IF(A140&lt;'Données projet'!$A$62,$AF$205^A140,IF(A140='Données projet'!$A$62,'Données projet'!$B$62,AI139+AH140-AQ139)))</f>
        <v>274.19999999999936</v>
      </c>
      <c r="AJ140" s="13">
        <f>AI140*VLOOKUP('Données projet'!$B$10,Paramètres!$A$1:$I$89,3,0)*VLOOKUP('Données projet'!$B$10,Paramètres!$A$1:$I$89,5,0)</f>
        <v>278.03879999999936</v>
      </c>
      <c r="AK140" s="13">
        <f t="shared" si="143"/>
        <v>66.552381547717616</v>
      </c>
      <c r="AL140" s="20">
        <f t="shared" si="112"/>
        <v>600.16297452894037</v>
      </c>
      <c r="AM140" s="59">
        <f t="shared" si="113"/>
        <v>893.49630786227362</v>
      </c>
      <c r="AN140" s="59">
        <f ca="1">AVERAGE(OFFSET($AM$3,0,0,'Données projet'!$E$10+1,1))-AVERAGE(OFFSET($H$3,0,0,'Données projet'!$E$10+1,1))</f>
        <v>327.4505861600158</v>
      </c>
      <c r="AO140" s="59">
        <f t="shared" si="144"/>
        <v>193.18009444354595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2.6</v>
      </c>
      <c r="BD140" s="12">
        <f>IF('Données projet'!$A$88&gt;35,BD139+BC140-BL139,IF(A140&lt;'Données projet'!$A$88,$BA$205^A140,IF(A140='Données projet'!$A$88,'Données projet'!$B$88,BD139+BC140-BL139)))</f>
        <v>274.19999999999936</v>
      </c>
      <c r="BE140" s="13">
        <f>BD140*VLOOKUP('Données projet'!$B$11,Paramètres!$A$1:$I$89,3,0)*VLOOKUP('Données projet'!$B$11,Paramètres!$A$1:$I$89,5,0)</f>
        <v>286.59383999999932</v>
      </c>
      <c r="BF140" s="13">
        <f t="shared" si="145"/>
        <v>68.358583500352424</v>
      </c>
      <c r="BG140" s="20">
        <f t="shared" si="115"/>
        <v>618.2088042631126</v>
      </c>
      <c r="BH140" s="59">
        <f t="shared" si="116"/>
        <v>911.54213759644585</v>
      </c>
      <c r="BI140" s="59">
        <f ca="1">AVERAGE(OFFSET($BH$3,0,0,'Données projet'!$E$11+1,1))-AVERAGE(OFFSET($H$3,0,0,'Données projet'!$E$11+1,1))</f>
        <v>340.76197766679212</v>
      </c>
      <c r="BJ140" s="59">
        <f t="shared" si="146"/>
        <v>199.70700738826872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2.6</v>
      </c>
      <c r="BY140" s="12">
        <f>IF('Données projet'!$A$114&gt;35,BY139+BX140-CG139,IF(A140&lt;'Données projet'!$A$114,$BV$205^A140,IF(A140='Données projet'!$A$114,'Données projet'!$B$114,BY139+BX140-CG139)))</f>
        <v>274.19999999999936</v>
      </c>
      <c r="BZ140" s="13">
        <f>BY140*VLOOKUP('Données projet'!$B$12,Paramètres!$A$1:$I$89,3,0)*VLOOKUP('Données projet'!$B$12,Paramètres!$A$1:$I$89,5,0)</f>
        <v>295.14887999999934</v>
      </c>
      <c r="CA140" s="13">
        <f t="shared" si="147"/>
        <v>70.158519482479221</v>
      </c>
      <c r="CB140" s="20">
        <f t="shared" si="118"/>
        <v>636.24372076531688</v>
      </c>
      <c r="CC140" s="59">
        <f t="shared" si="119"/>
        <v>929.57705409865025</v>
      </c>
      <c r="CD140" s="59">
        <f ca="1">AVERAGE(OFFSET($CC$3,0,0,'Données projet'!$E$12+1,1))-AVERAGE(OFFSET($H$3,0,0,'Données projet'!$E$12+1,1))</f>
        <v>354.06521046071936</v>
      </c>
      <c r="CE140" s="59">
        <f t="shared" si="148"/>
        <v>206.22956332364367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2.6</v>
      </c>
      <c r="N141" s="13">
        <f>IF('Données projet'!$A$36&gt;35,N140+M141-V140,IF(A141&lt;'Données projet'!$A$36,$K$205^A141,IF(A141='Données projet'!$A$36,'Données projet'!$B$36,N140+M141-V140)))</f>
        <v>276.79999999999939</v>
      </c>
      <c r="O141" s="13">
        <f>N141*VLOOKUP('Données projet'!$B$9,Paramètres!$A$1:$I$89,3,0)*VLOOKUP('Données projet'!$B$9,Paramètres!$A$1:$I$89,5,0)</f>
        <v>250.44863999999944</v>
      </c>
      <c r="P141" s="13">
        <f t="shared" si="141"/>
        <v>60.682000328889892</v>
      </c>
      <c r="Q141" s="20">
        <f t="shared" si="108"/>
        <v>541.88586523948231</v>
      </c>
      <c r="R141" s="59">
        <f t="shared" si="109"/>
        <v>835.21919857281569</v>
      </c>
      <c r="S141" s="59">
        <f ca="1">AVERAGE(OFFSET($R$3,0,0,'Données projet'!$E$9+1,1))-AVERAGE(OFFSET($H$3,0,0,'Données projet'!$E$9+1,1))</f>
        <v>280.79223530986889</v>
      </c>
      <c r="T141" s="59">
        <f t="shared" si="142"/>
        <v>170.29932835468685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2.6</v>
      </c>
      <c r="AI141" s="13">
        <f>IF('Données projet'!$A$62&gt;35,AI140+AH141-AQ140,IF(A141&lt;'Données projet'!$A$62,$AF$205^A141,IF(A141='Données projet'!$A$62,'Données projet'!$B$62,AI140+AH141-AQ140)))</f>
        <v>276.79999999999939</v>
      </c>
      <c r="AJ141" s="13">
        <f>AI141*VLOOKUP('Données projet'!$B$10,Paramètres!$A$1:$I$89,3,0)*VLOOKUP('Données projet'!$B$10,Paramètres!$A$1:$I$89,5,0)</f>
        <v>280.67519999999939</v>
      </c>
      <c r="AK141" s="13">
        <f t="shared" si="143"/>
        <v>67.109678043026364</v>
      </c>
      <c r="AL141" s="20">
        <f t="shared" si="112"/>
        <v>605.72532925826988</v>
      </c>
      <c r="AM141" s="59">
        <f t="shared" si="113"/>
        <v>899.05866259160325</v>
      </c>
      <c r="AN141" s="59">
        <f ca="1">AVERAGE(OFFSET($AM$3,0,0,'Données projet'!$E$10+1,1))-AVERAGE(OFFSET($H$3,0,0,'Données projet'!$E$10+1,1))</f>
        <v>327.4505861600158</v>
      </c>
      <c r="AO141" s="59">
        <f t="shared" si="144"/>
        <v>193.18009444354595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2.6</v>
      </c>
      <c r="BD141" s="12">
        <f>IF('Données projet'!$A$88&gt;35,BD140+BC141-BL140,IF(A141&lt;'Données projet'!$A$88,$BA$205^A141,IF(A141='Données projet'!$A$88,'Données projet'!$B$88,BD140+BC141-BL140)))</f>
        <v>276.79999999999939</v>
      </c>
      <c r="BE141" s="13">
        <f>BD141*VLOOKUP('Données projet'!$B$11,Paramètres!$A$1:$I$89,3,0)*VLOOKUP('Données projet'!$B$11,Paramètres!$A$1:$I$89,5,0)</f>
        <v>289.31135999999935</v>
      </c>
      <c r="BF141" s="13">
        <f t="shared" si="145"/>
        <v>68.931004773987866</v>
      </c>
      <c r="BG141" s="20">
        <f t="shared" si="115"/>
        <v>623.93878531469443</v>
      </c>
      <c r="BH141" s="59">
        <f t="shared" si="116"/>
        <v>917.2721186480278</v>
      </c>
      <c r="BI141" s="59">
        <f ca="1">AVERAGE(OFFSET($BH$3,0,0,'Données projet'!$E$11+1,1))-AVERAGE(OFFSET($H$3,0,0,'Données projet'!$E$11+1,1))</f>
        <v>340.76197766679212</v>
      </c>
      <c r="BJ141" s="59">
        <f t="shared" si="146"/>
        <v>199.70700738826872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2.6</v>
      </c>
      <c r="BY141" s="12">
        <f>IF('Données projet'!$A$114&gt;35,BY140+BX141-CG140,IF(A141&lt;'Données projet'!$A$114,$BV$205^A141,IF(A141='Données projet'!$A$114,'Données projet'!$B$114,BY140+BX141-CG140)))</f>
        <v>276.79999999999939</v>
      </c>
      <c r="BZ141" s="13">
        <f>BY141*VLOOKUP('Données projet'!$B$12,Paramètres!$A$1:$I$89,3,0)*VLOOKUP('Données projet'!$B$12,Paramètres!$A$1:$I$89,5,0)</f>
        <v>297.94751999999932</v>
      </c>
      <c r="CA141" s="13">
        <f t="shared" si="147"/>
        <v>70.746013064442209</v>
      </c>
      <c r="CB141" s="20">
        <f t="shared" si="118"/>
        <v>642.14123675390226</v>
      </c>
      <c r="CC141" s="59">
        <f t="shared" si="119"/>
        <v>935.47457008723563</v>
      </c>
      <c r="CD141" s="59">
        <f ca="1">AVERAGE(OFFSET($CC$3,0,0,'Données projet'!$E$12+1,1))-AVERAGE(OFFSET($H$3,0,0,'Données projet'!$E$12+1,1))</f>
        <v>354.06521046071936</v>
      </c>
      <c r="CE141" s="59">
        <f t="shared" si="148"/>
        <v>206.22956332364367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2.6</v>
      </c>
      <c r="N142" s="13">
        <f>IF('Données projet'!$A$36&gt;35,N141+M142-V141,IF(A142&lt;'Données projet'!$A$36,$K$205^A142,IF(A142='Données projet'!$A$36,'Données projet'!$B$36,N141+M142-V141)))</f>
        <v>279.39999999999941</v>
      </c>
      <c r="O142" s="13">
        <f>N142*VLOOKUP('Données projet'!$B$9,Paramètres!$A$1:$I$89,3,0)*VLOOKUP('Données projet'!$B$9,Paramètres!$A$1:$I$89,5,0)</f>
        <v>252.80111999999946</v>
      </c>
      <c r="P142" s="13">
        <f t="shared" si="141"/>
        <v>61.185369021394152</v>
      </c>
      <c r="Q142" s="20">
        <f t="shared" si="108"/>
        <v>546.85980171226049</v>
      </c>
      <c r="R142" s="59">
        <f t="shared" si="109"/>
        <v>840.19313504559386</v>
      </c>
      <c r="S142" s="59">
        <f ca="1">AVERAGE(OFFSET($R$3,0,0,'Données projet'!$E$9+1,1))-AVERAGE(OFFSET($H$3,0,0,'Données projet'!$E$9+1,1))</f>
        <v>280.79223530986889</v>
      </c>
      <c r="T142" s="59">
        <f t="shared" si="142"/>
        <v>170.29932835468685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2.6</v>
      </c>
      <c r="AI142" s="13">
        <f>IF('Données projet'!$A$62&gt;35,AI141+AH142-AQ141,IF(A142&lt;'Données projet'!$A$62,$AF$205^A142,IF(A142='Données projet'!$A$62,'Données projet'!$B$62,AI141+AH142-AQ141)))</f>
        <v>279.39999999999941</v>
      </c>
      <c r="AJ142" s="13">
        <f>AI142*VLOOKUP('Données projet'!$B$10,Paramètres!$A$1:$I$89,3,0)*VLOOKUP('Données projet'!$B$10,Paramètres!$A$1:$I$89,5,0)</f>
        <v>283.31159999999943</v>
      </c>
      <c r="AK142" s="13">
        <f t="shared" si="143"/>
        <v>67.666365540271144</v>
      </c>
      <c r="AL142" s="20">
        <f t="shared" si="112"/>
        <v>611.28662331597127</v>
      </c>
      <c r="AM142" s="59">
        <f t="shared" si="113"/>
        <v>904.61995664930464</v>
      </c>
      <c r="AN142" s="59">
        <f ca="1">AVERAGE(OFFSET($AM$3,0,0,'Données projet'!$E$10+1,1))-AVERAGE(OFFSET($H$3,0,0,'Données projet'!$E$10+1,1))</f>
        <v>327.4505861600158</v>
      </c>
      <c r="AO142" s="59">
        <f t="shared" si="144"/>
        <v>193.18009444354595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2.6</v>
      </c>
      <c r="BD142" s="12">
        <f>IF('Données projet'!$A$88&gt;35,BD141+BC142-BL141,IF(A142&lt;'Données projet'!$A$88,$BA$205^A142,IF(A142='Données projet'!$A$88,'Données projet'!$B$88,BD141+BC142-BL141)))</f>
        <v>279.39999999999941</v>
      </c>
      <c r="BE142" s="13">
        <f>BD142*VLOOKUP('Données projet'!$B$11,Paramètres!$A$1:$I$89,3,0)*VLOOKUP('Données projet'!$B$11,Paramètres!$A$1:$I$89,5,0)</f>
        <v>292.02887999999939</v>
      </c>
      <c r="BF142" s="13">
        <f t="shared" si="145"/>
        <v>69.502800521623513</v>
      </c>
      <c r="BG142" s="20">
        <f t="shared" si="115"/>
        <v>629.66767690849326</v>
      </c>
      <c r="BH142" s="59">
        <f t="shared" si="116"/>
        <v>923.00101024182663</v>
      </c>
      <c r="BI142" s="59">
        <f ca="1">AVERAGE(OFFSET($BH$3,0,0,'Données projet'!$E$11+1,1))-AVERAGE(OFFSET($H$3,0,0,'Données projet'!$E$11+1,1))</f>
        <v>340.76197766679212</v>
      </c>
      <c r="BJ142" s="59">
        <f t="shared" si="146"/>
        <v>199.70700738826872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2.6</v>
      </c>
      <c r="BY142" s="12">
        <f>IF('Données projet'!$A$114&gt;35,BY141+BX142-CG141,IF(A142&lt;'Données projet'!$A$114,$BV$205^A142,IF(A142='Données projet'!$A$114,'Données projet'!$B$114,BY141+BX142-CG141)))</f>
        <v>279.39999999999941</v>
      </c>
      <c r="BZ142" s="13">
        <f>BY142*VLOOKUP('Données projet'!$B$12,Paramètres!$A$1:$I$89,3,0)*VLOOKUP('Données projet'!$B$12,Paramètres!$A$1:$I$89,5,0)</f>
        <v>300.74615999999935</v>
      </c>
      <c r="CA142" s="13">
        <f t="shared" si="147"/>
        <v>71.332864649807306</v>
      </c>
      <c r="CB142" s="20">
        <f t="shared" si="118"/>
        <v>648.03763459841321</v>
      </c>
      <c r="CC142" s="59">
        <f t="shared" si="119"/>
        <v>941.37096793174646</v>
      </c>
      <c r="CD142" s="59">
        <f ca="1">AVERAGE(OFFSET($CC$3,0,0,'Données projet'!$E$12+1,1))-AVERAGE(OFFSET($H$3,0,0,'Données projet'!$E$12+1,1))</f>
        <v>354.06521046071936</v>
      </c>
      <c r="CE142" s="59">
        <f t="shared" si="148"/>
        <v>206.22956332364367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2.6</v>
      </c>
      <c r="N143" s="13">
        <f>IF('Données projet'!$A$36&gt;35,N142+M143-V142,IF(A143&lt;'Données projet'!$A$36,$K$205^A143,IF(A143='Données projet'!$A$36,'Données projet'!$B$36,N142+M143-V142)))</f>
        <v>281.99999999999943</v>
      </c>
      <c r="O143" s="13">
        <f>N143*VLOOKUP('Données projet'!$B$9,Paramètres!$A$1:$I$89,3,0)*VLOOKUP('Données projet'!$B$9,Paramètres!$A$1:$I$89,5,0)</f>
        <v>255.15359999999947</v>
      </c>
      <c r="P143" s="13">
        <f t="shared" si="141"/>
        <v>61.688192762754319</v>
      </c>
      <c r="Q143" s="20">
        <f t="shared" si="108"/>
        <v>551.83278906179623</v>
      </c>
      <c r="R143" s="59">
        <f t="shared" si="109"/>
        <v>845.16612239512961</v>
      </c>
      <c r="S143" s="59">
        <f ca="1">AVERAGE(OFFSET($R$3,0,0,'Données projet'!$E$9+1,1))-AVERAGE(OFFSET($H$3,0,0,'Données projet'!$E$9+1,1))</f>
        <v>280.79223530986889</v>
      </c>
      <c r="T143" s="59">
        <f t="shared" si="142"/>
        <v>170.29932835468685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2.6</v>
      </c>
      <c r="AI143" s="13">
        <f>IF('Données projet'!$A$62&gt;35,AI142+AH143-AQ142,IF(A143&lt;'Données projet'!$A$62,$AF$205^A143,IF(A143='Données projet'!$A$62,'Données projet'!$B$62,AI142+AH143-AQ142)))</f>
        <v>281.99999999999943</v>
      </c>
      <c r="AJ143" s="13">
        <f>AI143*VLOOKUP('Données projet'!$B$10,Paramètres!$A$1:$I$89,3,0)*VLOOKUP('Données projet'!$B$10,Paramètres!$A$1:$I$89,5,0)</f>
        <v>285.94799999999947</v>
      </c>
      <c r="AK143" s="13">
        <f t="shared" si="143"/>
        <v>68.222450362989306</v>
      </c>
      <c r="AL143" s="20">
        <f t="shared" si="112"/>
        <v>616.84686771553879</v>
      </c>
      <c r="AM143" s="59">
        <f t="shared" si="113"/>
        <v>910.18020104887205</v>
      </c>
      <c r="AN143" s="59">
        <f ca="1">AVERAGE(OFFSET($AM$3,0,0,'Données projet'!$E$10+1,1))-AVERAGE(OFFSET($H$3,0,0,'Données projet'!$E$10+1,1))</f>
        <v>327.4505861600158</v>
      </c>
      <c r="AO143" s="59">
        <f t="shared" si="144"/>
        <v>193.18009444354595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2.6</v>
      </c>
      <c r="BD143" s="12">
        <f>IF('Données projet'!$A$88&gt;35,BD142+BC143-BL142,IF(A143&lt;'Données projet'!$A$88,$BA$205^A143,IF(A143='Données projet'!$A$88,'Données projet'!$B$88,BD142+BC143-BL142)))</f>
        <v>281.99999999999943</v>
      </c>
      <c r="BE143" s="13">
        <f>BD143*VLOOKUP('Données projet'!$B$11,Paramètres!$A$1:$I$89,3,0)*VLOOKUP('Données projet'!$B$11,Paramètres!$A$1:$I$89,5,0)</f>
        <v>294.74639999999943</v>
      </c>
      <c r="BF143" s="13">
        <f t="shared" si="145"/>
        <v>70.07397723841467</v>
      </c>
      <c r="BG143" s="20">
        <f t="shared" si="115"/>
        <v>635.39549035690447</v>
      </c>
      <c r="BH143" s="59">
        <f t="shared" si="116"/>
        <v>928.72882369023773</v>
      </c>
      <c r="BI143" s="59">
        <f ca="1">AVERAGE(OFFSET($BH$3,0,0,'Données projet'!$E$11+1,1))-AVERAGE(OFFSET($H$3,0,0,'Données projet'!$E$11+1,1))</f>
        <v>340.76197766679212</v>
      </c>
      <c r="BJ143" s="59">
        <f t="shared" si="146"/>
        <v>199.70700738826872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2.6</v>
      </c>
      <c r="BY143" s="12">
        <f>IF('Données projet'!$A$114&gt;35,BY142+BX143-CG142,IF(A143&lt;'Données projet'!$A$114,$BV$205^A143,IF(A143='Données projet'!$A$114,'Données projet'!$B$114,BY142+BX143-CG142)))</f>
        <v>281.99999999999943</v>
      </c>
      <c r="BZ143" s="13">
        <f>BY143*VLOOKUP('Données projet'!$B$12,Paramètres!$A$1:$I$89,3,0)*VLOOKUP('Données projet'!$B$12,Paramètres!$A$1:$I$89,5,0)</f>
        <v>303.54479999999938</v>
      </c>
      <c r="CA143" s="13">
        <f t="shared" si="147"/>
        <v>71.919080904752448</v>
      </c>
      <c r="CB143" s="20">
        <f t="shared" si="118"/>
        <v>653.93292590910937</v>
      </c>
      <c r="CC143" s="59">
        <f t="shared" si="119"/>
        <v>947.26625924244263</v>
      </c>
      <c r="CD143" s="59">
        <f ca="1">AVERAGE(OFFSET($CC$3,0,0,'Données projet'!$E$12+1,1))-AVERAGE(OFFSET($H$3,0,0,'Données projet'!$E$12+1,1))</f>
        <v>354.06521046071936</v>
      </c>
      <c r="CE143" s="59">
        <f t="shared" si="148"/>
        <v>206.22956332364367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2.6</v>
      </c>
      <c r="N144" s="13">
        <f>IF('Données projet'!$A$36&gt;35,N143+M144-V143,IF(A144&lt;'Données projet'!$A$36,$K$205^A144,IF(A144='Données projet'!$A$36,'Données projet'!$B$36,N143+M144-V143)))</f>
        <v>284.59999999999945</v>
      </c>
      <c r="O144" s="13">
        <f>N144*VLOOKUP('Données projet'!$B$9,Paramètres!$A$1:$I$89,3,0)*VLOOKUP('Données projet'!$B$9,Paramètres!$A$1:$I$89,5,0)</f>
        <v>257.50607999999949</v>
      </c>
      <c r="P144" s="13">
        <f t="shared" si="141"/>
        <v>62.190477159330406</v>
      </c>
      <c r="Q144" s="20">
        <f t="shared" si="108"/>
        <v>556.80483705249947</v>
      </c>
      <c r="R144" s="59">
        <f t="shared" si="109"/>
        <v>850.13817038583284</v>
      </c>
      <c r="S144" s="59">
        <f ca="1">AVERAGE(OFFSET($R$3,0,0,'Données projet'!$E$9+1,1))-AVERAGE(OFFSET($H$3,0,0,'Données projet'!$E$9+1,1))</f>
        <v>280.79223530986889</v>
      </c>
      <c r="T144" s="59">
        <f t="shared" si="142"/>
        <v>170.29932835468685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2.6</v>
      </c>
      <c r="AI144" s="13">
        <f>IF('Données projet'!$A$62&gt;35,AI143+AH144-AQ143,IF(A144&lt;'Données projet'!$A$62,$AF$205^A144,IF(A144='Données projet'!$A$62,'Données projet'!$B$62,AI143+AH144-AQ143)))</f>
        <v>284.59999999999945</v>
      </c>
      <c r="AJ144" s="13">
        <f>AI144*VLOOKUP('Données projet'!$B$10,Paramètres!$A$1:$I$89,3,0)*VLOOKUP('Données projet'!$B$10,Paramètres!$A$1:$I$89,5,0)</f>
        <v>288.58439999999945</v>
      </c>
      <c r="AK144" s="13">
        <f t="shared" si="143"/>
        <v>68.777938711388487</v>
      </c>
      <c r="AL144" s="20">
        <f t="shared" si="112"/>
        <v>622.40607325566725</v>
      </c>
      <c r="AM144" s="59">
        <f t="shared" si="113"/>
        <v>915.73940658900051</v>
      </c>
      <c r="AN144" s="59">
        <f ca="1">AVERAGE(OFFSET($AM$3,0,0,'Données projet'!$E$10+1,1))-AVERAGE(OFFSET($H$3,0,0,'Données projet'!$E$10+1,1))</f>
        <v>327.4505861600158</v>
      </c>
      <c r="AO144" s="59">
        <f t="shared" si="144"/>
        <v>193.18009444354595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2.6</v>
      </c>
      <c r="BD144" s="12">
        <f>IF('Données projet'!$A$88&gt;35,BD143+BC144-BL143,IF(A144&lt;'Données projet'!$A$88,$BA$205^A144,IF(A144='Données projet'!$A$88,'Données projet'!$B$88,BD143+BC144-BL143)))</f>
        <v>284.59999999999945</v>
      </c>
      <c r="BE144" s="13">
        <f>BD144*VLOOKUP('Données projet'!$B$11,Paramètres!$A$1:$I$89,3,0)*VLOOKUP('Données projet'!$B$11,Paramètres!$A$1:$I$89,5,0)</f>
        <v>297.46391999999946</v>
      </c>
      <c r="BF144" s="13">
        <f t="shared" si="145"/>
        <v>70.644541292839932</v>
      </c>
      <c r="BG144" s="20">
        <f t="shared" si="115"/>
        <v>641.12223675169514</v>
      </c>
      <c r="BH144" s="59">
        <f t="shared" si="116"/>
        <v>934.45557008502851</v>
      </c>
      <c r="BI144" s="59">
        <f ca="1">AVERAGE(OFFSET($BH$3,0,0,'Données projet'!$E$11+1,1))-AVERAGE(OFFSET($H$3,0,0,'Données projet'!$E$11+1,1))</f>
        <v>340.76197766679212</v>
      </c>
      <c r="BJ144" s="59">
        <f t="shared" si="146"/>
        <v>199.70700738826872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2.6</v>
      </c>
      <c r="BY144" s="12">
        <f>IF('Données projet'!$A$114&gt;35,BY143+BX144-CG143,IF(A144&lt;'Données projet'!$A$114,$BV$205^A144,IF(A144='Données projet'!$A$114,'Données projet'!$B$114,BY143+BX144-CG143)))</f>
        <v>284.59999999999945</v>
      </c>
      <c r="BZ144" s="13">
        <f>BY144*VLOOKUP('Données projet'!$B$12,Paramètres!$A$1:$I$89,3,0)*VLOOKUP('Données projet'!$B$12,Paramètres!$A$1:$I$89,5,0)</f>
        <v>306.34343999999936</v>
      </c>
      <c r="CA144" s="13">
        <f t="shared" si="147"/>
        <v>72.504668365443322</v>
      </c>
      <c r="CB144" s="20">
        <f t="shared" si="118"/>
        <v>659.82712206981262</v>
      </c>
      <c r="CC144" s="59">
        <f t="shared" si="119"/>
        <v>953.16045540314599</v>
      </c>
      <c r="CD144" s="59">
        <f ca="1">AVERAGE(OFFSET($CC$3,0,0,'Données projet'!$E$12+1,1))-AVERAGE(OFFSET($H$3,0,0,'Données projet'!$E$12+1,1))</f>
        <v>354.06521046071936</v>
      </c>
      <c r="CE144" s="59">
        <f t="shared" si="148"/>
        <v>206.22956332364367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2.6</v>
      </c>
      <c r="N145" s="13">
        <f>IF('Données projet'!$A$36&gt;35,N144+M145-V144,IF(A145&lt;'Données projet'!$A$36,$K$205^A145,IF(A145='Données projet'!$A$36,'Données projet'!$B$36,N144+M145-V144)))</f>
        <v>287.19999999999948</v>
      </c>
      <c r="O145" s="13">
        <f>N145*VLOOKUP('Données projet'!$B$9,Paramètres!$A$1:$I$89,3,0)*VLOOKUP('Données projet'!$B$9,Paramètres!$A$1:$I$89,5,0)</f>
        <v>259.8585599999995</v>
      </c>
      <c r="P145" s="13">
        <f t="shared" si="141"/>
        <v>62.692227709138365</v>
      </c>
      <c r="Q145" s="20">
        <f t="shared" si="108"/>
        <v>561.77595526008179</v>
      </c>
      <c r="R145" s="59">
        <f t="shared" si="109"/>
        <v>855.10928859341516</v>
      </c>
      <c r="S145" s="59">
        <f ca="1">AVERAGE(OFFSET($R$3,0,0,'Données projet'!$E$9+1,1))-AVERAGE(OFFSET($H$3,0,0,'Données projet'!$E$9+1,1))</f>
        <v>280.79223530986889</v>
      </c>
      <c r="T145" s="59">
        <f t="shared" si="142"/>
        <v>170.29932835468685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2.6</v>
      </c>
      <c r="AI145" s="13">
        <f>IF('Données projet'!$A$62&gt;35,AI144+AH145-AQ144,IF(A145&lt;'Données projet'!$A$62,$AF$205^A145,IF(A145='Données projet'!$A$62,'Données projet'!$B$62,AI144+AH145-AQ144)))</f>
        <v>287.19999999999948</v>
      </c>
      <c r="AJ145" s="13">
        <f>AI145*VLOOKUP('Données projet'!$B$10,Paramètres!$A$1:$I$89,3,0)*VLOOKUP('Données projet'!$B$10,Paramètres!$A$1:$I$89,5,0)</f>
        <v>291.22079999999949</v>
      </c>
      <c r="AK145" s="13">
        <f t="shared" si="143"/>
        <v>69.332836665856547</v>
      </c>
      <c r="AL145" s="20">
        <f t="shared" si="112"/>
        <v>627.96425052636596</v>
      </c>
      <c r="AM145" s="59">
        <f t="shared" si="113"/>
        <v>921.29758385969922</v>
      </c>
      <c r="AN145" s="59">
        <f ca="1">AVERAGE(OFFSET($AM$3,0,0,'Données projet'!$E$10+1,1))-AVERAGE(OFFSET($H$3,0,0,'Données projet'!$E$10+1,1))</f>
        <v>327.4505861600158</v>
      </c>
      <c r="AO145" s="59">
        <f t="shared" si="144"/>
        <v>193.18009444354595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2.6</v>
      </c>
      <c r="BD145" s="12">
        <f>IF('Données projet'!$A$88&gt;35,BD144+BC145-BL144,IF(A145&lt;'Données projet'!$A$88,$BA$205^A145,IF(A145='Données projet'!$A$88,'Données projet'!$B$88,BD144+BC145-BL144)))</f>
        <v>287.19999999999948</v>
      </c>
      <c r="BE145" s="13">
        <f>BD145*VLOOKUP('Données projet'!$B$11,Paramètres!$A$1:$I$89,3,0)*VLOOKUP('Données projet'!$B$11,Paramètres!$A$1:$I$89,5,0)</f>
        <v>300.1814399999995</v>
      </c>
      <c r="BF145" s="13">
        <f t="shared" si="145"/>
        <v>71.214498930305965</v>
      </c>
      <c r="BG145" s="20">
        <f t="shared" si="115"/>
        <v>646.84792697028206</v>
      </c>
      <c r="BH145" s="59">
        <f t="shared" si="116"/>
        <v>940.18126030361532</v>
      </c>
      <c r="BI145" s="59">
        <f ca="1">AVERAGE(OFFSET($BH$3,0,0,'Données projet'!$E$11+1,1))-AVERAGE(OFFSET($H$3,0,0,'Données projet'!$E$11+1,1))</f>
        <v>340.76197766679212</v>
      </c>
      <c r="BJ145" s="59">
        <f t="shared" si="146"/>
        <v>199.70700738826872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2.6</v>
      </c>
      <c r="BY145" s="12">
        <f>IF('Données projet'!$A$114&gt;35,BY144+BX145-CG144,IF(A145&lt;'Données projet'!$A$114,$BV$205^A145,IF(A145='Données projet'!$A$114,'Données projet'!$B$114,BY144+BX145-CG144)))</f>
        <v>287.19999999999948</v>
      </c>
      <c r="BZ145" s="13">
        <f>BY145*VLOOKUP('Données projet'!$B$12,Paramètres!$A$1:$I$89,3,0)*VLOOKUP('Données projet'!$B$12,Paramètres!$A$1:$I$89,5,0)</f>
        <v>309.14207999999945</v>
      </c>
      <c r="CA145" s="13">
        <f t="shared" si="147"/>
        <v>73.089633441733085</v>
      </c>
      <c r="CB145" s="20">
        <f t="shared" si="118"/>
        <v>665.72023424435088</v>
      </c>
      <c r="CC145" s="59">
        <f t="shared" si="119"/>
        <v>959.05356757768413</v>
      </c>
      <c r="CD145" s="59">
        <f ca="1">AVERAGE(OFFSET($CC$3,0,0,'Données projet'!$E$12+1,1))-AVERAGE(OFFSET($H$3,0,0,'Données projet'!$E$12+1,1))</f>
        <v>354.06521046071936</v>
      </c>
      <c r="CE145" s="59">
        <f t="shared" si="148"/>
        <v>206.22956332364367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2.6</v>
      </c>
      <c r="N146" s="13">
        <f>IF('Données projet'!$A$36&gt;35,N145+M146-V145,IF(A146&lt;'Données projet'!$A$36,$K$205^A146,IF(A146='Données projet'!$A$36,'Données projet'!$B$36,N145+M146-V145)))</f>
        <v>289.7999999999995</v>
      </c>
      <c r="O146" s="13">
        <f>N146*VLOOKUP('Données projet'!$B$9,Paramètres!$A$1:$I$89,3,0)*VLOOKUP('Données projet'!$B$9,Paramètres!$A$1:$I$89,5,0)</f>
        <v>262.21103999999951</v>
      </c>
      <c r="P146" s="13">
        <f t="shared" si="141"/>
        <v>63.19344980490574</v>
      </c>
      <c r="Q146" s="20">
        <f t="shared" si="108"/>
        <v>566.74615307687668</v>
      </c>
      <c r="R146" s="59">
        <f t="shared" si="109"/>
        <v>860.07948641020994</v>
      </c>
      <c r="S146" s="59">
        <f ca="1">AVERAGE(OFFSET($R$3,0,0,'Données projet'!$E$9+1,1))-AVERAGE(OFFSET($H$3,0,0,'Données projet'!$E$9+1,1))</f>
        <v>280.79223530986889</v>
      </c>
      <c r="T146" s="59">
        <f t="shared" si="142"/>
        <v>170.29932835468685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2.6</v>
      </c>
      <c r="AI146" s="13">
        <f>IF('Données projet'!$A$62&gt;35,AI145+AH146-AQ145,IF(A146&lt;'Données projet'!$A$62,$AF$205^A146,IF(A146='Données projet'!$A$62,'Données projet'!$B$62,AI145+AH146-AQ145)))</f>
        <v>289.7999999999995</v>
      </c>
      <c r="AJ146" s="13">
        <f>AI146*VLOOKUP('Données projet'!$B$10,Paramètres!$A$1:$I$89,3,0)*VLOOKUP('Données projet'!$B$10,Paramètres!$A$1:$I$89,5,0)</f>
        <v>293.85719999999952</v>
      </c>
      <c r="AK146" s="13">
        <f t="shared" si="143"/>
        <v>69.88715019033971</v>
      </c>
      <c r="AL146" s="20">
        <f t="shared" si="112"/>
        <v>633.52140991484077</v>
      </c>
      <c r="AM146" s="59">
        <f t="shared" si="113"/>
        <v>926.85474324817415</v>
      </c>
      <c r="AN146" s="59">
        <f ca="1">AVERAGE(OFFSET($AM$3,0,0,'Données projet'!$E$10+1,1))-AVERAGE(OFFSET($H$3,0,0,'Données projet'!$E$10+1,1))</f>
        <v>327.4505861600158</v>
      </c>
      <c r="AO146" s="59">
        <f t="shared" si="144"/>
        <v>193.18009444354595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2.6</v>
      </c>
      <c r="BD146" s="12">
        <f>IF('Données projet'!$A$88&gt;35,BD145+BC146-BL145,IF(A146&lt;'Données projet'!$A$88,$BA$205^A146,IF(A146='Données projet'!$A$88,'Données projet'!$B$88,BD145+BC146-BL145)))</f>
        <v>289.7999999999995</v>
      </c>
      <c r="BE146" s="13">
        <f>BD146*VLOOKUP('Données projet'!$B$11,Paramètres!$A$1:$I$89,3,0)*VLOOKUP('Données projet'!$B$11,Paramètres!$A$1:$I$89,5,0)</f>
        <v>302.89895999999953</v>
      </c>
      <c r="BF146" s="13">
        <f t="shared" si="145"/>
        <v>71.78385627661811</v>
      </c>
      <c r="BG146" s="20">
        <f t="shared" si="115"/>
        <v>652.57257168177568</v>
      </c>
      <c r="BH146" s="59">
        <f t="shared" si="116"/>
        <v>945.90590501510906</v>
      </c>
      <c r="BI146" s="59">
        <f ca="1">AVERAGE(OFFSET($BH$3,0,0,'Données projet'!$E$11+1,1))-AVERAGE(OFFSET($H$3,0,0,'Données projet'!$E$11+1,1))</f>
        <v>340.76197766679212</v>
      </c>
      <c r="BJ146" s="59">
        <f t="shared" si="146"/>
        <v>199.70700738826872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2.6</v>
      </c>
      <c r="BY146" s="12">
        <f>IF('Données projet'!$A$114&gt;35,BY145+BX146-CG145,IF(A146&lt;'Données projet'!$A$114,$BV$205^A146,IF(A146='Données projet'!$A$114,'Données projet'!$B$114,BY145+BX146-CG145)))</f>
        <v>289.7999999999995</v>
      </c>
      <c r="BZ146" s="13">
        <f>BY146*VLOOKUP('Données projet'!$B$12,Paramètres!$A$1:$I$89,3,0)*VLOOKUP('Données projet'!$B$12,Paramètres!$A$1:$I$89,5,0)</f>
        <v>311.94071999999949</v>
      </c>
      <c r="CA146" s="13">
        <f t="shared" si="147"/>
        <v>73.673982420724542</v>
      </c>
      <c r="CB146" s="20">
        <f t="shared" si="118"/>
        <v>671.61227338276092</v>
      </c>
      <c r="CC146" s="59">
        <f t="shared" si="119"/>
        <v>964.94560671609429</v>
      </c>
      <c r="CD146" s="59">
        <f ca="1">AVERAGE(OFFSET($CC$3,0,0,'Données projet'!$E$12+1,1))-AVERAGE(OFFSET($H$3,0,0,'Données projet'!$E$12+1,1))</f>
        <v>354.06521046071936</v>
      </c>
      <c r="CE146" s="59">
        <f t="shared" si="148"/>
        <v>206.22956332364367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2.6</v>
      </c>
      <c r="N147" s="13">
        <f>IF('Données projet'!$A$36&gt;35,N146+M147-V146,IF(A147&lt;'Données projet'!$A$36,$K$205^A147,IF(A147='Données projet'!$A$36,'Données projet'!$B$36,N146+M147-V146)))</f>
        <v>292.39999999999952</v>
      </c>
      <c r="O147" s="13">
        <f>N147*VLOOKUP('Données projet'!$B$9,Paramètres!$A$1:$I$89,3,0)*VLOOKUP('Données projet'!$B$9,Paramètres!$A$1:$I$89,5,0)</f>
        <v>264.56351999999953</v>
      </c>
      <c r="P147" s="13">
        <f t="shared" si="141"/>
        <v>63.694148737013748</v>
      </c>
      <c r="Q147" s="20">
        <f t="shared" si="108"/>
        <v>571.71543971696474</v>
      </c>
      <c r="R147" s="59">
        <f t="shared" si="109"/>
        <v>865.048773050298</v>
      </c>
      <c r="S147" s="59">
        <f ca="1">AVERAGE(OFFSET($R$3,0,0,'Données projet'!$E$9+1,1))-AVERAGE(OFFSET($H$3,0,0,'Données projet'!$E$9+1,1))</f>
        <v>280.79223530986889</v>
      </c>
      <c r="T147" s="59">
        <f t="shared" si="142"/>
        <v>170.29932835468685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2.6</v>
      </c>
      <c r="AI147" s="13">
        <f>IF('Données projet'!$A$62&gt;35,AI146+AH147-AQ146,IF(A147&lt;'Données projet'!$A$62,$AF$205^A147,IF(A147='Données projet'!$A$62,'Données projet'!$B$62,AI146+AH147-AQ146)))</f>
        <v>292.39999999999952</v>
      </c>
      <c r="AJ147" s="13">
        <f>AI147*VLOOKUP('Données projet'!$B$10,Paramètres!$A$1:$I$89,3,0)*VLOOKUP('Données projet'!$B$10,Paramètres!$A$1:$I$89,5,0)</f>
        <v>296.4935999999995</v>
      </c>
      <c r="AK147" s="13">
        <f t="shared" si="143"/>
        <v>70.440885135597512</v>
      </c>
      <c r="AL147" s="20">
        <f t="shared" si="112"/>
        <v>639.07756161116481</v>
      </c>
      <c r="AM147" s="59">
        <f t="shared" si="113"/>
        <v>932.41089494449807</v>
      </c>
      <c r="AN147" s="59">
        <f ca="1">AVERAGE(OFFSET($AM$3,0,0,'Données projet'!$E$10+1,1))-AVERAGE(OFFSET($H$3,0,0,'Données projet'!$E$10+1,1))</f>
        <v>327.4505861600158</v>
      </c>
      <c r="AO147" s="59">
        <f t="shared" si="144"/>
        <v>193.18009444354595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2.6</v>
      </c>
      <c r="BD147" s="12">
        <f>IF('Données projet'!$A$88&gt;35,BD146+BC147-BL146,IF(A147&lt;'Données projet'!$A$88,$BA$205^A147,IF(A147='Données projet'!$A$88,'Données projet'!$B$88,BD146+BC147-BL146)))</f>
        <v>292.39999999999952</v>
      </c>
      <c r="BE147" s="13">
        <f>BD147*VLOOKUP('Données projet'!$B$11,Paramètres!$A$1:$I$89,3,0)*VLOOKUP('Données projet'!$B$11,Paramètres!$A$1:$I$89,5,0)</f>
        <v>305.61647999999957</v>
      </c>
      <c r="BF147" s="13">
        <f t="shared" si="145"/>
        <v>72.352619341322622</v>
      </c>
      <c r="BG147" s="20">
        <f t="shared" si="115"/>
        <v>658.29618135280282</v>
      </c>
      <c r="BH147" s="59">
        <f t="shared" si="116"/>
        <v>951.62951468613619</v>
      </c>
      <c r="BI147" s="59">
        <f ca="1">AVERAGE(OFFSET($BH$3,0,0,'Données projet'!$E$11+1,1))-AVERAGE(OFFSET($H$3,0,0,'Données projet'!$E$11+1,1))</f>
        <v>340.76197766679212</v>
      </c>
      <c r="BJ147" s="59">
        <f t="shared" si="146"/>
        <v>199.70700738826872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2.6</v>
      </c>
      <c r="BY147" s="12">
        <f>IF('Données projet'!$A$114&gt;35,BY146+BX147-CG146,IF(A147&lt;'Données projet'!$A$114,$BV$205^A147,IF(A147='Données projet'!$A$114,'Données projet'!$B$114,BY146+BX147-CG146)))</f>
        <v>292.39999999999952</v>
      </c>
      <c r="BZ147" s="13">
        <f>BY147*VLOOKUP('Données projet'!$B$12,Paramètres!$A$1:$I$89,3,0)*VLOOKUP('Données projet'!$B$12,Paramètres!$A$1:$I$89,5,0)</f>
        <v>314.73935999999946</v>
      </c>
      <c r="CA147" s="13">
        <f t="shared" si="147"/>
        <v>74.257721470200096</v>
      </c>
      <c r="CB147" s="20">
        <f t="shared" si="118"/>
        <v>677.50325022726418</v>
      </c>
      <c r="CC147" s="59">
        <f t="shared" si="119"/>
        <v>970.83658356059755</v>
      </c>
      <c r="CD147" s="59">
        <f ca="1">AVERAGE(OFFSET($CC$3,0,0,'Données projet'!$E$12+1,1))-AVERAGE(OFFSET($H$3,0,0,'Données projet'!$E$12+1,1))</f>
        <v>354.06521046071936</v>
      </c>
      <c r="CE147" s="59">
        <f t="shared" si="148"/>
        <v>206.22956332364367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>
        <f>VLOOKUP(A148,'Données projet'!$A$35:$I$55,2,0)</f>
        <v>295</v>
      </c>
      <c r="L148" s="12">
        <f>VLOOKUP(A148,'Données projet'!$A$35:$I$55,9,0)</f>
        <v>2.6</v>
      </c>
      <c r="M148" s="12">
        <f t="array" ref="M148">INDEX(L:L,MIN(IF(ISNUMBER(L148:L344),ROW(L148:L344),"")))</f>
        <v>2.6</v>
      </c>
      <c r="N148" s="13">
        <f>IF('Données projet'!$A$36&gt;35,N147+M148-V147,IF(A148&lt;'Données projet'!$A$36,$K$205^A148,IF(A148='Données projet'!$A$36,'Données projet'!$B$36,N147+M148-V147)))</f>
        <v>294.99999999999955</v>
      </c>
      <c r="O148" s="13">
        <f>N148*VLOOKUP('Données projet'!$B$9,Paramètres!$A$1:$I$89,3,0)*VLOOKUP('Données projet'!$B$9,Paramètres!$A$1:$I$89,5,0)</f>
        <v>266.9159999999996</v>
      </c>
      <c r="P148" s="13">
        <f t="shared" si="141"/>
        <v>64.194329696332062</v>
      </c>
      <c r="Q148" s="20">
        <f t="shared" si="108"/>
        <v>576.68382422111085</v>
      </c>
      <c r="R148" s="59">
        <f t="shared" si="109"/>
        <v>870.01715755444411</v>
      </c>
      <c r="S148" s="59">
        <f ca="1">AVERAGE(OFFSET($R$3,0,0,'Données projet'!$E$9+1,1))-AVERAGE(OFFSET($H$3,0,0,'Données projet'!$E$9+1,1))</f>
        <v>280.79223530986889</v>
      </c>
      <c r="T148" s="59">
        <f t="shared" si="142"/>
        <v>170.29932835468685</v>
      </c>
      <c r="U148" s="15">
        <f>IF(ISNA(VLOOKUP(A148,'Données projet'!$A$35:$I$55,3,0)),0,VLOOKUP(A148,'Données projet'!$A$35:$I$55,3,0))</f>
        <v>13</v>
      </c>
      <c r="V148" s="15">
        <f>IF(ISNA(VLOOKUP(A148,'Données projet'!$A$35:$I$55,4,0)),0,VLOOKUP(A148,'Données projet'!$A$35:$I$55,4,0))</f>
        <v>26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>
        <f>VLOOKUP(A148,'Données projet'!$A$61:$I$81,2,0)</f>
        <v>295</v>
      </c>
      <c r="AG148" s="12">
        <f>VLOOKUP(A148,'Données projet'!$A$61:$I$81,9,0)</f>
        <v>2.6</v>
      </c>
      <c r="AH148" s="12">
        <f t="array" ref="AH148">INDEX(AG:AG,MIN(IF(ISNUMBER(AG148:AG344),ROW(AG148:AG344),"")))</f>
        <v>2.6</v>
      </c>
      <c r="AI148" s="13">
        <f>IF('Données projet'!$A$62&gt;35,AI147+AH148-AQ147,IF(A148&lt;'Données projet'!$A$62,$AF$205^A148,IF(A148='Données projet'!$A$62,'Données projet'!$B$62,AI147+AH148-AQ147)))</f>
        <v>294.99999999999955</v>
      </c>
      <c r="AJ148" s="13">
        <f>AI148*VLOOKUP('Données projet'!$B$10,Paramètres!$A$1:$I$89,3,0)*VLOOKUP('Données projet'!$B$10,Paramètres!$A$1:$I$89,5,0)</f>
        <v>299.12999999999954</v>
      </c>
      <c r="AK148" s="13">
        <f t="shared" si="143"/>
        <v>70.994047242337146</v>
      </c>
      <c r="AL148" s="20">
        <f t="shared" si="112"/>
        <v>644.63271561373642</v>
      </c>
      <c r="AM148" s="59">
        <f t="shared" si="113"/>
        <v>937.96604894706979</v>
      </c>
      <c r="AN148" s="59">
        <f ca="1">AVERAGE(OFFSET($AM$3,0,0,'Données projet'!$E$10+1,1))-AVERAGE(OFFSET($H$3,0,0,'Données projet'!$E$10+1,1))</f>
        <v>327.4505861600158</v>
      </c>
      <c r="AO148" s="59">
        <f t="shared" si="144"/>
        <v>193.18009444354595</v>
      </c>
      <c r="AP148" s="15">
        <f>IF(ISNA(VLOOKUP(A148,'Données projet'!$A$61:$I$81,3,0)),0,VLOOKUP(A148,'Données projet'!$A$61:$I$81,3,0))</f>
        <v>13</v>
      </c>
      <c r="AQ148" s="15">
        <f>IF(ISNA(VLOOKUP(A148,'Données projet'!$A$61:$I$81,4,0)),0,VLOOKUP(A148,'Données projet'!$A$61:$I$81,4,0))</f>
        <v>26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>
        <f>VLOOKUP(A148,'Données projet'!$A$87:$I$107,2,0)</f>
        <v>295</v>
      </c>
      <c r="BB148" s="12">
        <f>VLOOKUP(A148,'Données projet'!$A$87:$I$107,9,0)</f>
        <v>2.6</v>
      </c>
      <c r="BC148" s="12">
        <f t="array" ref="BC148">INDEX(BB:BB,MIN(IF(ISNUMBER(BB148:BB344),ROW(BB148:BB344),"")))</f>
        <v>2.6</v>
      </c>
      <c r="BD148" s="12">
        <f>IF('Données projet'!$A$88&gt;35,BD147+BC148-BL147,IF(A148&lt;'Données projet'!$A$88,$BA$205^A148,IF(A148='Données projet'!$A$88,'Données projet'!$B$88,BD147+BC148-BL147)))</f>
        <v>294.99999999999955</v>
      </c>
      <c r="BE148" s="13">
        <f>BD148*VLOOKUP('Données projet'!$B$11,Paramètres!$A$1:$I$89,3,0)*VLOOKUP('Données projet'!$B$11,Paramètres!$A$1:$I$89,5,0)</f>
        <v>308.33399999999955</v>
      </c>
      <c r="BF148" s="13">
        <f t="shared" si="145"/>
        <v>72.920794020927147</v>
      </c>
      <c r="BG148" s="20">
        <f t="shared" si="115"/>
        <v>664.01876625311399</v>
      </c>
      <c r="BH148" s="59">
        <f t="shared" si="116"/>
        <v>957.35209958644737</v>
      </c>
      <c r="BI148" s="59">
        <f ca="1">AVERAGE(OFFSET($BH$3,0,0,'Données projet'!$E$11+1,1))-AVERAGE(OFFSET($H$3,0,0,'Données projet'!$E$11+1,1))</f>
        <v>340.76197766679212</v>
      </c>
      <c r="BJ148" s="59">
        <f t="shared" si="146"/>
        <v>199.70700738826872</v>
      </c>
      <c r="BK148" s="15">
        <f>IF(ISNA(VLOOKUP(A148,'Données projet'!$A$87:$I$107,3,0)),0,VLOOKUP(A148,'Données projet'!$A$87:$I$107,3,0))</f>
        <v>13</v>
      </c>
      <c r="BL148" s="15">
        <f>IF(ISNA(VLOOKUP(A148,'Données projet'!$A$87:$I$107,4,0)),0,VLOOKUP(A148,'Données projet'!$A$87:$I$107,4,0))</f>
        <v>26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>
        <f>VLOOKUP(A148,'Données projet'!$A$113:$I$133,2,0)</f>
        <v>295</v>
      </c>
      <c r="BW148" s="12">
        <f>VLOOKUP(A148,'Données projet'!$A$113:$I$133,9,0)</f>
        <v>2.6</v>
      </c>
      <c r="BX148" s="12">
        <f t="array" ref="BX148">INDEX(BW:BW,MIN(IF(ISNUMBER(BW148:BW344),ROW(BW148:BW344),"")))</f>
        <v>2.6</v>
      </c>
      <c r="BY148" s="12">
        <f>IF('Données projet'!$A$114&gt;35,BY147+BX148-CG147,IF(A148&lt;'Données projet'!$A$114,$BV$205^A148,IF(A148='Données projet'!$A$114,'Données projet'!$B$114,BY147+BX148-CG147)))</f>
        <v>294.99999999999955</v>
      </c>
      <c r="BZ148" s="13">
        <f>BY148*VLOOKUP('Données projet'!$B$12,Paramètres!$A$1:$I$89,3,0)*VLOOKUP('Données projet'!$B$12,Paramètres!$A$1:$I$89,5,0)</f>
        <v>317.5379999999995</v>
      </c>
      <c r="CA148" s="13">
        <f t="shared" si="147"/>
        <v>74.84085664192699</v>
      </c>
      <c r="CB148" s="20">
        <f t="shared" si="118"/>
        <v>683.39317531802192</v>
      </c>
      <c r="CC148" s="59">
        <f t="shared" si="119"/>
        <v>976.72650865135529</v>
      </c>
      <c r="CD148" s="59">
        <f ca="1">AVERAGE(OFFSET($CC$3,0,0,'Données projet'!$E$12+1,1))-AVERAGE(OFFSET($H$3,0,0,'Données projet'!$E$12+1,1))</f>
        <v>354.06521046071936</v>
      </c>
      <c r="CE148" s="59">
        <f t="shared" si="148"/>
        <v>206.22956332364367</v>
      </c>
      <c r="CF148" s="15">
        <f>IF(ISNA(VLOOKUP(A148,'Données projet'!$A$113:$I$133,3,0)),0,VLOOKUP(A148,'Données projet'!$A$113:$I$133,3,0))</f>
        <v>13</v>
      </c>
      <c r="CG148" s="15">
        <f>IF(ISNA(VLOOKUP(A148,'Données projet'!$A$113:$I$133,4,0)),0,VLOOKUP(A148,'Données projet'!$A$113:$I$133,4,0))</f>
        <v>26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4.5999999999999996</v>
      </c>
      <c r="N149" s="13">
        <f>IF('Données projet'!$A$36&gt;35,N148+M149-V148,IF(A149&lt;'Données projet'!$A$36,$K$205^A149,IF(A149='Données projet'!$A$36,'Données projet'!$B$36,N148+M149-V148)))</f>
        <v>273.59999999999957</v>
      </c>
      <c r="O149" s="13">
        <f>N149*VLOOKUP('Données projet'!$B$9,Paramètres!$A$1:$I$89,3,0)*VLOOKUP('Données projet'!$B$9,Paramètres!$A$1:$I$89,5,0)</f>
        <v>247.5532799999996</v>
      </c>
      <c r="P149" s="13">
        <f t="shared" si="141"/>
        <v>60.061713068870198</v>
      </c>
      <c r="Q149" s="20">
        <f t="shared" si="108"/>
        <v>535.76277959494826</v>
      </c>
      <c r="R149" s="59">
        <f t="shared" si="109"/>
        <v>829.09611292828163</v>
      </c>
      <c r="S149" s="59">
        <f ca="1">AVERAGE(OFFSET($R$3,0,0,'Données projet'!$E$9+1,1))-AVERAGE(OFFSET($H$3,0,0,'Données projet'!$E$9+1,1))</f>
        <v>280.79223530986889</v>
      </c>
      <c r="T149" s="59">
        <f t="shared" si="142"/>
        <v>170.29932835468685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4.5999999999999996</v>
      </c>
      <c r="AI149" s="13">
        <f>IF('Données projet'!$A$62&gt;35,AI148+AH149-AQ148,IF(A149&lt;'Données projet'!$A$62,$AF$205^A149,IF(A149='Données projet'!$A$62,'Données projet'!$B$62,AI148+AH149-AQ148)))</f>
        <v>273.59999999999957</v>
      </c>
      <c r="AJ149" s="13">
        <f>AI149*VLOOKUP('Données projet'!$B$10,Paramètres!$A$1:$I$89,3,0)*VLOOKUP('Données projet'!$B$10,Paramètres!$A$1:$I$89,5,0)</f>
        <v>277.43039999999957</v>
      </c>
      <c r="AK149" s="13">
        <f t="shared" si="143"/>
        <v>66.423687500715616</v>
      </c>
      <c r="AL149" s="20">
        <f t="shared" si="112"/>
        <v>598.87920239707898</v>
      </c>
      <c r="AM149" s="59">
        <f t="shared" si="113"/>
        <v>892.21253573041236</v>
      </c>
      <c r="AN149" s="59">
        <f ca="1">AVERAGE(OFFSET($AM$3,0,0,'Données projet'!$E$10+1,1))-AVERAGE(OFFSET($H$3,0,0,'Données projet'!$E$10+1,1))</f>
        <v>327.4505861600158</v>
      </c>
      <c r="AO149" s="59">
        <f t="shared" si="144"/>
        <v>193.18009444354595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4.5999999999999996</v>
      </c>
      <c r="BD149" s="12">
        <f>IF('Données projet'!$A$88&gt;35,BD148+BC149-BL148,IF(A149&lt;'Données projet'!$A$88,$BA$205^A149,IF(A149='Données projet'!$A$88,'Données projet'!$B$88,BD148+BC149-BL148)))</f>
        <v>273.59999999999957</v>
      </c>
      <c r="BE149" s="13">
        <f>BD149*VLOOKUP('Données projet'!$B$11,Paramètres!$A$1:$I$89,3,0)*VLOOKUP('Données projet'!$B$11,Paramètres!$A$1:$I$89,5,0)</f>
        <v>285.96671999999961</v>
      </c>
      <c r="BF149" s="13">
        <f t="shared" si="145"/>
        <v>68.226396754312731</v>
      </c>
      <c r="BG149" s="20">
        <f t="shared" si="115"/>
        <v>616.88634501376066</v>
      </c>
      <c r="BH149" s="59">
        <f t="shared" si="116"/>
        <v>910.21967834709403</v>
      </c>
      <c r="BI149" s="59">
        <f ca="1">AVERAGE(OFFSET($BH$3,0,0,'Données projet'!$E$11+1,1))-AVERAGE(OFFSET($H$3,0,0,'Données projet'!$E$11+1,1))</f>
        <v>340.76197766679212</v>
      </c>
      <c r="BJ149" s="59">
        <f t="shared" si="146"/>
        <v>199.70700738826872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4.5999999999999996</v>
      </c>
      <c r="BY149" s="12">
        <f>IF('Données projet'!$A$114&gt;35,BY148+BX149-CG148,IF(A149&lt;'Données projet'!$A$114,$BV$205^A149,IF(A149='Données projet'!$A$114,'Données projet'!$B$114,BY148+BX149-CG148)))</f>
        <v>273.59999999999957</v>
      </c>
      <c r="BZ149" s="13">
        <f>BY149*VLOOKUP('Données projet'!$B$12,Paramètres!$A$1:$I$89,3,0)*VLOOKUP('Données projet'!$B$12,Paramètres!$A$1:$I$89,5,0)</f>
        <v>294.50303999999949</v>
      </c>
      <c r="CA149" s="13">
        <f t="shared" si="147"/>
        <v>70.02285215406971</v>
      </c>
      <c r="CB149" s="20">
        <f t="shared" si="118"/>
        <v>634.88259550167049</v>
      </c>
      <c r="CC149" s="59">
        <f t="shared" si="119"/>
        <v>928.21592883500375</v>
      </c>
      <c r="CD149" s="59">
        <f ca="1">AVERAGE(OFFSET($CC$3,0,0,'Données projet'!$E$12+1,1))-AVERAGE(OFFSET($H$3,0,0,'Données projet'!$E$12+1,1))</f>
        <v>354.06521046071936</v>
      </c>
      <c r="CE149" s="59">
        <f t="shared" si="148"/>
        <v>206.22956332364367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4.5999999999999996</v>
      </c>
      <c r="N150" s="13">
        <f>IF('Données projet'!$A$36&gt;35,N149+M150-V149,IF(A150&lt;'Données projet'!$A$36,$K$205^A150,IF(A150='Données projet'!$A$36,'Données projet'!$B$36,N149+M150-V149)))</f>
        <v>278.19999999999959</v>
      </c>
      <c r="O150" s="13">
        <f>N150*VLOOKUP('Données projet'!$B$9,Paramètres!$A$1:$I$89,3,0)*VLOOKUP('Données projet'!$B$9,Paramètres!$A$1:$I$89,5,0)</f>
        <v>251.71535999999961</v>
      </c>
      <c r="P150" s="13">
        <f t="shared" si="141"/>
        <v>60.953113068801763</v>
      </c>
      <c r="Q150" s="20">
        <f t="shared" si="108"/>
        <v>544.56425726149564</v>
      </c>
      <c r="R150" s="59">
        <f t="shared" si="109"/>
        <v>837.8975905948289</v>
      </c>
      <c r="S150" s="59">
        <f ca="1">AVERAGE(OFFSET($R$3,0,0,'Données projet'!$E$9+1,1))-AVERAGE(OFFSET($H$3,0,0,'Données projet'!$E$9+1,1))</f>
        <v>280.79223530986889</v>
      </c>
      <c r="T150" s="59">
        <f t="shared" si="142"/>
        <v>170.29932835468685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4.5999999999999996</v>
      </c>
      <c r="AI150" s="13">
        <f>IF('Données projet'!$A$62&gt;35,AI149+AH150-AQ149,IF(A150&lt;'Données projet'!$A$62,$AF$205^A150,IF(A150='Données projet'!$A$62,'Données projet'!$B$62,AI149+AH150-AQ149)))</f>
        <v>278.19999999999959</v>
      </c>
      <c r="AJ150" s="13">
        <f>AI150*VLOOKUP('Données projet'!$B$10,Paramètres!$A$1:$I$89,3,0)*VLOOKUP('Données projet'!$B$10,Paramètres!$A$1:$I$89,5,0)</f>
        <v>282.09479999999957</v>
      </c>
      <c r="AK150" s="13">
        <f t="shared" si="143"/>
        <v>67.409508117681739</v>
      </c>
      <c r="AL150" s="20">
        <f t="shared" si="112"/>
        <v>608.72000330496166</v>
      </c>
      <c r="AM150" s="59">
        <f t="shared" si="113"/>
        <v>902.05333663829492</v>
      </c>
      <c r="AN150" s="59">
        <f ca="1">AVERAGE(OFFSET($AM$3,0,0,'Données projet'!$E$10+1,1))-AVERAGE(OFFSET($H$3,0,0,'Données projet'!$E$10+1,1))</f>
        <v>327.4505861600158</v>
      </c>
      <c r="AO150" s="59">
        <f t="shared" si="144"/>
        <v>193.18009444354595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4.5999999999999996</v>
      </c>
      <c r="BD150" s="12">
        <f>IF('Données projet'!$A$88&gt;35,BD149+BC150-BL149,IF(A150&lt;'Données projet'!$A$88,$BA$205^A150,IF(A150='Données projet'!$A$88,'Données projet'!$B$88,BD149+BC150-BL149)))</f>
        <v>278.19999999999959</v>
      </c>
      <c r="BE150" s="13">
        <f>BD150*VLOOKUP('Données projet'!$B$11,Paramètres!$A$1:$I$89,3,0)*VLOOKUP('Données projet'!$B$11,Paramètres!$A$1:$I$89,5,0)</f>
        <v>290.77463999999964</v>
      </c>
      <c r="BF150" s="13">
        <f t="shared" si="145"/>
        <v>69.238972103144235</v>
      </c>
      <c r="BG150" s="20">
        <f t="shared" si="115"/>
        <v>627.02370774630901</v>
      </c>
      <c r="BH150" s="59">
        <f t="shared" si="116"/>
        <v>920.35704107964239</v>
      </c>
      <c r="BI150" s="59">
        <f ca="1">AVERAGE(OFFSET($BH$3,0,0,'Données projet'!$E$11+1,1))-AVERAGE(OFFSET($H$3,0,0,'Données projet'!$E$11+1,1))</f>
        <v>340.76197766679212</v>
      </c>
      <c r="BJ150" s="59">
        <f t="shared" si="146"/>
        <v>199.70700738826872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4.5999999999999996</v>
      </c>
      <c r="BY150" s="12">
        <f>IF('Données projet'!$A$114&gt;35,BY149+BX150-CG149,IF(A150&lt;'Données projet'!$A$114,$BV$205^A150,IF(A150='Données projet'!$A$114,'Données projet'!$B$114,BY149+BX150-CG149)))</f>
        <v>278.19999999999959</v>
      </c>
      <c r="BZ150" s="13">
        <f>BY150*VLOOKUP('Données projet'!$B$12,Paramètres!$A$1:$I$89,3,0)*VLOOKUP('Données projet'!$B$12,Paramètres!$A$1:$I$89,5,0)</f>
        <v>299.45447999999959</v>
      </c>
      <c r="CA150" s="13">
        <f t="shared" si="147"/>
        <v>71.062089418810615</v>
      </c>
      <c r="CB150" s="20">
        <f t="shared" si="118"/>
        <v>645.31635840442766</v>
      </c>
      <c r="CC150" s="59">
        <f t="shared" si="119"/>
        <v>938.64969173776103</v>
      </c>
      <c r="CD150" s="59">
        <f ca="1">AVERAGE(OFFSET($CC$3,0,0,'Données projet'!$E$12+1,1))-AVERAGE(OFFSET($H$3,0,0,'Données projet'!$E$12+1,1))</f>
        <v>354.06521046071936</v>
      </c>
      <c r="CE150" s="59">
        <f t="shared" si="148"/>
        <v>206.22956332364367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4.5999999999999996</v>
      </c>
      <c r="N151" s="13">
        <f>IF('Données projet'!$A$36&gt;35,N150+M151-V150,IF(A151&lt;'Données projet'!$A$36,$K$205^A151,IF(A151='Données projet'!$A$36,'Données projet'!$B$36,N150+M151-V150)))</f>
        <v>282.79999999999961</v>
      </c>
      <c r="O151" s="13">
        <f>N151*VLOOKUP('Données projet'!$B$9,Paramètres!$A$1:$I$89,3,0)*VLOOKUP('Données projet'!$B$9,Paramètres!$A$1:$I$89,5,0)</f>
        <v>255.87743999999967</v>
      </c>
      <c r="P151" s="13">
        <f t="shared" si="141"/>
        <v>61.84279899550522</v>
      </c>
      <c r="Q151" s="20">
        <f t="shared" si="108"/>
        <v>553.36274958383763</v>
      </c>
      <c r="R151" s="59">
        <f t="shared" si="109"/>
        <v>846.696082917171</v>
      </c>
      <c r="S151" s="59">
        <f ca="1">AVERAGE(OFFSET($R$3,0,0,'Données projet'!$E$9+1,1))-AVERAGE(OFFSET($H$3,0,0,'Données projet'!$E$9+1,1))</f>
        <v>280.79223530986889</v>
      </c>
      <c r="T151" s="59">
        <f t="shared" si="142"/>
        <v>170.29932835468685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4.5999999999999996</v>
      </c>
      <c r="AI151" s="13">
        <f>IF('Données projet'!$A$62&gt;35,AI150+AH151-AQ150,IF(A151&lt;'Données projet'!$A$62,$AF$205^A151,IF(A151='Données projet'!$A$62,'Données projet'!$B$62,AI150+AH151-AQ150)))</f>
        <v>282.79999999999961</v>
      </c>
      <c r="AJ151" s="13">
        <f>AI151*VLOOKUP('Données projet'!$B$10,Paramètres!$A$1:$I$89,3,0)*VLOOKUP('Données projet'!$B$10,Paramètres!$A$1:$I$89,5,0)</f>
        <v>286.75919999999962</v>
      </c>
      <c r="AK151" s="13">
        <f t="shared" si="143"/>
        <v>68.393433099997381</v>
      </c>
      <c r="AL151" s="20">
        <f t="shared" si="112"/>
        <v>618.55750264916139</v>
      </c>
      <c r="AM151" s="59">
        <f t="shared" si="113"/>
        <v>911.89083598249476</v>
      </c>
      <c r="AN151" s="59">
        <f ca="1">AVERAGE(OFFSET($AM$3,0,0,'Données projet'!$E$10+1,1))-AVERAGE(OFFSET($H$3,0,0,'Données projet'!$E$10+1,1))</f>
        <v>327.4505861600158</v>
      </c>
      <c r="AO151" s="59">
        <f t="shared" si="144"/>
        <v>193.18009444354595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4.5999999999999996</v>
      </c>
      <c r="BD151" s="12">
        <f>IF('Données projet'!$A$88&gt;35,BD150+BC151-BL150,IF(A151&lt;'Données projet'!$A$88,$BA$205^A151,IF(A151='Données projet'!$A$88,'Données projet'!$B$88,BD150+BC151-BL150)))</f>
        <v>282.79999999999961</v>
      </c>
      <c r="BE151" s="13">
        <f>BD151*VLOOKUP('Données projet'!$B$11,Paramètres!$A$1:$I$89,3,0)*VLOOKUP('Données projet'!$B$11,Paramètres!$A$1:$I$89,5,0)</f>
        <v>295.5825599999996</v>
      </c>
      <c r="BF151" s="13">
        <f t="shared" si="145"/>
        <v>70.249600370646306</v>
      </c>
      <c r="BG151" s="20">
        <f t="shared" si="115"/>
        <v>637.15767931220819</v>
      </c>
      <c r="BH151" s="59">
        <f t="shared" si="116"/>
        <v>930.49101264554156</v>
      </c>
      <c r="BI151" s="59">
        <f ca="1">AVERAGE(OFFSET($BH$3,0,0,'Données projet'!$E$11+1,1))-AVERAGE(OFFSET($H$3,0,0,'Données projet'!$E$11+1,1))</f>
        <v>340.76197766679212</v>
      </c>
      <c r="BJ151" s="59">
        <f t="shared" si="146"/>
        <v>199.70700738826872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4.5999999999999996</v>
      </c>
      <c r="BY151" s="12">
        <f>IF('Données projet'!$A$114&gt;35,BY150+BX151-CG150,IF(A151&lt;'Données projet'!$A$114,$BV$205^A151,IF(A151='Données projet'!$A$114,'Données projet'!$B$114,BY150+BX151-CG150)))</f>
        <v>282.79999999999961</v>
      </c>
      <c r="BZ151" s="13">
        <f>BY151*VLOOKUP('Données projet'!$B$12,Paramètres!$A$1:$I$89,3,0)*VLOOKUP('Données projet'!$B$12,Paramètres!$A$1:$I$89,5,0)</f>
        <v>304.40591999999958</v>
      </c>
      <c r="CA151" s="13">
        <f t="shared" si="147"/>
        <v>72.099328334019077</v>
      </c>
      <c r="CB151" s="20">
        <f t="shared" si="118"/>
        <v>655.74664084841595</v>
      </c>
      <c r="CC151" s="59">
        <f t="shared" si="119"/>
        <v>949.07997418174932</v>
      </c>
      <c r="CD151" s="59">
        <f ca="1">AVERAGE(OFFSET($CC$3,0,0,'Données projet'!$E$12+1,1))-AVERAGE(OFFSET($H$3,0,0,'Données projet'!$E$12+1,1))</f>
        <v>354.06521046071936</v>
      </c>
      <c r="CE151" s="59">
        <f t="shared" si="148"/>
        <v>206.22956332364367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4.5999999999999996</v>
      </c>
      <c r="N152" s="13">
        <f>IF('Données projet'!$A$36&gt;35,N151+M152-V151,IF(A152&lt;'Données projet'!$A$36,$K$205^A152,IF(A152='Données projet'!$A$36,'Données projet'!$B$36,N151+M152-V151)))</f>
        <v>287.39999999999964</v>
      </c>
      <c r="O152" s="13">
        <f>N152*VLOOKUP('Données projet'!$B$9,Paramètres!$A$1:$I$89,3,0)*VLOOKUP('Données projet'!$B$9,Paramètres!$A$1:$I$89,5,0)</f>
        <v>260.03951999999964</v>
      </c>
      <c r="P152" s="13">
        <f t="shared" si="141"/>
        <v>62.730801948604821</v>
      </c>
      <c r="Q152" s="20">
        <f t="shared" si="108"/>
        <v>562.15831072715275</v>
      </c>
      <c r="R152" s="59">
        <f t="shared" si="109"/>
        <v>855.49164406048612</v>
      </c>
      <c r="S152" s="59">
        <f ca="1">AVERAGE(OFFSET($R$3,0,0,'Données projet'!$E$9+1,1))-AVERAGE(OFFSET($H$3,0,0,'Données projet'!$E$9+1,1))</f>
        <v>280.79223530986889</v>
      </c>
      <c r="T152" s="59">
        <f t="shared" si="142"/>
        <v>170.29932835468685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4.5999999999999996</v>
      </c>
      <c r="AI152" s="13">
        <f>IF('Données projet'!$A$62&gt;35,AI151+AH152-AQ151,IF(A152&lt;'Données projet'!$A$62,$AF$205^A152,IF(A152='Données projet'!$A$62,'Données projet'!$B$62,AI151+AH152-AQ151)))</f>
        <v>287.39999999999964</v>
      </c>
      <c r="AJ152" s="13">
        <f>AI152*VLOOKUP('Données projet'!$B$10,Paramètres!$A$1:$I$89,3,0)*VLOOKUP('Données projet'!$B$10,Paramètres!$A$1:$I$89,5,0)</f>
        <v>291.42359999999968</v>
      </c>
      <c r="AK152" s="13">
        <f t="shared" si="143"/>
        <v>69.375496841482104</v>
      </c>
      <c r="AL152" s="20">
        <f t="shared" si="112"/>
        <v>628.39176033224737</v>
      </c>
      <c r="AM152" s="59">
        <f t="shared" si="113"/>
        <v>921.72509366558074</v>
      </c>
      <c r="AN152" s="59">
        <f ca="1">AVERAGE(OFFSET($AM$3,0,0,'Données projet'!$E$10+1,1))-AVERAGE(OFFSET($H$3,0,0,'Données projet'!$E$10+1,1))</f>
        <v>327.4505861600158</v>
      </c>
      <c r="AO152" s="59">
        <f t="shared" si="144"/>
        <v>193.18009444354595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4.5999999999999996</v>
      </c>
      <c r="BD152" s="12">
        <f>IF('Données projet'!$A$88&gt;35,BD151+BC152-BL151,IF(A152&lt;'Données projet'!$A$88,$BA$205^A152,IF(A152='Données projet'!$A$88,'Données projet'!$B$88,BD151+BC152-BL151)))</f>
        <v>287.39999999999964</v>
      </c>
      <c r="BE152" s="13">
        <f>BD152*VLOOKUP('Données projet'!$B$11,Paramètres!$A$1:$I$89,3,0)*VLOOKUP('Données projet'!$B$11,Paramètres!$A$1:$I$89,5,0)</f>
        <v>300.39047999999963</v>
      </c>
      <c r="BF152" s="13">
        <f t="shared" si="145"/>
        <v>71.258316884071434</v>
      </c>
      <c r="BG152" s="20">
        <f t="shared" si="115"/>
        <v>647.28832123975712</v>
      </c>
      <c r="BH152" s="59">
        <f t="shared" si="116"/>
        <v>940.62165457309038</v>
      </c>
      <c r="BI152" s="59">
        <f ca="1">AVERAGE(OFFSET($BH$3,0,0,'Données projet'!$E$11+1,1))-AVERAGE(OFFSET($H$3,0,0,'Données projet'!$E$11+1,1))</f>
        <v>340.76197766679212</v>
      </c>
      <c r="BJ152" s="59">
        <f t="shared" si="146"/>
        <v>199.70700738826872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4.5999999999999996</v>
      </c>
      <c r="BY152" s="12">
        <f>IF('Données projet'!$A$114&gt;35,BY151+BX152-CG151,IF(A152&lt;'Données projet'!$A$114,$BV$205^A152,IF(A152='Données projet'!$A$114,'Données projet'!$B$114,BY151+BX152-CG151)))</f>
        <v>287.39999999999964</v>
      </c>
      <c r="BZ152" s="13">
        <f>BY152*VLOOKUP('Données projet'!$B$12,Paramètres!$A$1:$I$89,3,0)*VLOOKUP('Données projet'!$B$12,Paramètres!$A$1:$I$89,5,0)</f>
        <v>309.35735999999957</v>
      </c>
      <c r="CA152" s="13">
        <f t="shared" si="147"/>
        <v>73.134605157142104</v>
      </c>
      <c r="CB152" s="20">
        <f t="shared" si="118"/>
        <v>666.17350598202177</v>
      </c>
      <c r="CC152" s="59">
        <f t="shared" si="119"/>
        <v>959.50683931535514</v>
      </c>
      <c r="CD152" s="59">
        <f ca="1">AVERAGE(OFFSET($CC$3,0,0,'Données projet'!$E$12+1,1))-AVERAGE(OFFSET($H$3,0,0,'Données projet'!$E$12+1,1))</f>
        <v>354.06521046071936</v>
      </c>
      <c r="CE152" s="59">
        <f t="shared" si="148"/>
        <v>206.22956332364367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292</v>
      </c>
      <c r="L153" s="12">
        <f>VLOOKUP(A153,'Données projet'!$A$35:$I$55,9,0)</f>
        <v>4.5999999999999996</v>
      </c>
      <c r="M153" s="12">
        <f t="array" ref="M153">INDEX(L:L,MIN(IF(ISNUMBER(L153:L349),ROW(L153:L349),"")))</f>
        <v>4.5999999999999996</v>
      </c>
      <c r="N153" s="13">
        <f>IF('Données projet'!$A$36&gt;35,N152+M153-V152,IF(A153&lt;'Données projet'!$A$36,$K$205^A153,IF(A153='Données projet'!$A$36,'Données projet'!$B$36,N152+M153-V152)))</f>
        <v>291.99999999999966</v>
      </c>
      <c r="O153" s="13">
        <f>N153*VLOOKUP('Données projet'!$B$9,Paramètres!$A$1:$I$89,3,0)*VLOOKUP('Données projet'!$B$9,Paramètres!$A$1:$I$89,5,0)</f>
        <v>264.2015999999997</v>
      </c>
      <c r="P153" s="13">
        <f t="shared" si="141"/>
        <v>63.617151975096711</v>
      </c>
      <c r="Q153" s="20">
        <f t="shared" si="108"/>
        <v>570.95099302329288</v>
      </c>
      <c r="R153" s="59">
        <f t="shared" si="109"/>
        <v>864.28432635662625</v>
      </c>
      <c r="S153" s="59">
        <f ca="1">AVERAGE(OFFSET($R$3,0,0,'Données projet'!$E$9+1,1))-AVERAGE(OFFSET($H$3,0,0,'Données projet'!$E$9+1,1))</f>
        <v>280.79223530986889</v>
      </c>
      <c r="T153" s="59">
        <f t="shared" si="142"/>
        <v>170.29932835468685</v>
      </c>
      <c r="U153" s="15">
        <f>IF(ISNA(VLOOKUP(A153,'Données projet'!$A$35:$I$55,3,0)),0,VLOOKUP(A153,'Données projet'!$A$35:$I$55,3,0))</f>
        <v>14</v>
      </c>
      <c r="V153" s="15">
        <f>IF(ISNA(VLOOKUP(A153,'Données projet'!$A$35:$I$55,4,0)),0,VLOOKUP(A153,'Données projet'!$A$35:$I$55,4,0))</f>
        <v>292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292</v>
      </c>
      <c r="AG153" s="12">
        <f>VLOOKUP(A153,'Données projet'!$A$61:$I$81,9,0)</f>
        <v>4.5999999999999996</v>
      </c>
      <c r="AH153" s="12">
        <f t="array" ref="AH153">INDEX(AG:AG,MIN(IF(ISNUMBER(AG153:AG349),ROW(AG153:AG349),"")))</f>
        <v>4.5999999999999996</v>
      </c>
      <c r="AI153" s="13">
        <f>IF('Données projet'!$A$62&gt;35,AI152+AH153-AQ152,IF(A153&lt;'Données projet'!$A$62,$AF$205^A153,IF(A153='Données projet'!$A$62,'Données projet'!$B$62,AI152+AH153-AQ152)))</f>
        <v>291.99999999999966</v>
      </c>
      <c r="AJ153" s="13">
        <f>AI153*VLOOKUP('Données projet'!$B$10,Paramètres!$A$1:$I$89,3,0)*VLOOKUP('Données projet'!$B$10,Paramètres!$A$1:$I$89,5,0)</f>
        <v>296.08799999999968</v>
      </c>
      <c r="AK153" s="13">
        <f t="shared" si="143"/>
        <v>70.35573257182898</v>
      </c>
      <c r="AL153" s="20">
        <f t="shared" si="112"/>
        <v>638.22283422926819</v>
      </c>
      <c r="AM153" s="59">
        <f t="shared" si="113"/>
        <v>931.55616756260156</v>
      </c>
      <c r="AN153" s="59">
        <f ca="1">AVERAGE(OFFSET($AM$3,0,0,'Données projet'!$E$10+1,1))-AVERAGE(OFFSET($H$3,0,0,'Données projet'!$E$10+1,1))</f>
        <v>327.4505861600158</v>
      </c>
      <c r="AO153" s="59">
        <f t="shared" si="144"/>
        <v>193.18009444354595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292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>
        <f>VLOOKUP(A153,'Données projet'!$A$87:$I$107,2,0)</f>
        <v>292</v>
      </c>
      <c r="BB153" s="12">
        <f>VLOOKUP(A153,'Données projet'!$A$87:$I$107,9,0)</f>
        <v>4.5999999999999996</v>
      </c>
      <c r="BC153" s="12">
        <f t="array" ref="BC153">INDEX(BB:BB,MIN(IF(ISNUMBER(BB153:BB349),ROW(BB153:BB349),"")))</f>
        <v>4.5999999999999996</v>
      </c>
      <c r="BD153" s="12">
        <f>IF('Données projet'!$A$88&gt;35,BD152+BC153-BL152,IF(A153&lt;'Données projet'!$A$88,$BA$205^A153,IF(A153='Données projet'!$A$88,'Données projet'!$B$88,BD152+BC153-BL152)))</f>
        <v>291.99999999999966</v>
      </c>
      <c r="BE153" s="13">
        <f>BD153*VLOOKUP('Données projet'!$B$11,Paramètres!$A$1:$I$89,3,0)*VLOOKUP('Données projet'!$B$11,Paramètres!$A$1:$I$89,5,0)</f>
        <v>305.19839999999965</v>
      </c>
      <c r="BF153" s="13">
        <f t="shared" si="145"/>
        <v>72.265155774951722</v>
      </c>
      <c r="BG153" s="20">
        <f t="shared" si="115"/>
        <v>657.41569297470699</v>
      </c>
      <c r="BH153" s="59">
        <f t="shared" si="116"/>
        <v>950.74902630804036</v>
      </c>
      <c r="BI153" s="59">
        <f ca="1">AVERAGE(OFFSET($BH$3,0,0,'Données projet'!$E$11+1,1))-AVERAGE(OFFSET($H$3,0,0,'Données projet'!$E$11+1,1))</f>
        <v>340.76197766679212</v>
      </c>
      <c r="BJ153" s="59">
        <f t="shared" si="146"/>
        <v>199.70700738826872</v>
      </c>
      <c r="BK153" s="15">
        <f>IF(ISNA(VLOOKUP(A153,'Données projet'!$A$87:$I$107,3,0)),0,VLOOKUP(A153,'Données projet'!$A$87:$I$107,3,0))</f>
        <v>14</v>
      </c>
      <c r="BL153" s="15">
        <f>IF(ISNA(VLOOKUP(A153,'Données projet'!$A$87:$I$107,4,0)),0,VLOOKUP(A153,'Données projet'!$A$87:$I$107,4,0))</f>
        <v>292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>
        <f>VLOOKUP(A153,'Données projet'!$A$113:$I$133,2,0)</f>
        <v>292</v>
      </c>
      <c r="BW153" s="12">
        <f>VLOOKUP(A153,'Données projet'!$A$113:$I$133,9,0)</f>
        <v>4.5999999999999996</v>
      </c>
      <c r="BX153" s="12">
        <f t="array" ref="BX153">INDEX(BW:BW,MIN(IF(ISNUMBER(BW153:BW349),ROW(BW153:BW349),"")))</f>
        <v>4.5999999999999996</v>
      </c>
      <c r="BY153" s="12">
        <f>IF('Données projet'!$A$114&gt;35,BY152+BX153-CG152,IF(A153&lt;'Données projet'!$A$114,$BV$205^A153,IF(A153='Données projet'!$A$114,'Données projet'!$B$114,BY152+BX153-CG152)))</f>
        <v>291.99999999999966</v>
      </c>
      <c r="BZ153" s="13">
        <f>BY153*VLOOKUP('Données projet'!$B$12,Paramètres!$A$1:$I$89,3,0)*VLOOKUP('Données projet'!$B$12,Paramètres!$A$1:$I$89,5,0)</f>
        <v>314.30879999999962</v>
      </c>
      <c r="CA153" s="13">
        <f t="shared" si="147"/>
        <v>74.167954918422311</v>
      </c>
      <c r="CB153" s="20">
        <f t="shared" si="118"/>
        <v>676.59701481625154</v>
      </c>
      <c r="CC153" s="59">
        <f t="shared" si="119"/>
        <v>969.93034814958492</v>
      </c>
      <c r="CD153" s="59">
        <f ca="1">AVERAGE(OFFSET($CC$3,0,0,'Données projet'!$E$12+1,1))-AVERAGE(OFFSET($H$3,0,0,'Données projet'!$E$12+1,1))</f>
        <v>354.06521046071936</v>
      </c>
      <c r="CE153" s="59">
        <f t="shared" si="148"/>
        <v>206.22956332364367</v>
      </c>
      <c r="CF153" s="15">
        <f>IF(ISNA(VLOOKUP(A153,'Données projet'!$A$113:$I$133,3,0)),0,VLOOKUP(A153,'Données projet'!$A$113:$I$133,3,0))</f>
        <v>14</v>
      </c>
      <c r="CG153" s="15">
        <f>IF(ISNA(VLOOKUP(A153,'Données projet'!$A$113:$I$133,4,0)),0,VLOOKUP(A153,'Données projet'!$A$113:$I$133,4,0))</f>
        <v>292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-3.4106051316484809E-13</v>
      </c>
      <c r="O154" s="13">
        <f>N154*VLOOKUP('Données projet'!$B$9,Paramètres!$A$1:$I$89,3,0)*VLOOKUP('Données projet'!$B$9,Paramètres!$A$1:$I$89,5,0)</f>
        <v>-3.0859155231155454E-13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280.79223530986889</v>
      </c>
      <c r="T154" s="59">
        <f t="shared" si="142"/>
        <v>170.29932835468685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-3.4106051316484809E-13</v>
      </c>
      <c r="AJ154" s="13">
        <f>AI154*VLOOKUP('Données projet'!$B$10,Paramètres!$A$1:$I$89,3,0)*VLOOKUP('Données projet'!$B$10,Paramètres!$A$1:$I$89,5,0)</f>
        <v>-3.4583536034915599E-13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327.4505861600158</v>
      </c>
      <c r="AO154" s="59">
        <f t="shared" si="144"/>
        <v>193.18009444354595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-3.4106051316484809E-13</v>
      </c>
      <c r="BE154" s="13">
        <f>BD154*VLOOKUP('Données projet'!$B$11,Paramètres!$A$1:$I$89,3,0)*VLOOKUP('Données projet'!$B$11,Paramètres!$A$1:$I$89,5,0)</f>
        <v>-3.5647644835989929E-13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340.76197766679212</v>
      </c>
      <c r="BJ154" s="59">
        <f t="shared" si="146"/>
        <v>199.70700738826872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-3.4106051316484809E-13</v>
      </c>
      <c r="BZ154" s="13">
        <f>BY154*VLOOKUP('Données projet'!$B$12,Paramètres!$A$1:$I$89,3,0)*VLOOKUP('Données projet'!$B$12,Paramètres!$A$1:$I$89,5,0)</f>
        <v>-3.6711753637064249E-13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354.06521046071936</v>
      </c>
      <c r="CE154" s="59">
        <f t="shared" si="148"/>
        <v>206.22956332364367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-3.4106051316484809E-13</v>
      </c>
      <c r="O155" s="13">
        <f>N155*VLOOKUP('Données projet'!$B$9,Paramètres!$A$1:$I$89,3,0)*VLOOKUP('Données projet'!$B$9,Paramètres!$A$1:$I$89,5,0)</f>
        <v>-3.0859155231155454E-13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280.79223530986889</v>
      </c>
      <c r="T155" s="59">
        <f t="shared" si="142"/>
        <v>170.29932835468685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-3.4106051316484809E-13</v>
      </c>
      <c r="AJ155" s="13">
        <f>AI155*VLOOKUP('Données projet'!$B$10,Paramètres!$A$1:$I$89,3,0)*VLOOKUP('Données projet'!$B$10,Paramètres!$A$1:$I$89,5,0)</f>
        <v>-3.4583536034915599E-13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327.4505861600158</v>
      </c>
      <c r="AO155" s="59">
        <f t="shared" si="144"/>
        <v>193.18009444354595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-3.4106051316484809E-13</v>
      </c>
      <c r="BE155" s="13">
        <f>BD155*VLOOKUP('Données projet'!$B$11,Paramètres!$A$1:$I$89,3,0)*VLOOKUP('Données projet'!$B$11,Paramètres!$A$1:$I$89,5,0)</f>
        <v>-3.5647644835989929E-13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340.76197766679212</v>
      </c>
      <c r="BJ155" s="59">
        <f t="shared" si="146"/>
        <v>199.70700738826872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-3.4106051316484809E-13</v>
      </c>
      <c r="BZ155" s="13">
        <f>BY155*VLOOKUP('Données projet'!$B$12,Paramètres!$A$1:$I$89,3,0)*VLOOKUP('Données projet'!$B$12,Paramètres!$A$1:$I$89,5,0)</f>
        <v>-3.6711753637064249E-13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354.06521046071936</v>
      </c>
      <c r="CE155" s="59">
        <f t="shared" si="148"/>
        <v>206.22956332364367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-3.4106051316484809E-13</v>
      </c>
      <c r="O156" s="13">
        <f>N156*VLOOKUP('Données projet'!$B$9,Paramètres!$A$1:$I$89,3,0)*VLOOKUP('Données projet'!$B$9,Paramètres!$A$1:$I$89,5,0)</f>
        <v>-3.0859155231155454E-13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280.79223530986889</v>
      </c>
      <c r="T156" s="59">
        <f t="shared" si="142"/>
        <v>170.29932835468685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-3.4106051316484809E-13</v>
      </c>
      <c r="AJ156" s="13">
        <f>AI156*VLOOKUP('Données projet'!$B$10,Paramètres!$A$1:$I$89,3,0)*VLOOKUP('Données projet'!$B$10,Paramètres!$A$1:$I$89,5,0)</f>
        <v>-3.4583536034915599E-13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327.4505861600158</v>
      </c>
      <c r="AO156" s="59">
        <f t="shared" si="144"/>
        <v>193.18009444354595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-3.4106051316484809E-13</v>
      </c>
      <c r="BE156" s="13">
        <f>BD156*VLOOKUP('Données projet'!$B$11,Paramètres!$A$1:$I$89,3,0)*VLOOKUP('Données projet'!$B$11,Paramètres!$A$1:$I$89,5,0)</f>
        <v>-3.5647644835989929E-13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340.76197766679212</v>
      </c>
      <c r="BJ156" s="59">
        <f t="shared" si="146"/>
        <v>199.70700738826872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-3.4106051316484809E-13</v>
      </c>
      <c r="BZ156" s="13">
        <f>BY156*VLOOKUP('Données projet'!$B$12,Paramètres!$A$1:$I$89,3,0)*VLOOKUP('Données projet'!$B$12,Paramètres!$A$1:$I$89,5,0)</f>
        <v>-3.6711753637064249E-13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354.06521046071936</v>
      </c>
      <c r="CE156" s="59">
        <f t="shared" si="148"/>
        <v>206.22956332364367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-3.4106051316484809E-13</v>
      </c>
      <c r="O157" s="13">
        <f>N157*VLOOKUP('Données projet'!$B$9,Paramètres!$A$1:$I$89,3,0)*VLOOKUP('Données projet'!$B$9,Paramètres!$A$1:$I$89,5,0)</f>
        <v>-3.0859155231155454E-13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280.79223530986889</v>
      </c>
      <c r="T157" s="59">
        <f t="shared" si="142"/>
        <v>170.29932835468685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-3.4106051316484809E-13</v>
      </c>
      <c r="AJ157" s="13">
        <f>AI157*VLOOKUP('Données projet'!$B$10,Paramètres!$A$1:$I$89,3,0)*VLOOKUP('Données projet'!$B$10,Paramètres!$A$1:$I$89,5,0)</f>
        <v>-3.4583536034915599E-13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327.4505861600158</v>
      </c>
      <c r="AO157" s="59">
        <f t="shared" si="144"/>
        <v>193.18009444354595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-3.4106051316484809E-13</v>
      </c>
      <c r="BE157" s="13">
        <f>BD157*VLOOKUP('Données projet'!$B$11,Paramètres!$A$1:$I$89,3,0)*VLOOKUP('Données projet'!$B$11,Paramètres!$A$1:$I$89,5,0)</f>
        <v>-3.5647644835989929E-13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340.76197766679212</v>
      </c>
      <c r="BJ157" s="59">
        <f t="shared" si="146"/>
        <v>199.70700738826872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-3.4106051316484809E-13</v>
      </c>
      <c r="BZ157" s="13">
        <f>BY157*VLOOKUP('Données projet'!$B$12,Paramètres!$A$1:$I$89,3,0)*VLOOKUP('Données projet'!$B$12,Paramètres!$A$1:$I$89,5,0)</f>
        <v>-3.6711753637064249E-13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354.06521046071936</v>
      </c>
      <c r="CE157" s="59">
        <f t="shared" si="148"/>
        <v>206.22956332364367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-3.4106051316484809E-13</v>
      </c>
      <c r="O158" s="13">
        <f>N158*VLOOKUP('Données projet'!$B$9,Paramètres!$A$1:$I$89,3,0)*VLOOKUP('Données projet'!$B$9,Paramètres!$A$1:$I$89,5,0)</f>
        <v>-3.0859155231155454E-13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280.79223530986889</v>
      </c>
      <c r="T158" s="59">
        <f t="shared" si="142"/>
        <v>170.29932835468685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-3.4106051316484809E-13</v>
      </c>
      <c r="AJ158" s="13">
        <f>AI158*VLOOKUP('Données projet'!$B$10,Paramètres!$A$1:$I$89,3,0)*VLOOKUP('Données projet'!$B$10,Paramètres!$A$1:$I$89,5,0)</f>
        <v>-3.4583536034915599E-13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327.4505861600158</v>
      </c>
      <c r="AO158" s="59">
        <f t="shared" si="144"/>
        <v>193.18009444354595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-3.4106051316484809E-13</v>
      </c>
      <c r="BE158" s="13">
        <f>BD158*VLOOKUP('Données projet'!$B$11,Paramètres!$A$1:$I$89,3,0)*VLOOKUP('Données projet'!$B$11,Paramètres!$A$1:$I$89,5,0)</f>
        <v>-3.5647644835989929E-13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340.76197766679212</v>
      </c>
      <c r="BJ158" s="59">
        <f t="shared" si="146"/>
        <v>199.70700738826872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-3.4106051316484809E-13</v>
      </c>
      <c r="BZ158" s="13">
        <f>BY158*VLOOKUP('Données projet'!$B$12,Paramètres!$A$1:$I$89,3,0)*VLOOKUP('Données projet'!$B$12,Paramètres!$A$1:$I$89,5,0)</f>
        <v>-3.6711753637064249E-13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354.06521046071936</v>
      </c>
      <c r="CE158" s="59">
        <f t="shared" si="148"/>
        <v>206.22956332364367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-3.4106051316484809E-13</v>
      </c>
      <c r="O159" s="13">
        <f>N159*VLOOKUP('Données projet'!$B$9,Paramètres!$A$1:$I$89,3,0)*VLOOKUP('Données projet'!$B$9,Paramètres!$A$1:$I$89,5,0)</f>
        <v>-3.0859155231155454E-13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280.79223530986889</v>
      </c>
      <c r="T159" s="59">
        <f t="shared" si="142"/>
        <v>170.29932835468685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-3.4106051316484809E-13</v>
      </c>
      <c r="AJ159" s="13">
        <f>AI159*VLOOKUP('Données projet'!$B$10,Paramètres!$A$1:$I$89,3,0)*VLOOKUP('Données projet'!$B$10,Paramètres!$A$1:$I$89,5,0)</f>
        <v>-3.4583536034915599E-13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327.4505861600158</v>
      </c>
      <c r="AO159" s="59">
        <f t="shared" si="144"/>
        <v>193.18009444354595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-3.4106051316484809E-13</v>
      </c>
      <c r="BE159" s="13">
        <f>BD159*VLOOKUP('Données projet'!$B$11,Paramètres!$A$1:$I$89,3,0)*VLOOKUP('Données projet'!$B$11,Paramètres!$A$1:$I$89,5,0)</f>
        <v>-3.5647644835989929E-13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340.76197766679212</v>
      </c>
      <c r="BJ159" s="59">
        <f t="shared" si="146"/>
        <v>199.70700738826872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-3.4106051316484809E-13</v>
      </c>
      <c r="BZ159" s="13">
        <f>BY159*VLOOKUP('Données projet'!$B$12,Paramètres!$A$1:$I$89,3,0)*VLOOKUP('Données projet'!$B$12,Paramètres!$A$1:$I$89,5,0)</f>
        <v>-3.6711753637064249E-13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354.06521046071936</v>
      </c>
      <c r="CE159" s="59">
        <f t="shared" si="148"/>
        <v>206.22956332364367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-3.4106051316484809E-13</v>
      </c>
      <c r="O160" s="13">
        <f>N160*VLOOKUP('Données projet'!$B$9,Paramètres!$A$1:$I$89,3,0)*VLOOKUP('Données projet'!$B$9,Paramètres!$A$1:$I$89,5,0)</f>
        <v>-3.0859155231155454E-13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280.79223530986889</v>
      </c>
      <c r="T160" s="59">
        <f t="shared" si="142"/>
        <v>170.29932835468685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-3.4106051316484809E-13</v>
      </c>
      <c r="AJ160" s="13">
        <f>AI160*VLOOKUP('Données projet'!$B$10,Paramètres!$A$1:$I$89,3,0)*VLOOKUP('Données projet'!$B$10,Paramètres!$A$1:$I$89,5,0)</f>
        <v>-3.4583536034915599E-13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327.4505861600158</v>
      </c>
      <c r="AO160" s="59">
        <f t="shared" si="144"/>
        <v>193.18009444354595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-3.4106051316484809E-13</v>
      </c>
      <c r="BE160" s="13">
        <f>BD160*VLOOKUP('Données projet'!$B$11,Paramètres!$A$1:$I$89,3,0)*VLOOKUP('Données projet'!$B$11,Paramètres!$A$1:$I$89,5,0)</f>
        <v>-3.5647644835989929E-13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340.76197766679212</v>
      </c>
      <c r="BJ160" s="59">
        <f t="shared" si="146"/>
        <v>199.70700738826872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-3.4106051316484809E-13</v>
      </c>
      <c r="BZ160" s="13">
        <f>BY160*VLOOKUP('Données projet'!$B$12,Paramètres!$A$1:$I$89,3,0)*VLOOKUP('Données projet'!$B$12,Paramètres!$A$1:$I$89,5,0)</f>
        <v>-3.6711753637064249E-13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354.06521046071936</v>
      </c>
      <c r="CE160" s="59">
        <f t="shared" si="148"/>
        <v>206.22956332364367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-3.4106051316484809E-13</v>
      </c>
      <c r="O161" s="13">
        <f>N161*VLOOKUP('Données projet'!$B$9,Paramètres!$A$1:$I$89,3,0)*VLOOKUP('Données projet'!$B$9,Paramètres!$A$1:$I$89,5,0)</f>
        <v>-3.0859155231155454E-13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280.79223530986889</v>
      </c>
      <c r="T161" s="59">
        <f t="shared" si="142"/>
        <v>170.29932835468685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-3.4106051316484809E-13</v>
      </c>
      <c r="AJ161" s="13">
        <f>AI161*VLOOKUP('Données projet'!$B$10,Paramètres!$A$1:$I$89,3,0)*VLOOKUP('Données projet'!$B$10,Paramètres!$A$1:$I$89,5,0)</f>
        <v>-3.4583536034915599E-13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327.4505861600158</v>
      </c>
      <c r="AO161" s="59">
        <f t="shared" si="144"/>
        <v>193.18009444354595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-3.4106051316484809E-13</v>
      </c>
      <c r="BE161" s="13">
        <f>BD161*VLOOKUP('Données projet'!$B$11,Paramètres!$A$1:$I$89,3,0)*VLOOKUP('Données projet'!$B$11,Paramètres!$A$1:$I$89,5,0)</f>
        <v>-3.5647644835989929E-13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340.76197766679212</v>
      </c>
      <c r="BJ161" s="59">
        <f t="shared" si="146"/>
        <v>199.70700738826872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-3.4106051316484809E-13</v>
      </c>
      <c r="BZ161" s="13">
        <f>BY161*VLOOKUP('Données projet'!$B$12,Paramètres!$A$1:$I$89,3,0)*VLOOKUP('Données projet'!$B$12,Paramètres!$A$1:$I$89,5,0)</f>
        <v>-3.6711753637064249E-13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354.06521046071936</v>
      </c>
      <c r="CE161" s="59">
        <f t="shared" si="148"/>
        <v>206.22956332364367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-3.4106051316484809E-13</v>
      </c>
      <c r="O162" s="13">
        <f>N162*VLOOKUP('Données projet'!$B$9,Paramètres!$A$1:$I$89,3,0)*VLOOKUP('Données projet'!$B$9,Paramètres!$A$1:$I$89,5,0)</f>
        <v>-3.0859155231155454E-13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280.79223530986889</v>
      </c>
      <c r="T162" s="59">
        <f t="shared" si="142"/>
        <v>170.29932835468685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-3.4106051316484809E-13</v>
      </c>
      <c r="AJ162" s="13">
        <f>AI162*VLOOKUP('Données projet'!$B$10,Paramètres!$A$1:$I$89,3,0)*VLOOKUP('Données projet'!$B$10,Paramètres!$A$1:$I$89,5,0)</f>
        <v>-3.4583536034915599E-13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327.4505861600158</v>
      </c>
      <c r="AO162" s="59">
        <f t="shared" si="144"/>
        <v>193.18009444354595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-3.4106051316484809E-13</v>
      </c>
      <c r="BE162" s="13">
        <f>BD162*VLOOKUP('Données projet'!$B$11,Paramètres!$A$1:$I$89,3,0)*VLOOKUP('Données projet'!$B$11,Paramètres!$A$1:$I$89,5,0)</f>
        <v>-3.5647644835989929E-13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340.76197766679212</v>
      </c>
      <c r="BJ162" s="59">
        <f t="shared" si="146"/>
        <v>199.70700738826872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-3.4106051316484809E-13</v>
      </c>
      <c r="BZ162" s="13">
        <f>BY162*VLOOKUP('Données projet'!$B$12,Paramètres!$A$1:$I$89,3,0)*VLOOKUP('Données projet'!$B$12,Paramètres!$A$1:$I$89,5,0)</f>
        <v>-3.6711753637064249E-13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354.06521046071936</v>
      </c>
      <c r="CE162" s="59">
        <f t="shared" si="148"/>
        <v>206.22956332364367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-3.4106051316484809E-13</v>
      </c>
      <c r="O163" s="13">
        <f>N163*VLOOKUP('Données projet'!$B$9,Paramètres!$A$1:$I$89,3,0)*VLOOKUP('Données projet'!$B$9,Paramètres!$A$1:$I$89,5,0)</f>
        <v>-3.0859155231155454E-13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280.79223530986889</v>
      </c>
      <c r="T163" s="59">
        <f t="shared" si="142"/>
        <v>170.29932835468685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-3.4106051316484809E-13</v>
      </c>
      <c r="AJ163" s="13">
        <f>AI163*VLOOKUP('Données projet'!$B$10,Paramètres!$A$1:$I$89,3,0)*VLOOKUP('Données projet'!$B$10,Paramètres!$A$1:$I$89,5,0)</f>
        <v>-3.4583536034915599E-13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327.4505861600158</v>
      </c>
      <c r="AO163" s="59">
        <f t="shared" si="144"/>
        <v>193.18009444354595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-3.4106051316484809E-13</v>
      </c>
      <c r="BE163" s="13">
        <f>BD163*VLOOKUP('Données projet'!$B$11,Paramètres!$A$1:$I$89,3,0)*VLOOKUP('Données projet'!$B$11,Paramètres!$A$1:$I$89,5,0)</f>
        <v>-3.5647644835989929E-13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340.76197766679212</v>
      </c>
      <c r="BJ163" s="59">
        <f t="shared" si="146"/>
        <v>199.70700738826872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-3.4106051316484809E-13</v>
      </c>
      <c r="BZ163" s="13">
        <f>BY163*VLOOKUP('Données projet'!$B$12,Paramètres!$A$1:$I$89,3,0)*VLOOKUP('Données projet'!$B$12,Paramètres!$A$1:$I$89,5,0)</f>
        <v>-3.6711753637064249E-13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354.06521046071936</v>
      </c>
      <c r="CE163" s="59">
        <f t="shared" si="148"/>
        <v>206.22956332364367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-3.4106051316484809E-13</v>
      </c>
      <c r="O164" s="13">
        <f>N164*VLOOKUP('Données projet'!$B$9,Paramètres!$A$1:$I$89,3,0)*VLOOKUP('Données projet'!$B$9,Paramètres!$A$1:$I$89,5,0)</f>
        <v>-3.0859155231155454E-13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280.79223530986889</v>
      </c>
      <c r="T164" s="59">
        <f t="shared" si="142"/>
        <v>170.29932835468685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-3.4106051316484809E-13</v>
      </c>
      <c r="AJ164" s="13">
        <f>AI164*VLOOKUP('Données projet'!$B$10,Paramètres!$A$1:$I$89,3,0)*VLOOKUP('Données projet'!$B$10,Paramètres!$A$1:$I$89,5,0)</f>
        <v>-3.4583536034915599E-13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327.4505861600158</v>
      </c>
      <c r="AO164" s="59">
        <f t="shared" si="144"/>
        <v>193.18009444354595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-3.4106051316484809E-13</v>
      </c>
      <c r="BE164" s="13">
        <f>BD164*VLOOKUP('Données projet'!$B$11,Paramètres!$A$1:$I$89,3,0)*VLOOKUP('Données projet'!$B$11,Paramètres!$A$1:$I$89,5,0)</f>
        <v>-3.5647644835989929E-13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340.76197766679212</v>
      </c>
      <c r="BJ164" s="59">
        <f t="shared" si="146"/>
        <v>199.70700738826872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-3.4106051316484809E-13</v>
      </c>
      <c r="BZ164" s="13">
        <f>BY164*VLOOKUP('Données projet'!$B$12,Paramètres!$A$1:$I$89,3,0)*VLOOKUP('Données projet'!$B$12,Paramètres!$A$1:$I$89,5,0)</f>
        <v>-3.6711753637064249E-13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354.06521046071936</v>
      </c>
      <c r="CE164" s="59">
        <f t="shared" si="148"/>
        <v>206.22956332364367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-3.4106051316484809E-13</v>
      </c>
      <c r="O165" s="13">
        <f>N165*VLOOKUP('Données projet'!$B$9,Paramètres!$A$1:$I$89,3,0)*VLOOKUP('Données projet'!$B$9,Paramètres!$A$1:$I$89,5,0)</f>
        <v>-3.0859155231155454E-13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280.79223530986889</v>
      </c>
      <c r="T165" s="59">
        <f t="shared" si="142"/>
        <v>170.29932835468685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-3.4106051316484809E-13</v>
      </c>
      <c r="AJ165" s="13">
        <f>AI165*VLOOKUP('Données projet'!$B$10,Paramètres!$A$1:$I$89,3,0)*VLOOKUP('Données projet'!$B$10,Paramètres!$A$1:$I$89,5,0)</f>
        <v>-3.4583536034915599E-13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327.4505861600158</v>
      </c>
      <c r="AO165" s="59">
        <f t="shared" si="144"/>
        <v>193.18009444354595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-3.4106051316484809E-13</v>
      </c>
      <c r="BE165" s="13">
        <f>BD165*VLOOKUP('Données projet'!$B$11,Paramètres!$A$1:$I$89,3,0)*VLOOKUP('Données projet'!$B$11,Paramètres!$A$1:$I$89,5,0)</f>
        <v>-3.5647644835989929E-13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340.76197766679212</v>
      </c>
      <c r="BJ165" s="59">
        <f t="shared" si="146"/>
        <v>199.70700738826872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-3.4106051316484809E-13</v>
      </c>
      <c r="BZ165" s="13">
        <f>BY165*VLOOKUP('Données projet'!$B$12,Paramètres!$A$1:$I$89,3,0)*VLOOKUP('Données projet'!$B$12,Paramètres!$A$1:$I$89,5,0)</f>
        <v>-3.6711753637064249E-13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354.06521046071936</v>
      </c>
      <c r="CE165" s="59">
        <f t="shared" si="148"/>
        <v>206.22956332364367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-3.4106051316484809E-13</v>
      </c>
      <c r="O166" s="13">
        <f>N166*VLOOKUP('Données projet'!$B$9,Paramètres!$A$1:$I$89,3,0)*VLOOKUP('Données projet'!$B$9,Paramètres!$A$1:$I$89,5,0)</f>
        <v>-3.0859155231155454E-13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280.79223530986889</v>
      </c>
      <c r="T166" s="59">
        <f t="shared" si="142"/>
        <v>170.29932835468685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-3.4106051316484809E-13</v>
      </c>
      <c r="AJ166" s="13">
        <f>AI166*VLOOKUP('Données projet'!$B$10,Paramètres!$A$1:$I$89,3,0)*VLOOKUP('Données projet'!$B$10,Paramètres!$A$1:$I$89,5,0)</f>
        <v>-3.4583536034915599E-13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327.4505861600158</v>
      </c>
      <c r="AO166" s="59">
        <f t="shared" si="144"/>
        <v>193.18009444354595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-3.4106051316484809E-13</v>
      </c>
      <c r="BE166" s="13">
        <f>BD166*VLOOKUP('Données projet'!$B$11,Paramètres!$A$1:$I$89,3,0)*VLOOKUP('Données projet'!$B$11,Paramètres!$A$1:$I$89,5,0)</f>
        <v>-3.5647644835989929E-13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340.76197766679212</v>
      </c>
      <c r="BJ166" s="59">
        <f t="shared" si="146"/>
        <v>199.70700738826872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-3.4106051316484809E-13</v>
      </c>
      <c r="BZ166" s="13">
        <f>BY166*VLOOKUP('Données projet'!$B$12,Paramètres!$A$1:$I$89,3,0)*VLOOKUP('Données projet'!$B$12,Paramètres!$A$1:$I$89,5,0)</f>
        <v>-3.6711753637064249E-13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354.06521046071936</v>
      </c>
      <c r="CE166" s="59">
        <f t="shared" si="148"/>
        <v>206.22956332364367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-3.4106051316484809E-13</v>
      </c>
      <c r="O167" s="13">
        <f>N167*VLOOKUP('Données projet'!$B$9,Paramètres!$A$1:$I$89,3,0)*VLOOKUP('Données projet'!$B$9,Paramètres!$A$1:$I$89,5,0)</f>
        <v>-3.0859155231155454E-13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280.79223530986889</v>
      </c>
      <c r="T167" s="59">
        <f t="shared" si="142"/>
        <v>170.29932835468685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-3.4106051316484809E-13</v>
      </c>
      <c r="AJ167" s="13">
        <f>AI167*VLOOKUP('Données projet'!$B$10,Paramètres!$A$1:$I$89,3,0)*VLOOKUP('Données projet'!$B$10,Paramètres!$A$1:$I$89,5,0)</f>
        <v>-3.4583536034915599E-13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327.4505861600158</v>
      </c>
      <c r="AO167" s="59">
        <f t="shared" si="144"/>
        <v>193.18009444354595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-3.4106051316484809E-13</v>
      </c>
      <c r="BE167" s="13">
        <f>BD167*VLOOKUP('Données projet'!$B$11,Paramètres!$A$1:$I$89,3,0)*VLOOKUP('Données projet'!$B$11,Paramètres!$A$1:$I$89,5,0)</f>
        <v>-3.5647644835989929E-13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340.76197766679212</v>
      </c>
      <c r="BJ167" s="59">
        <f t="shared" si="146"/>
        <v>199.70700738826872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-3.4106051316484809E-13</v>
      </c>
      <c r="BZ167" s="13">
        <f>BY167*VLOOKUP('Données projet'!$B$12,Paramètres!$A$1:$I$89,3,0)*VLOOKUP('Données projet'!$B$12,Paramètres!$A$1:$I$89,5,0)</f>
        <v>-3.6711753637064249E-13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354.06521046071936</v>
      </c>
      <c r="CE167" s="59">
        <f t="shared" si="148"/>
        <v>206.22956332364367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-3.4106051316484809E-13</v>
      </c>
      <c r="O168" s="13">
        <f>N168*VLOOKUP('Données projet'!$B$9,Paramètres!$A$1:$I$89,3,0)*VLOOKUP('Données projet'!$B$9,Paramètres!$A$1:$I$89,5,0)</f>
        <v>-3.0859155231155454E-13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280.79223530986889</v>
      </c>
      <c r="T168" s="59">
        <f t="shared" si="142"/>
        <v>170.29932835468685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-3.4106051316484809E-13</v>
      </c>
      <c r="AJ168" s="13">
        <f>AI168*VLOOKUP('Données projet'!$B$10,Paramètres!$A$1:$I$89,3,0)*VLOOKUP('Données projet'!$B$10,Paramètres!$A$1:$I$89,5,0)</f>
        <v>-3.4583536034915599E-13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327.4505861600158</v>
      </c>
      <c r="AO168" s="59">
        <f t="shared" si="144"/>
        <v>193.18009444354595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-3.4106051316484809E-13</v>
      </c>
      <c r="BE168" s="13">
        <f>BD168*VLOOKUP('Données projet'!$B$11,Paramètres!$A$1:$I$89,3,0)*VLOOKUP('Données projet'!$B$11,Paramètres!$A$1:$I$89,5,0)</f>
        <v>-3.5647644835989929E-13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340.76197766679212</v>
      </c>
      <c r="BJ168" s="59">
        <f t="shared" si="146"/>
        <v>199.70700738826872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-3.4106051316484809E-13</v>
      </c>
      <c r="BZ168" s="13">
        <f>BY168*VLOOKUP('Données projet'!$B$12,Paramètres!$A$1:$I$89,3,0)*VLOOKUP('Données projet'!$B$12,Paramètres!$A$1:$I$89,5,0)</f>
        <v>-3.6711753637064249E-13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354.06521046071936</v>
      </c>
      <c r="CE168" s="59">
        <f t="shared" si="148"/>
        <v>206.22956332364367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-3.4106051316484809E-13</v>
      </c>
      <c r="O169" s="13">
        <f>N169*VLOOKUP('Données projet'!$B$9,Paramètres!$A$1:$I$89,3,0)*VLOOKUP('Données projet'!$B$9,Paramètres!$A$1:$I$89,5,0)</f>
        <v>-3.0859155231155454E-13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280.79223530986889</v>
      </c>
      <c r="T169" s="59">
        <f t="shared" si="142"/>
        <v>170.29932835468685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-3.4106051316484809E-13</v>
      </c>
      <c r="AJ169" s="13">
        <f>AI169*VLOOKUP('Données projet'!$B$10,Paramètres!$A$1:$I$89,3,0)*VLOOKUP('Données projet'!$B$10,Paramètres!$A$1:$I$89,5,0)</f>
        <v>-3.4583536034915599E-13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327.4505861600158</v>
      </c>
      <c r="AO169" s="59">
        <f t="shared" si="144"/>
        <v>193.18009444354595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-3.4106051316484809E-13</v>
      </c>
      <c r="BE169" s="13">
        <f>BD169*VLOOKUP('Données projet'!$B$11,Paramètres!$A$1:$I$89,3,0)*VLOOKUP('Données projet'!$B$11,Paramètres!$A$1:$I$89,5,0)</f>
        <v>-3.5647644835989929E-13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340.76197766679212</v>
      </c>
      <c r="BJ169" s="59">
        <f t="shared" si="146"/>
        <v>199.70700738826872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-3.4106051316484809E-13</v>
      </c>
      <c r="BZ169" s="13">
        <f>BY169*VLOOKUP('Données projet'!$B$12,Paramètres!$A$1:$I$89,3,0)*VLOOKUP('Données projet'!$B$12,Paramètres!$A$1:$I$89,5,0)</f>
        <v>-3.6711753637064249E-13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354.06521046071936</v>
      </c>
      <c r="CE169" s="59">
        <f t="shared" si="148"/>
        <v>206.22956332364367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-3.4106051316484809E-13</v>
      </c>
      <c r="O170" s="13">
        <f>N170*VLOOKUP('Données projet'!$B$9,Paramètres!$A$1:$I$89,3,0)*VLOOKUP('Données projet'!$B$9,Paramètres!$A$1:$I$89,5,0)</f>
        <v>-3.0859155231155454E-13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280.79223530986889</v>
      </c>
      <c r="T170" s="59">
        <f t="shared" si="142"/>
        <v>170.29932835468685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-3.4106051316484809E-13</v>
      </c>
      <c r="AJ170" s="13">
        <f>AI170*VLOOKUP('Données projet'!$B$10,Paramètres!$A$1:$I$89,3,0)*VLOOKUP('Données projet'!$B$10,Paramètres!$A$1:$I$89,5,0)</f>
        <v>-3.4583536034915599E-13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327.4505861600158</v>
      </c>
      <c r="AO170" s="59">
        <f t="shared" si="144"/>
        <v>193.18009444354595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-3.4106051316484809E-13</v>
      </c>
      <c r="BE170" s="13">
        <f>BD170*VLOOKUP('Données projet'!$B$11,Paramètres!$A$1:$I$89,3,0)*VLOOKUP('Données projet'!$B$11,Paramètres!$A$1:$I$89,5,0)</f>
        <v>-3.5647644835989929E-13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340.76197766679212</v>
      </c>
      <c r="BJ170" s="59">
        <f t="shared" si="146"/>
        <v>199.70700738826872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-3.4106051316484809E-13</v>
      </c>
      <c r="BZ170" s="13">
        <f>BY170*VLOOKUP('Données projet'!$B$12,Paramètres!$A$1:$I$89,3,0)*VLOOKUP('Données projet'!$B$12,Paramètres!$A$1:$I$89,5,0)</f>
        <v>-3.6711753637064249E-13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354.06521046071936</v>
      </c>
      <c r="CE170" s="59">
        <f t="shared" si="148"/>
        <v>206.22956332364367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-3.4106051316484809E-13</v>
      </c>
      <c r="O171" s="13">
        <f>N171*VLOOKUP('Données projet'!$B$9,Paramètres!$A$1:$I$89,3,0)*VLOOKUP('Données projet'!$B$9,Paramètres!$A$1:$I$89,5,0)</f>
        <v>-3.0859155231155454E-13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280.79223530986889</v>
      </c>
      <c r="T171" s="59">
        <f t="shared" si="142"/>
        <v>170.29932835468685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-3.4106051316484809E-13</v>
      </c>
      <c r="AJ171" s="13">
        <f>AI171*VLOOKUP('Données projet'!$B$10,Paramètres!$A$1:$I$89,3,0)*VLOOKUP('Données projet'!$B$10,Paramètres!$A$1:$I$89,5,0)</f>
        <v>-3.4583536034915599E-13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327.4505861600158</v>
      </c>
      <c r="AO171" s="59">
        <f t="shared" si="144"/>
        <v>193.18009444354595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-3.4106051316484809E-13</v>
      </c>
      <c r="BE171" s="13">
        <f>BD171*VLOOKUP('Données projet'!$B$11,Paramètres!$A$1:$I$89,3,0)*VLOOKUP('Données projet'!$B$11,Paramètres!$A$1:$I$89,5,0)</f>
        <v>-3.5647644835989929E-13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340.76197766679212</v>
      </c>
      <c r="BJ171" s="59">
        <f t="shared" si="146"/>
        <v>199.70700738826872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-3.4106051316484809E-13</v>
      </c>
      <c r="BZ171" s="13">
        <f>BY171*VLOOKUP('Données projet'!$B$12,Paramètres!$A$1:$I$89,3,0)*VLOOKUP('Données projet'!$B$12,Paramètres!$A$1:$I$89,5,0)</f>
        <v>-3.6711753637064249E-13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354.06521046071936</v>
      </c>
      <c r="CE171" s="59">
        <f t="shared" si="148"/>
        <v>206.22956332364367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-3.4106051316484809E-13</v>
      </c>
      <c r="O172" s="13">
        <f>N172*VLOOKUP('Données projet'!$B$9,Paramètres!$A$1:$I$89,3,0)*VLOOKUP('Données projet'!$B$9,Paramètres!$A$1:$I$89,5,0)</f>
        <v>-3.0859155231155454E-13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280.79223530986889</v>
      </c>
      <c r="T172" s="59">
        <f t="shared" si="142"/>
        <v>170.29932835468685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-3.4106051316484809E-13</v>
      </c>
      <c r="AJ172" s="13">
        <f>AI172*VLOOKUP('Données projet'!$B$10,Paramètres!$A$1:$I$89,3,0)*VLOOKUP('Données projet'!$B$10,Paramètres!$A$1:$I$89,5,0)</f>
        <v>-3.4583536034915599E-13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327.4505861600158</v>
      </c>
      <c r="AO172" s="59">
        <f t="shared" si="144"/>
        <v>193.18009444354595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-3.4106051316484809E-13</v>
      </c>
      <c r="BE172" s="13">
        <f>BD172*VLOOKUP('Données projet'!$B$11,Paramètres!$A$1:$I$89,3,0)*VLOOKUP('Données projet'!$B$11,Paramètres!$A$1:$I$89,5,0)</f>
        <v>-3.5647644835989929E-13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340.76197766679212</v>
      </c>
      <c r="BJ172" s="59">
        <f t="shared" si="146"/>
        <v>199.70700738826872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-3.4106051316484809E-13</v>
      </c>
      <c r="BZ172" s="13">
        <f>BY172*VLOOKUP('Données projet'!$B$12,Paramètres!$A$1:$I$89,3,0)*VLOOKUP('Données projet'!$B$12,Paramètres!$A$1:$I$89,5,0)</f>
        <v>-3.6711753637064249E-13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354.06521046071936</v>
      </c>
      <c r="CE172" s="59">
        <f t="shared" si="148"/>
        <v>206.22956332364367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-3.4106051316484809E-13</v>
      </c>
      <c r="O173" s="13">
        <f>N173*VLOOKUP('Données projet'!$B$9,Paramètres!$A$1:$I$89,3,0)*VLOOKUP('Données projet'!$B$9,Paramètres!$A$1:$I$89,5,0)</f>
        <v>-3.0859155231155454E-13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280.79223530986889</v>
      </c>
      <c r="T173" s="59">
        <f t="shared" si="142"/>
        <v>170.29932835468685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-3.4106051316484809E-13</v>
      </c>
      <c r="AJ173" s="13">
        <f>AI173*VLOOKUP('Données projet'!$B$10,Paramètres!$A$1:$I$89,3,0)*VLOOKUP('Données projet'!$B$10,Paramètres!$A$1:$I$89,5,0)</f>
        <v>-3.4583536034915599E-13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327.4505861600158</v>
      </c>
      <c r="AO173" s="59">
        <f t="shared" si="144"/>
        <v>193.18009444354595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-3.4106051316484809E-13</v>
      </c>
      <c r="BE173" s="13">
        <f>BD173*VLOOKUP('Données projet'!$B$11,Paramètres!$A$1:$I$89,3,0)*VLOOKUP('Données projet'!$B$11,Paramètres!$A$1:$I$89,5,0)</f>
        <v>-3.5647644835989929E-13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340.76197766679212</v>
      </c>
      <c r="BJ173" s="59">
        <f t="shared" si="146"/>
        <v>199.70700738826872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-3.4106051316484809E-13</v>
      </c>
      <c r="BZ173" s="13">
        <f>BY173*VLOOKUP('Données projet'!$B$12,Paramètres!$A$1:$I$89,3,0)*VLOOKUP('Données projet'!$B$12,Paramètres!$A$1:$I$89,5,0)</f>
        <v>-3.6711753637064249E-13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354.06521046071936</v>
      </c>
      <c r="CE173" s="59">
        <f t="shared" si="148"/>
        <v>206.22956332364367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-3.4106051316484809E-13</v>
      </c>
      <c r="O174" s="13">
        <f>N174*VLOOKUP('Données projet'!$B$9,Paramètres!$A$1:$I$89,3,0)*VLOOKUP('Données projet'!$B$9,Paramètres!$A$1:$I$89,5,0)</f>
        <v>-3.0859155231155454E-13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280.79223530986889</v>
      </c>
      <c r="T174" s="59">
        <f t="shared" si="142"/>
        <v>170.29932835468685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-3.4106051316484809E-13</v>
      </c>
      <c r="AJ174" s="13">
        <f>AI174*VLOOKUP('Données projet'!$B$10,Paramètres!$A$1:$I$89,3,0)*VLOOKUP('Données projet'!$B$10,Paramètres!$A$1:$I$89,5,0)</f>
        <v>-3.4583536034915599E-13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327.4505861600158</v>
      </c>
      <c r="AO174" s="59">
        <f t="shared" si="144"/>
        <v>193.18009444354595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-3.4106051316484809E-13</v>
      </c>
      <c r="BE174" s="13">
        <f>BD174*VLOOKUP('Données projet'!$B$11,Paramètres!$A$1:$I$89,3,0)*VLOOKUP('Données projet'!$B$11,Paramètres!$A$1:$I$89,5,0)</f>
        <v>-3.5647644835989929E-13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340.76197766679212</v>
      </c>
      <c r="BJ174" s="59">
        <f t="shared" si="146"/>
        <v>199.70700738826872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-3.4106051316484809E-13</v>
      </c>
      <c r="BZ174" s="13">
        <f>BY174*VLOOKUP('Données projet'!$B$12,Paramètres!$A$1:$I$89,3,0)*VLOOKUP('Données projet'!$B$12,Paramètres!$A$1:$I$89,5,0)</f>
        <v>-3.6711753637064249E-13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354.06521046071936</v>
      </c>
      <c r="CE174" s="59">
        <f t="shared" si="148"/>
        <v>206.22956332364367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-3.4106051316484809E-13</v>
      </c>
      <c r="O175" s="13">
        <f>N175*VLOOKUP('Données projet'!$B$9,Paramètres!$A$1:$I$89,3,0)*VLOOKUP('Données projet'!$B$9,Paramètres!$A$1:$I$89,5,0)</f>
        <v>-3.0859155231155454E-13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280.79223530986889</v>
      </c>
      <c r="T175" s="59">
        <f t="shared" si="142"/>
        <v>170.29932835468685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-3.4106051316484809E-13</v>
      </c>
      <c r="AJ175" s="13">
        <f>AI175*VLOOKUP('Données projet'!$B$10,Paramètres!$A$1:$I$89,3,0)*VLOOKUP('Données projet'!$B$10,Paramètres!$A$1:$I$89,5,0)</f>
        <v>-3.4583536034915599E-13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327.4505861600158</v>
      </c>
      <c r="AO175" s="59">
        <f t="shared" si="144"/>
        <v>193.18009444354595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-3.4106051316484809E-13</v>
      </c>
      <c r="BE175" s="13">
        <f>BD175*VLOOKUP('Données projet'!$B$11,Paramètres!$A$1:$I$89,3,0)*VLOOKUP('Données projet'!$B$11,Paramètres!$A$1:$I$89,5,0)</f>
        <v>-3.5647644835989929E-13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340.76197766679212</v>
      </c>
      <c r="BJ175" s="59">
        <f t="shared" si="146"/>
        <v>199.70700738826872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-3.4106051316484809E-13</v>
      </c>
      <c r="BZ175" s="13">
        <f>BY175*VLOOKUP('Données projet'!$B$12,Paramètres!$A$1:$I$89,3,0)*VLOOKUP('Données projet'!$B$12,Paramètres!$A$1:$I$89,5,0)</f>
        <v>-3.6711753637064249E-13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354.06521046071936</v>
      </c>
      <c r="CE175" s="59">
        <f t="shared" si="148"/>
        <v>206.22956332364367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-3.4106051316484809E-13</v>
      </c>
      <c r="O176" s="13">
        <f>N176*VLOOKUP('Données projet'!$B$9,Paramètres!$A$1:$I$89,3,0)*VLOOKUP('Données projet'!$B$9,Paramètres!$A$1:$I$89,5,0)</f>
        <v>-3.0859155231155454E-13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280.79223530986889</v>
      </c>
      <c r="T176" s="59">
        <f t="shared" si="142"/>
        <v>170.29932835468685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-3.4106051316484809E-13</v>
      </c>
      <c r="AJ176" s="13">
        <f>AI176*VLOOKUP('Données projet'!$B$10,Paramètres!$A$1:$I$89,3,0)*VLOOKUP('Données projet'!$B$10,Paramètres!$A$1:$I$89,5,0)</f>
        <v>-3.4583536034915599E-13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327.4505861600158</v>
      </c>
      <c r="AO176" s="59">
        <f t="shared" si="144"/>
        <v>193.18009444354595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-3.4106051316484809E-13</v>
      </c>
      <c r="BE176" s="13">
        <f>BD176*VLOOKUP('Données projet'!$B$11,Paramètres!$A$1:$I$89,3,0)*VLOOKUP('Données projet'!$B$11,Paramètres!$A$1:$I$89,5,0)</f>
        <v>-3.5647644835989929E-13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340.76197766679212</v>
      </c>
      <c r="BJ176" s="59">
        <f t="shared" si="146"/>
        <v>199.70700738826872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-3.4106051316484809E-13</v>
      </c>
      <c r="BZ176" s="13">
        <f>BY176*VLOOKUP('Données projet'!$B$12,Paramètres!$A$1:$I$89,3,0)*VLOOKUP('Données projet'!$B$12,Paramètres!$A$1:$I$89,5,0)</f>
        <v>-3.6711753637064249E-13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354.06521046071936</v>
      </c>
      <c r="CE176" s="59">
        <f t="shared" si="148"/>
        <v>206.22956332364367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-3.4106051316484809E-13</v>
      </c>
      <c r="O177" s="13">
        <f>N177*VLOOKUP('Données projet'!$B$9,Paramètres!$A$1:$I$89,3,0)*VLOOKUP('Données projet'!$B$9,Paramètres!$A$1:$I$89,5,0)</f>
        <v>-3.0859155231155454E-13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280.79223530986889</v>
      </c>
      <c r="T177" s="59">
        <f t="shared" si="142"/>
        <v>170.29932835468685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-3.4106051316484809E-13</v>
      </c>
      <c r="AJ177" s="13">
        <f>AI177*VLOOKUP('Données projet'!$B$10,Paramètres!$A$1:$I$89,3,0)*VLOOKUP('Données projet'!$B$10,Paramètres!$A$1:$I$89,5,0)</f>
        <v>-3.4583536034915599E-13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327.4505861600158</v>
      </c>
      <c r="AO177" s="59">
        <f t="shared" si="144"/>
        <v>193.18009444354595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-3.4106051316484809E-13</v>
      </c>
      <c r="BE177" s="13">
        <f>BD177*VLOOKUP('Données projet'!$B$11,Paramètres!$A$1:$I$89,3,0)*VLOOKUP('Données projet'!$B$11,Paramètres!$A$1:$I$89,5,0)</f>
        <v>-3.5647644835989929E-13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340.76197766679212</v>
      </c>
      <c r="BJ177" s="59">
        <f t="shared" si="146"/>
        <v>199.70700738826872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-3.4106051316484809E-13</v>
      </c>
      <c r="BZ177" s="13">
        <f>BY177*VLOOKUP('Données projet'!$B$12,Paramètres!$A$1:$I$89,3,0)*VLOOKUP('Données projet'!$B$12,Paramètres!$A$1:$I$89,5,0)</f>
        <v>-3.6711753637064249E-13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354.06521046071936</v>
      </c>
      <c r="CE177" s="59">
        <f t="shared" si="148"/>
        <v>206.22956332364367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-3.4106051316484809E-13</v>
      </c>
      <c r="O178" s="13">
        <f>N178*VLOOKUP('Données projet'!$B$9,Paramètres!$A$1:$I$89,3,0)*VLOOKUP('Données projet'!$B$9,Paramètres!$A$1:$I$89,5,0)</f>
        <v>-3.0859155231155454E-13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280.79223530986889</v>
      </c>
      <c r="T178" s="59">
        <f t="shared" si="142"/>
        <v>170.29932835468685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-3.4106051316484809E-13</v>
      </c>
      <c r="AJ178" s="13">
        <f>AI178*VLOOKUP('Données projet'!$B$10,Paramètres!$A$1:$I$89,3,0)*VLOOKUP('Données projet'!$B$10,Paramètres!$A$1:$I$89,5,0)</f>
        <v>-3.4583536034915599E-13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327.4505861600158</v>
      </c>
      <c r="AO178" s="59">
        <f t="shared" si="144"/>
        <v>193.18009444354595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-3.4106051316484809E-13</v>
      </c>
      <c r="BE178" s="13">
        <f>BD178*VLOOKUP('Données projet'!$B$11,Paramètres!$A$1:$I$89,3,0)*VLOOKUP('Données projet'!$B$11,Paramètres!$A$1:$I$89,5,0)</f>
        <v>-3.5647644835989929E-13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340.76197766679212</v>
      </c>
      <c r="BJ178" s="59">
        <f t="shared" si="146"/>
        <v>199.70700738826872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-3.4106051316484809E-13</v>
      </c>
      <c r="BZ178" s="13">
        <f>BY178*VLOOKUP('Données projet'!$B$12,Paramètres!$A$1:$I$89,3,0)*VLOOKUP('Données projet'!$B$12,Paramètres!$A$1:$I$89,5,0)</f>
        <v>-3.6711753637064249E-13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354.06521046071936</v>
      </c>
      <c r="CE178" s="59">
        <f t="shared" si="148"/>
        <v>206.22956332364367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-3.4106051316484809E-13</v>
      </c>
      <c r="O179" s="13">
        <f>N179*VLOOKUP('Données projet'!$B$9,Paramètres!$A$1:$I$89,3,0)*VLOOKUP('Données projet'!$B$9,Paramètres!$A$1:$I$89,5,0)</f>
        <v>-3.0859155231155454E-13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280.79223530986889</v>
      </c>
      <c r="T179" s="59">
        <f t="shared" si="142"/>
        <v>170.29932835468685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-3.4106051316484809E-13</v>
      </c>
      <c r="AJ179" s="13">
        <f>AI179*VLOOKUP('Données projet'!$B$10,Paramètres!$A$1:$I$89,3,0)*VLOOKUP('Données projet'!$B$10,Paramètres!$A$1:$I$89,5,0)</f>
        <v>-3.4583536034915599E-13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327.4505861600158</v>
      </c>
      <c r="AO179" s="59">
        <f t="shared" si="144"/>
        <v>193.18009444354595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-3.4106051316484809E-13</v>
      </c>
      <c r="BE179" s="13">
        <f>BD179*VLOOKUP('Données projet'!$B$11,Paramètres!$A$1:$I$89,3,0)*VLOOKUP('Données projet'!$B$11,Paramètres!$A$1:$I$89,5,0)</f>
        <v>-3.5647644835989929E-13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340.76197766679212</v>
      </c>
      <c r="BJ179" s="59">
        <f t="shared" si="146"/>
        <v>199.70700738826872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-3.4106051316484809E-13</v>
      </c>
      <c r="BZ179" s="13">
        <f>BY179*VLOOKUP('Données projet'!$B$12,Paramètres!$A$1:$I$89,3,0)*VLOOKUP('Données projet'!$B$12,Paramètres!$A$1:$I$89,5,0)</f>
        <v>-3.6711753637064249E-13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354.06521046071936</v>
      </c>
      <c r="CE179" s="59">
        <f t="shared" si="148"/>
        <v>206.22956332364367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-3.4106051316484809E-13</v>
      </c>
      <c r="O180" s="13">
        <f>N180*VLOOKUP('Données projet'!$B$9,Paramètres!$A$1:$I$89,3,0)*VLOOKUP('Données projet'!$B$9,Paramètres!$A$1:$I$89,5,0)</f>
        <v>-3.0859155231155454E-13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280.79223530986889</v>
      </c>
      <c r="T180" s="59">
        <f t="shared" si="142"/>
        <v>170.29932835468685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-3.4106051316484809E-13</v>
      </c>
      <c r="AJ180" s="13">
        <f>AI180*VLOOKUP('Données projet'!$B$10,Paramètres!$A$1:$I$89,3,0)*VLOOKUP('Données projet'!$B$10,Paramètres!$A$1:$I$89,5,0)</f>
        <v>-3.4583536034915599E-13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327.4505861600158</v>
      </c>
      <c r="AO180" s="59">
        <f t="shared" si="144"/>
        <v>193.18009444354595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-3.4106051316484809E-13</v>
      </c>
      <c r="BE180" s="13">
        <f>BD180*VLOOKUP('Données projet'!$B$11,Paramètres!$A$1:$I$89,3,0)*VLOOKUP('Données projet'!$B$11,Paramètres!$A$1:$I$89,5,0)</f>
        <v>-3.5647644835989929E-13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340.76197766679212</v>
      </c>
      <c r="BJ180" s="59">
        <f t="shared" si="146"/>
        <v>199.70700738826872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-3.4106051316484809E-13</v>
      </c>
      <c r="BZ180" s="13">
        <f>BY180*VLOOKUP('Données projet'!$B$12,Paramètres!$A$1:$I$89,3,0)*VLOOKUP('Données projet'!$B$12,Paramètres!$A$1:$I$89,5,0)</f>
        <v>-3.6711753637064249E-13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354.06521046071936</v>
      </c>
      <c r="CE180" s="59">
        <f t="shared" si="148"/>
        <v>206.22956332364367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-3.4106051316484809E-13</v>
      </c>
      <c r="O181" s="13">
        <f>N181*VLOOKUP('Données projet'!$B$9,Paramètres!$A$1:$I$89,3,0)*VLOOKUP('Données projet'!$B$9,Paramètres!$A$1:$I$89,5,0)</f>
        <v>-3.0859155231155454E-13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280.79223530986889</v>
      </c>
      <c r="T181" s="59">
        <f t="shared" si="142"/>
        <v>170.29932835468685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-3.4106051316484809E-13</v>
      </c>
      <c r="AJ181" s="13">
        <f>AI181*VLOOKUP('Données projet'!$B$10,Paramètres!$A$1:$I$89,3,0)*VLOOKUP('Données projet'!$B$10,Paramètres!$A$1:$I$89,5,0)</f>
        <v>-3.4583536034915599E-13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327.4505861600158</v>
      </c>
      <c r="AO181" s="59">
        <f t="shared" si="144"/>
        <v>193.18009444354595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-3.4106051316484809E-13</v>
      </c>
      <c r="BE181" s="13">
        <f>BD181*VLOOKUP('Données projet'!$B$11,Paramètres!$A$1:$I$89,3,0)*VLOOKUP('Données projet'!$B$11,Paramètres!$A$1:$I$89,5,0)</f>
        <v>-3.5647644835989929E-13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340.76197766679212</v>
      </c>
      <c r="BJ181" s="59">
        <f t="shared" si="146"/>
        <v>199.70700738826872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-3.4106051316484809E-13</v>
      </c>
      <c r="BZ181" s="13">
        <f>BY181*VLOOKUP('Données projet'!$B$12,Paramètres!$A$1:$I$89,3,0)*VLOOKUP('Données projet'!$B$12,Paramètres!$A$1:$I$89,5,0)</f>
        <v>-3.6711753637064249E-13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354.06521046071936</v>
      </c>
      <c r="CE181" s="59">
        <f t="shared" si="148"/>
        <v>206.22956332364367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-3.4106051316484809E-13</v>
      </c>
      <c r="O182" s="13">
        <f>N182*VLOOKUP('Données projet'!$B$9,Paramètres!$A$1:$I$89,3,0)*VLOOKUP('Données projet'!$B$9,Paramètres!$A$1:$I$89,5,0)</f>
        <v>-3.0859155231155454E-13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280.79223530986889</v>
      </c>
      <c r="T182" s="59">
        <f t="shared" si="142"/>
        <v>170.29932835468685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-3.4106051316484809E-13</v>
      </c>
      <c r="AJ182" s="13">
        <f>AI182*VLOOKUP('Données projet'!$B$10,Paramètres!$A$1:$I$89,3,0)*VLOOKUP('Données projet'!$B$10,Paramètres!$A$1:$I$89,5,0)</f>
        <v>-3.4583536034915599E-13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327.4505861600158</v>
      </c>
      <c r="AO182" s="59">
        <f t="shared" si="144"/>
        <v>193.18009444354595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-3.4106051316484809E-13</v>
      </c>
      <c r="BE182" s="13">
        <f>BD182*VLOOKUP('Données projet'!$B$11,Paramètres!$A$1:$I$89,3,0)*VLOOKUP('Données projet'!$B$11,Paramètres!$A$1:$I$89,5,0)</f>
        <v>-3.5647644835989929E-13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340.76197766679212</v>
      </c>
      <c r="BJ182" s="59">
        <f t="shared" si="146"/>
        <v>199.70700738826872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-3.4106051316484809E-13</v>
      </c>
      <c r="BZ182" s="13">
        <f>BY182*VLOOKUP('Données projet'!$B$12,Paramètres!$A$1:$I$89,3,0)*VLOOKUP('Données projet'!$B$12,Paramètres!$A$1:$I$89,5,0)</f>
        <v>-3.6711753637064249E-13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354.06521046071936</v>
      </c>
      <c r="CE182" s="59">
        <f t="shared" si="148"/>
        <v>206.22956332364367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-3.4106051316484809E-13</v>
      </c>
      <c r="O183" s="13">
        <f>N183*VLOOKUP('Données projet'!$B$9,Paramètres!$A$1:$I$89,3,0)*VLOOKUP('Données projet'!$B$9,Paramètres!$A$1:$I$89,5,0)</f>
        <v>-3.0859155231155454E-13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280.79223530986889</v>
      </c>
      <c r="T183" s="59">
        <f t="shared" si="142"/>
        <v>170.29932835468685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-3.4106051316484809E-13</v>
      </c>
      <c r="AJ183" s="13">
        <f>AI183*VLOOKUP('Données projet'!$B$10,Paramètres!$A$1:$I$89,3,0)*VLOOKUP('Données projet'!$B$10,Paramètres!$A$1:$I$89,5,0)</f>
        <v>-3.4583536034915599E-13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327.4505861600158</v>
      </c>
      <c r="AO183" s="59">
        <f t="shared" si="144"/>
        <v>193.18009444354595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-3.4106051316484809E-13</v>
      </c>
      <c r="BE183" s="13">
        <f>BD183*VLOOKUP('Données projet'!$B$11,Paramètres!$A$1:$I$89,3,0)*VLOOKUP('Données projet'!$B$11,Paramètres!$A$1:$I$89,5,0)</f>
        <v>-3.5647644835989929E-13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340.76197766679212</v>
      </c>
      <c r="BJ183" s="59">
        <f t="shared" si="146"/>
        <v>199.70700738826872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-3.4106051316484809E-13</v>
      </c>
      <c r="BZ183" s="13">
        <f>BY183*VLOOKUP('Données projet'!$B$12,Paramètres!$A$1:$I$89,3,0)*VLOOKUP('Données projet'!$B$12,Paramètres!$A$1:$I$89,5,0)</f>
        <v>-3.6711753637064249E-13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354.06521046071936</v>
      </c>
      <c r="CE183" s="59">
        <f t="shared" si="148"/>
        <v>206.22956332364367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-3.4106051316484809E-13</v>
      </c>
      <c r="O184" s="13">
        <f>N184*VLOOKUP('Données projet'!$B$9,Paramètres!$A$1:$I$89,3,0)*VLOOKUP('Données projet'!$B$9,Paramètres!$A$1:$I$89,5,0)</f>
        <v>-3.0859155231155454E-13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280.79223530986889</v>
      </c>
      <c r="T184" s="59">
        <f t="shared" si="142"/>
        <v>170.29932835468685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-3.4106051316484809E-13</v>
      </c>
      <c r="AJ184" s="13">
        <f>AI184*VLOOKUP('Données projet'!$B$10,Paramètres!$A$1:$I$89,3,0)*VLOOKUP('Données projet'!$B$10,Paramètres!$A$1:$I$89,5,0)</f>
        <v>-3.4583536034915599E-13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327.4505861600158</v>
      </c>
      <c r="AO184" s="59">
        <f t="shared" si="144"/>
        <v>193.18009444354595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-3.4106051316484809E-13</v>
      </c>
      <c r="BE184" s="13">
        <f>BD184*VLOOKUP('Données projet'!$B$11,Paramètres!$A$1:$I$89,3,0)*VLOOKUP('Données projet'!$B$11,Paramètres!$A$1:$I$89,5,0)</f>
        <v>-3.5647644835989929E-13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340.76197766679212</v>
      </c>
      <c r="BJ184" s="59">
        <f t="shared" si="146"/>
        <v>199.70700738826872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-3.4106051316484809E-13</v>
      </c>
      <c r="BZ184" s="13">
        <f>BY184*VLOOKUP('Données projet'!$B$12,Paramètres!$A$1:$I$89,3,0)*VLOOKUP('Données projet'!$B$12,Paramètres!$A$1:$I$89,5,0)</f>
        <v>-3.6711753637064249E-13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354.06521046071936</v>
      </c>
      <c r="CE184" s="59">
        <f t="shared" si="148"/>
        <v>206.22956332364367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-3.4106051316484809E-13</v>
      </c>
      <c r="O185" s="13">
        <f>N185*VLOOKUP('Données projet'!$B$9,Paramètres!$A$1:$I$89,3,0)*VLOOKUP('Données projet'!$B$9,Paramètres!$A$1:$I$89,5,0)</f>
        <v>-3.0859155231155454E-13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280.79223530986889</v>
      </c>
      <c r="T185" s="59">
        <f t="shared" si="142"/>
        <v>170.29932835468685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-3.4106051316484809E-13</v>
      </c>
      <c r="AJ185" s="13">
        <f>AI185*VLOOKUP('Données projet'!$B$10,Paramètres!$A$1:$I$89,3,0)*VLOOKUP('Données projet'!$B$10,Paramètres!$A$1:$I$89,5,0)</f>
        <v>-3.4583536034915599E-13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327.4505861600158</v>
      </c>
      <c r="AO185" s="59">
        <f t="shared" si="144"/>
        <v>193.18009444354595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-3.4106051316484809E-13</v>
      </c>
      <c r="BE185" s="13">
        <f>BD185*VLOOKUP('Données projet'!$B$11,Paramètres!$A$1:$I$89,3,0)*VLOOKUP('Données projet'!$B$11,Paramètres!$A$1:$I$89,5,0)</f>
        <v>-3.5647644835989929E-13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340.76197766679212</v>
      </c>
      <c r="BJ185" s="59">
        <f t="shared" si="146"/>
        <v>199.70700738826872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-3.4106051316484809E-13</v>
      </c>
      <c r="BZ185" s="13">
        <f>BY185*VLOOKUP('Données projet'!$B$12,Paramètres!$A$1:$I$89,3,0)*VLOOKUP('Données projet'!$B$12,Paramètres!$A$1:$I$89,5,0)</f>
        <v>-3.6711753637064249E-13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354.06521046071936</v>
      </c>
      <c r="CE185" s="59">
        <f t="shared" si="148"/>
        <v>206.22956332364367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-3.4106051316484809E-13</v>
      </c>
      <c r="O186" s="13">
        <f>N186*VLOOKUP('Données projet'!$B$9,Paramètres!$A$1:$I$89,3,0)*VLOOKUP('Données projet'!$B$9,Paramètres!$A$1:$I$89,5,0)</f>
        <v>-3.0859155231155454E-13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280.79223530986889</v>
      </c>
      <c r="T186" s="59">
        <f t="shared" si="142"/>
        <v>170.29932835468685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-3.4106051316484809E-13</v>
      </c>
      <c r="AJ186" s="13">
        <f>AI186*VLOOKUP('Données projet'!$B$10,Paramètres!$A$1:$I$89,3,0)*VLOOKUP('Données projet'!$B$10,Paramètres!$A$1:$I$89,5,0)</f>
        <v>-3.4583536034915599E-13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327.4505861600158</v>
      </c>
      <c r="AO186" s="59">
        <f t="shared" si="144"/>
        <v>193.18009444354595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-3.4106051316484809E-13</v>
      </c>
      <c r="BE186" s="13">
        <f>BD186*VLOOKUP('Données projet'!$B$11,Paramètres!$A$1:$I$89,3,0)*VLOOKUP('Données projet'!$B$11,Paramètres!$A$1:$I$89,5,0)</f>
        <v>-3.5647644835989929E-13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340.76197766679212</v>
      </c>
      <c r="BJ186" s="59">
        <f t="shared" si="146"/>
        <v>199.70700738826872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-3.4106051316484809E-13</v>
      </c>
      <c r="BZ186" s="13">
        <f>BY186*VLOOKUP('Données projet'!$B$12,Paramètres!$A$1:$I$89,3,0)*VLOOKUP('Données projet'!$B$12,Paramètres!$A$1:$I$89,5,0)</f>
        <v>-3.6711753637064249E-13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354.06521046071936</v>
      </c>
      <c r="CE186" s="59">
        <f t="shared" si="148"/>
        <v>206.22956332364367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-3.4106051316484809E-13</v>
      </c>
      <c r="O187" s="13">
        <f>N187*VLOOKUP('Données projet'!$B$9,Paramètres!$A$1:$I$89,3,0)*VLOOKUP('Données projet'!$B$9,Paramètres!$A$1:$I$89,5,0)</f>
        <v>-3.0859155231155454E-13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280.79223530986889</v>
      </c>
      <c r="T187" s="59">
        <f t="shared" si="142"/>
        <v>170.29932835468685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-3.4106051316484809E-13</v>
      </c>
      <c r="AJ187" s="13">
        <f>AI187*VLOOKUP('Données projet'!$B$10,Paramètres!$A$1:$I$89,3,0)*VLOOKUP('Données projet'!$B$10,Paramètres!$A$1:$I$89,5,0)</f>
        <v>-3.4583536034915599E-13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327.4505861600158</v>
      </c>
      <c r="AO187" s="59">
        <f t="shared" si="144"/>
        <v>193.18009444354595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-3.4106051316484809E-13</v>
      </c>
      <c r="BE187" s="13">
        <f>BD187*VLOOKUP('Données projet'!$B$11,Paramètres!$A$1:$I$89,3,0)*VLOOKUP('Données projet'!$B$11,Paramètres!$A$1:$I$89,5,0)</f>
        <v>-3.5647644835989929E-13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340.76197766679212</v>
      </c>
      <c r="BJ187" s="59">
        <f t="shared" si="146"/>
        <v>199.70700738826872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-3.4106051316484809E-13</v>
      </c>
      <c r="BZ187" s="13">
        <f>BY187*VLOOKUP('Données projet'!$B$12,Paramètres!$A$1:$I$89,3,0)*VLOOKUP('Données projet'!$B$12,Paramètres!$A$1:$I$89,5,0)</f>
        <v>-3.6711753637064249E-13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354.06521046071936</v>
      </c>
      <c r="CE187" s="59">
        <f t="shared" si="148"/>
        <v>206.22956332364367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-3.4106051316484809E-13</v>
      </c>
      <c r="O188" s="13">
        <f>N188*VLOOKUP('Données projet'!$B$9,Paramètres!$A$1:$I$89,3,0)*VLOOKUP('Données projet'!$B$9,Paramètres!$A$1:$I$89,5,0)</f>
        <v>-3.0859155231155454E-13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280.79223530986889</v>
      </c>
      <c r="T188" s="59">
        <f t="shared" si="142"/>
        <v>170.29932835468685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-3.4106051316484809E-13</v>
      </c>
      <c r="AJ188" s="13">
        <f>AI188*VLOOKUP('Données projet'!$B$10,Paramètres!$A$1:$I$89,3,0)*VLOOKUP('Données projet'!$B$10,Paramètres!$A$1:$I$89,5,0)</f>
        <v>-3.4583536034915599E-13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327.4505861600158</v>
      </c>
      <c r="AO188" s="59">
        <f t="shared" si="144"/>
        <v>193.18009444354595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-3.4106051316484809E-13</v>
      </c>
      <c r="BE188" s="13">
        <f>BD188*VLOOKUP('Données projet'!$B$11,Paramètres!$A$1:$I$89,3,0)*VLOOKUP('Données projet'!$B$11,Paramètres!$A$1:$I$89,5,0)</f>
        <v>-3.5647644835989929E-13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340.76197766679212</v>
      </c>
      <c r="BJ188" s="59">
        <f t="shared" si="146"/>
        <v>199.70700738826872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-3.4106051316484809E-13</v>
      </c>
      <c r="BZ188" s="13">
        <f>BY188*VLOOKUP('Données projet'!$B$12,Paramètres!$A$1:$I$89,3,0)*VLOOKUP('Données projet'!$B$12,Paramètres!$A$1:$I$89,5,0)</f>
        <v>-3.6711753637064249E-13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354.06521046071936</v>
      </c>
      <c r="CE188" s="59">
        <f t="shared" si="148"/>
        <v>206.22956332364367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-3.4106051316484809E-13</v>
      </c>
      <c r="O189" s="13">
        <f>N189*VLOOKUP('Données projet'!$B$9,Paramètres!$A$1:$I$89,3,0)*VLOOKUP('Données projet'!$B$9,Paramètres!$A$1:$I$89,5,0)</f>
        <v>-3.0859155231155454E-13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280.79223530986889</v>
      </c>
      <c r="T189" s="59">
        <f t="shared" si="142"/>
        <v>170.29932835468685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-3.4106051316484809E-13</v>
      </c>
      <c r="AJ189" s="13">
        <f>AI189*VLOOKUP('Données projet'!$B$10,Paramètres!$A$1:$I$89,3,0)*VLOOKUP('Données projet'!$B$10,Paramètres!$A$1:$I$89,5,0)</f>
        <v>-3.4583536034915599E-13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327.4505861600158</v>
      </c>
      <c r="AO189" s="59">
        <f t="shared" si="144"/>
        <v>193.18009444354595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-3.4106051316484809E-13</v>
      </c>
      <c r="BE189" s="13">
        <f>BD189*VLOOKUP('Données projet'!$B$11,Paramètres!$A$1:$I$89,3,0)*VLOOKUP('Données projet'!$B$11,Paramètres!$A$1:$I$89,5,0)</f>
        <v>-3.5647644835989929E-13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340.76197766679212</v>
      </c>
      <c r="BJ189" s="59">
        <f t="shared" si="146"/>
        <v>199.70700738826872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-3.4106051316484809E-13</v>
      </c>
      <c r="BZ189" s="13">
        <f>BY189*VLOOKUP('Données projet'!$B$12,Paramètres!$A$1:$I$89,3,0)*VLOOKUP('Données projet'!$B$12,Paramètres!$A$1:$I$89,5,0)</f>
        <v>-3.6711753637064249E-13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354.06521046071936</v>
      </c>
      <c r="CE189" s="59">
        <f t="shared" si="148"/>
        <v>206.22956332364367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-3.4106051316484809E-13</v>
      </c>
      <c r="O190" s="13">
        <f>N190*VLOOKUP('Données projet'!$B$9,Paramètres!$A$1:$I$89,3,0)*VLOOKUP('Données projet'!$B$9,Paramètres!$A$1:$I$89,5,0)</f>
        <v>-3.0859155231155454E-13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280.79223530986889</v>
      </c>
      <c r="T190" s="59">
        <f t="shared" si="142"/>
        <v>170.29932835468685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-3.4106051316484809E-13</v>
      </c>
      <c r="AJ190" s="13">
        <f>AI190*VLOOKUP('Données projet'!$B$10,Paramètres!$A$1:$I$89,3,0)*VLOOKUP('Données projet'!$B$10,Paramètres!$A$1:$I$89,5,0)</f>
        <v>-3.4583536034915599E-13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327.4505861600158</v>
      </c>
      <c r="AO190" s="59">
        <f t="shared" si="144"/>
        <v>193.18009444354595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-3.4106051316484809E-13</v>
      </c>
      <c r="BE190" s="13">
        <f>BD190*VLOOKUP('Données projet'!$B$11,Paramètres!$A$1:$I$89,3,0)*VLOOKUP('Données projet'!$B$11,Paramètres!$A$1:$I$89,5,0)</f>
        <v>-3.5647644835989929E-13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340.76197766679212</v>
      </c>
      <c r="BJ190" s="59">
        <f t="shared" si="146"/>
        <v>199.70700738826872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-3.4106051316484809E-13</v>
      </c>
      <c r="BZ190" s="13">
        <f>BY190*VLOOKUP('Données projet'!$B$12,Paramètres!$A$1:$I$89,3,0)*VLOOKUP('Données projet'!$B$12,Paramètres!$A$1:$I$89,5,0)</f>
        <v>-3.6711753637064249E-13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354.06521046071936</v>
      </c>
      <c r="CE190" s="59">
        <f t="shared" si="148"/>
        <v>206.22956332364367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-3.4106051316484809E-13</v>
      </c>
      <c r="O191" s="13">
        <f>N191*VLOOKUP('Données projet'!$B$9,Paramètres!$A$1:$I$89,3,0)*VLOOKUP('Données projet'!$B$9,Paramètres!$A$1:$I$89,5,0)</f>
        <v>-3.0859155231155454E-13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280.79223530986889</v>
      </c>
      <c r="T191" s="59">
        <f t="shared" si="142"/>
        <v>170.29932835468685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-3.4106051316484809E-13</v>
      </c>
      <c r="AJ191" s="13">
        <f>AI191*VLOOKUP('Données projet'!$B$10,Paramètres!$A$1:$I$89,3,0)*VLOOKUP('Données projet'!$B$10,Paramètres!$A$1:$I$89,5,0)</f>
        <v>-3.4583536034915599E-13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327.4505861600158</v>
      </c>
      <c r="AO191" s="59">
        <f t="shared" si="144"/>
        <v>193.18009444354595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-3.4106051316484809E-13</v>
      </c>
      <c r="BE191" s="13">
        <f>BD191*VLOOKUP('Données projet'!$B$11,Paramètres!$A$1:$I$89,3,0)*VLOOKUP('Données projet'!$B$11,Paramètres!$A$1:$I$89,5,0)</f>
        <v>-3.5647644835989929E-13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340.76197766679212</v>
      </c>
      <c r="BJ191" s="59">
        <f t="shared" si="146"/>
        <v>199.70700738826872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-3.4106051316484809E-13</v>
      </c>
      <c r="BZ191" s="13">
        <f>BY191*VLOOKUP('Données projet'!$B$12,Paramètres!$A$1:$I$89,3,0)*VLOOKUP('Données projet'!$B$12,Paramètres!$A$1:$I$89,5,0)</f>
        <v>-3.6711753637064249E-13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354.06521046071936</v>
      </c>
      <c r="CE191" s="59">
        <f t="shared" si="148"/>
        <v>206.22956332364367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-3.4106051316484809E-13</v>
      </c>
      <c r="O192" s="13">
        <f>N192*VLOOKUP('Données projet'!$B$9,Paramètres!$A$1:$I$89,3,0)*VLOOKUP('Données projet'!$B$9,Paramètres!$A$1:$I$89,5,0)</f>
        <v>-3.0859155231155454E-13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280.79223530986889</v>
      </c>
      <c r="T192" s="59">
        <f t="shared" si="142"/>
        <v>170.29932835468685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-3.4106051316484809E-13</v>
      </c>
      <c r="AJ192" s="13">
        <f>AI192*VLOOKUP('Données projet'!$B$10,Paramètres!$A$1:$I$89,3,0)*VLOOKUP('Données projet'!$B$10,Paramètres!$A$1:$I$89,5,0)</f>
        <v>-3.4583536034915599E-13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327.4505861600158</v>
      </c>
      <c r="AO192" s="59">
        <f t="shared" si="144"/>
        <v>193.18009444354595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-3.4106051316484809E-13</v>
      </c>
      <c r="BE192" s="13">
        <f>BD192*VLOOKUP('Données projet'!$B$11,Paramètres!$A$1:$I$89,3,0)*VLOOKUP('Données projet'!$B$11,Paramètres!$A$1:$I$89,5,0)</f>
        <v>-3.5647644835989929E-13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340.76197766679212</v>
      </c>
      <c r="BJ192" s="59">
        <f t="shared" si="146"/>
        <v>199.70700738826872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-3.4106051316484809E-13</v>
      </c>
      <c r="BZ192" s="13">
        <f>BY192*VLOOKUP('Données projet'!$B$12,Paramètres!$A$1:$I$89,3,0)*VLOOKUP('Données projet'!$B$12,Paramètres!$A$1:$I$89,5,0)</f>
        <v>-3.6711753637064249E-13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354.06521046071936</v>
      </c>
      <c r="CE192" s="59">
        <f t="shared" si="148"/>
        <v>206.22956332364367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-3.4106051316484809E-13</v>
      </c>
      <c r="O193" s="13">
        <f>N193*VLOOKUP('Données projet'!$B$9,Paramètres!$A$1:$I$89,3,0)*VLOOKUP('Données projet'!$B$9,Paramètres!$A$1:$I$89,5,0)</f>
        <v>-3.0859155231155454E-13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280.79223530986889</v>
      </c>
      <c r="T193" s="59">
        <f t="shared" si="142"/>
        <v>170.29932835468685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-3.4106051316484809E-13</v>
      </c>
      <c r="AJ193" s="13">
        <f>AI193*VLOOKUP('Données projet'!$B$10,Paramètres!$A$1:$I$89,3,0)*VLOOKUP('Données projet'!$B$10,Paramètres!$A$1:$I$89,5,0)</f>
        <v>-3.4583536034915599E-13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327.4505861600158</v>
      </c>
      <c r="AO193" s="59">
        <f t="shared" si="144"/>
        <v>193.18009444354595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-3.4106051316484809E-13</v>
      </c>
      <c r="BE193" s="13">
        <f>BD193*VLOOKUP('Données projet'!$B$11,Paramètres!$A$1:$I$89,3,0)*VLOOKUP('Données projet'!$B$11,Paramètres!$A$1:$I$89,5,0)</f>
        <v>-3.5647644835989929E-13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340.76197766679212</v>
      </c>
      <c r="BJ193" s="59">
        <f t="shared" si="146"/>
        <v>199.70700738826872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-3.4106051316484809E-13</v>
      </c>
      <c r="BZ193" s="13">
        <f>BY193*VLOOKUP('Données projet'!$B$12,Paramètres!$A$1:$I$89,3,0)*VLOOKUP('Données projet'!$B$12,Paramètres!$A$1:$I$89,5,0)</f>
        <v>-3.6711753637064249E-13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354.06521046071936</v>
      </c>
      <c r="CE193" s="59">
        <f t="shared" si="148"/>
        <v>206.22956332364367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-3.4106051316484809E-13</v>
      </c>
      <c r="O194" s="13">
        <f>N194*VLOOKUP('Données projet'!$B$9,Paramètres!$A$1:$I$89,3,0)*VLOOKUP('Données projet'!$B$9,Paramètres!$A$1:$I$89,5,0)</f>
        <v>-3.0859155231155454E-13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280.79223530986889</v>
      </c>
      <c r="T194" s="59">
        <f t="shared" si="142"/>
        <v>170.29932835468685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-3.4106051316484809E-13</v>
      </c>
      <c r="AJ194" s="13">
        <f>AI194*VLOOKUP('Données projet'!$B$10,Paramètres!$A$1:$I$89,3,0)*VLOOKUP('Données projet'!$B$10,Paramètres!$A$1:$I$89,5,0)</f>
        <v>-3.4583536034915599E-13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327.4505861600158</v>
      </c>
      <c r="AO194" s="59">
        <f t="shared" si="144"/>
        <v>193.18009444354595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-3.4106051316484809E-13</v>
      </c>
      <c r="BE194" s="13">
        <f>BD194*VLOOKUP('Données projet'!$B$11,Paramètres!$A$1:$I$89,3,0)*VLOOKUP('Données projet'!$B$11,Paramètres!$A$1:$I$89,5,0)</f>
        <v>-3.5647644835989929E-13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340.76197766679212</v>
      </c>
      <c r="BJ194" s="59">
        <f t="shared" si="146"/>
        <v>199.70700738826872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-3.4106051316484809E-13</v>
      </c>
      <c r="BZ194" s="13">
        <f>BY194*VLOOKUP('Données projet'!$B$12,Paramètres!$A$1:$I$89,3,0)*VLOOKUP('Données projet'!$B$12,Paramètres!$A$1:$I$89,5,0)</f>
        <v>-3.6711753637064249E-13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354.06521046071936</v>
      </c>
      <c r="CE194" s="59">
        <f t="shared" si="148"/>
        <v>206.22956332364367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-3.4106051316484809E-13</v>
      </c>
      <c r="O195" s="13">
        <f>N195*VLOOKUP('Données projet'!$B$9,Paramètres!$A$1:$I$89,3,0)*VLOOKUP('Données projet'!$B$9,Paramètres!$A$1:$I$89,5,0)</f>
        <v>-3.0859155231155454E-13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280.79223530986889</v>
      </c>
      <c r="T195" s="59">
        <f t="shared" si="142"/>
        <v>170.29932835468685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-3.4106051316484809E-13</v>
      </c>
      <c r="AJ195" s="13">
        <f>AI195*VLOOKUP('Données projet'!$B$10,Paramètres!$A$1:$I$89,3,0)*VLOOKUP('Données projet'!$B$10,Paramètres!$A$1:$I$89,5,0)</f>
        <v>-3.4583536034915599E-13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327.4505861600158</v>
      </c>
      <c r="AO195" s="59">
        <f t="shared" si="144"/>
        <v>193.18009444354595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-3.4106051316484809E-13</v>
      </c>
      <c r="BE195" s="13">
        <f>BD195*VLOOKUP('Données projet'!$B$11,Paramètres!$A$1:$I$89,3,0)*VLOOKUP('Données projet'!$B$11,Paramètres!$A$1:$I$89,5,0)</f>
        <v>-3.5647644835989929E-13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340.76197766679212</v>
      </c>
      <c r="BJ195" s="59">
        <f t="shared" si="146"/>
        <v>199.70700738826872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-3.4106051316484809E-13</v>
      </c>
      <c r="BZ195" s="13">
        <f>BY195*VLOOKUP('Données projet'!$B$12,Paramètres!$A$1:$I$89,3,0)*VLOOKUP('Données projet'!$B$12,Paramètres!$A$1:$I$89,5,0)</f>
        <v>-3.6711753637064249E-13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354.06521046071936</v>
      </c>
      <c r="CE195" s="59">
        <f t="shared" si="148"/>
        <v>206.22956332364367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-3.4106051316484809E-13</v>
      </c>
      <c r="O196" s="13">
        <f>N196*VLOOKUP('Données projet'!$B$9,Paramètres!$A$1:$I$89,3,0)*VLOOKUP('Données projet'!$B$9,Paramètres!$A$1:$I$89,5,0)</f>
        <v>-3.0859155231155454E-13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280.79223530986889</v>
      </c>
      <c r="T196" s="59">
        <f t="shared" si="142"/>
        <v>170.29932835468685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-3.4106051316484809E-13</v>
      </c>
      <c r="AJ196" s="13">
        <f>AI196*VLOOKUP('Données projet'!$B$10,Paramètres!$A$1:$I$89,3,0)*VLOOKUP('Données projet'!$B$10,Paramètres!$A$1:$I$89,5,0)</f>
        <v>-3.4583536034915599E-13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327.4505861600158</v>
      </c>
      <c r="AO196" s="59">
        <f t="shared" si="144"/>
        <v>193.18009444354595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-3.4106051316484809E-13</v>
      </c>
      <c r="BE196" s="13">
        <f>BD196*VLOOKUP('Données projet'!$B$11,Paramètres!$A$1:$I$89,3,0)*VLOOKUP('Données projet'!$B$11,Paramètres!$A$1:$I$89,5,0)</f>
        <v>-3.5647644835989929E-13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340.76197766679212</v>
      </c>
      <c r="BJ196" s="59">
        <f t="shared" si="146"/>
        <v>199.70700738826872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-3.4106051316484809E-13</v>
      </c>
      <c r="BZ196" s="13">
        <f>BY196*VLOOKUP('Données projet'!$B$12,Paramètres!$A$1:$I$89,3,0)*VLOOKUP('Données projet'!$B$12,Paramètres!$A$1:$I$89,5,0)</f>
        <v>-3.6711753637064249E-13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354.06521046071936</v>
      </c>
      <c r="CE196" s="59">
        <f t="shared" si="148"/>
        <v>206.22956332364367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-3.4106051316484809E-13</v>
      </c>
      <c r="O197" s="13">
        <f>N197*VLOOKUP('Données projet'!$B$9,Paramètres!$A$1:$I$89,3,0)*VLOOKUP('Données projet'!$B$9,Paramètres!$A$1:$I$89,5,0)</f>
        <v>-3.0859155231155454E-13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280.79223530986889</v>
      </c>
      <c r="T197" s="59">
        <f t="shared" ref="T197:T203" si="204">$T$3</f>
        <v>170.29932835468685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-3.4106051316484809E-13</v>
      </c>
      <c r="AJ197" s="13">
        <f>AI197*VLOOKUP('Données projet'!$B$10,Paramètres!$A$1:$I$89,3,0)*VLOOKUP('Données projet'!$B$10,Paramètres!$A$1:$I$89,5,0)</f>
        <v>-3.4583536034915599E-13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327.4505861600158</v>
      </c>
      <c r="AO197" s="59">
        <f t="shared" ref="AO197:AO203" si="205">$AO$3</f>
        <v>193.18009444354595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-3.4106051316484809E-13</v>
      </c>
      <c r="BE197" s="13">
        <f>BD197*VLOOKUP('Données projet'!$B$11,Paramètres!$A$1:$I$89,3,0)*VLOOKUP('Données projet'!$B$11,Paramètres!$A$1:$I$89,5,0)</f>
        <v>-3.5647644835989929E-13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340.76197766679212</v>
      </c>
      <c r="BJ197" s="59">
        <f t="shared" ref="BJ197:BJ203" si="206">$BJ$3</f>
        <v>199.70700738826872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-3.4106051316484809E-13</v>
      </c>
      <c r="BZ197" s="13">
        <f>BY197*VLOOKUP('Données projet'!$B$12,Paramètres!$A$1:$I$89,3,0)*VLOOKUP('Données projet'!$B$12,Paramètres!$A$1:$I$89,5,0)</f>
        <v>-3.6711753637064249E-13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354.06521046071936</v>
      </c>
      <c r="CE197" s="59">
        <f t="shared" ref="CE197:CE203" si="207">$CE$3</f>
        <v>206.22956332364367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-3.4106051316484809E-13</v>
      </c>
      <c r="O198" s="13">
        <f>N198*VLOOKUP('Données projet'!$B$9,Paramètres!$A$1:$I$89,3,0)*VLOOKUP('Données projet'!$B$9,Paramètres!$A$1:$I$89,5,0)</f>
        <v>-3.0859155231155454E-13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280.79223530986889</v>
      </c>
      <c r="T198" s="59">
        <f t="shared" si="204"/>
        <v>170.29932835468685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-3.4106051316484809E-13</v>
      </c>
      <c r="AJ198" s="13">
        <f>AI198*VLOOKUP('Données projet'!$B$10,Paramètres!$A$1:$I$89,3,0)*VLOOKUP('Données projet'!$B$10,Paramètres!$A$1:$I$89,5,0)</f>
        <v>-3.4583536034915599E-13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327.4505861600158</v>
      </c>
      <c r="AO198" s="59">
        <f t="shared" si="205"/>
        <v>193.18009444354595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-3.4106051316484809E-13</v>
      </c>
      <c r="BE198" s="13">
        <f>BD198*VLOOKUP('Données projet'!$B$11,Paramètres!$A$1:$I$89,3,0)*VLOOKUP('Données projet'!$B$11,Paramètres!$A$1:$I$89,5,0)</f>
        <v>-3.5647644835989929E-13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340.76197766679212</v>
      </c>
      <c r="BJ198" s="59">
        <f t="shared" si="206"/>
        <v>199.70700738826872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-3.4106051316484809E-13</v>
      </c>
      <c r="BZ198" s="13">
        <f>BY198*VLOOKUP('Données projet'!$B$12,Paramètres!$A$1:$I$89,3,0)*VLOOKUP('Données projet'!$B$12,Paramètres!$A$1:$I$89,5,0)</f>
        <v>-3.6711753637064249E-13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354.06521046071936</v>
      </c>
      <c r="CE198" s="59">
        <f t="shared" si="207"/>
        <v>206.22956332364367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-3.4106051316484809E-13</v>
      </c>
      <c r="O199" s="13">
        <f>N199*VLOOKUP('Données projet'!$B$9,Paramètres!$A$1:$I$89,3,0)*VLOOKUP('Données projet'!$B$9,Paramètres!$A$1:$I$89,5,0)</f>
        <v>-3.0859155231155454E-13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280.79223530986889</v>
      </c>
      <c r="T199" s="59">
        <f t="shared" si="204"/>
        <v>170.29932835468685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-3.4106051316484809E-13</v>
      </c>
      <c r="AJ199" s="13">
        <f>AI199*VLOOKUP('Données projet'!$B$10,Paramètres!$A$1:$I$89,3,0)*VLOOKUP('Données projet'!$B$10,Paramètres!$A$1:$I$89,5,0)</f>
        <v>-3.4583536034915599E-13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327.4505861600158</v>
      </c>
      <c r="AO199" s="59">
        <f t="shared" si="205"/>
        <v>193.18009444354595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-3.4106051316484809E-13</v>
      </c>
      <c r="BE199" s="13">
        <f>BD199*VLOOKUP('Données projet'!$B$11,Paramètres!$A$1:$I$89,3,0)*VLOOKUP('Données projet'!$B$11,Paramètres!$A$1:$I$89,5,0)</f>
        <v>-3.5647644835989929E-13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340.76197766679212</v>
      </c>
      <c r="BJ199" s="59">
        <f t="shared" si="206"/>
        <v>199.70700738826872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-3.4106051316484809E-13</v>
      </c>
      <c r="BZ199" s="13">
        <f>BY199*VLOOKUP('Données projet'!$B$12,Paramètres!$A$1:$I$89,3,0)*VLOOKUP('Données projet'!$B$12,Paramètres!$A$1:$I$89,5,0)</f>
        <v>-3.6711753637064249E-13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354.06521046071936</v>
      </c>
      <c r="CE199" s="59">
        <f t="shared" si="207"/>
        <v>206.22956332364367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-3.4106051316484809E-13</v>
      </c>
      <c r="O200" s="13">
        <f>N200*VLOOKUP('Données projet'!$B$9,Paramètres!$A$1:$I$89,3,0)*VLOOKUP('Données projet'!$B$9,Paramètres!$A$1:$I$89,5,0)</f>
        <v>-3.0859155231155454E-13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280.79223530986889</v>
      </c>
      <c r="T200" s="59">
        <f t="shared" si="204"/>
        <v>170.29932835468685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-3.4106051316484809E-13</v>
      </c>
      <c r="AJ200" s="13">
        <f>AI200*VLOOKUP('Données projet'!$B$10,Paramètres!$A$1:$I$89,3,0)*VLOOKUP('Données projet'!$B$10,Paramètres!$A$1:$I$89,5,0)</f>
        <v>-3.4583536034915599E-13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327.4505861600158</v>
      </c>
      <c r="AO200" s="59">
        <f t="shared" si="205"/>
        <v>193.18009444354595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-3.4106051316484809E-13</v>
      </c>
      <c r="BE200" s="13">
        <f>BD200*VLOOKUP('Données projet'!$B$11,Paramètres!$A$1:$I$89,3,0)*VLOOKUP('Données projet'!$B$11,Paramètres!$A$1:$I$89,5,0)</f>
        <v>-3.5647644835989929E-13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340.76197766679212</v>
      </c>
      <c r="BJ200" s="59">
        <f t="shared" si="206"/>
        <v>199.70700738826872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-3.4106051316484809E-13</v>
      </c>
      <c r="BZ200" s="13">
        <f>BY200*VLOOKUP('Données projet'!$B$12,Paramètres!$A$1:$I$89,3,0)*VLOOKUP('Données projet'!$B$12,Paramètres!$A$1:$I$89,5,0)</f>
        <v>-3.6711753637064249E-13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354.06521046071936</v>
      </c>
      <c r="CE200" s="59">
        <f t="shared" si="207"/>
        <v>206.22956332364367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-3.4106051316484809E-13</v>
      </c>
      <c r="O201" s="13">
        <f>N201*VLOOKUP('Données projet'!$B$9,Paramètres!$A$1:$I$89,3,0)*VLOOKUP('Données projet'!$B$9,Paramètres!$A$1:$I$89,5,0)</f>
        <v>-3.0859155231155454E-13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280.79223530986889</v>
      </c>
      <c r="T201" s="59">
        <f t="shared" si="204"/>
        <v>170.29932835468685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-3.4106051316484809E-13</v>
      </c>
      <c r="AJ201" s="13">
        <f>AI201*VLOOKUP('Données projet'!$B$10,Paramètres!$A$1:$I$89,3,0)*VLOOKUP('Données projet'!$B$10,Paramètres!$A$1:$I$89,5,0)</f>
        <v>-3.4583536034915599E-13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327.4505861600158</v>
      </c>
      <c r="AO201" s="59">
        <f t="shared" si="205"/>
        <v>193.18009444354595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-3.4106051316484809E-13</v>
      </c>
      <c r="BE201" s="13">
        <f>BD201*VLOOKUP('Données projet'!$B$11,Paramètres!$A$1:$I$89,3,0)*VLOOKUP('Données projet'!$B$11,Paramètres!$A$1:$I$89,5,0)</f>
        <v>-3.5647644835989929E-13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340.76197766679212</v>
      </c>
      <c r="BJ201" s="59">
        <f t="shared" si="206"/>
        <v>199.70700738826872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-3.4106051316484809E-13</v>
      </c>
      <c r="BZ201" s="13">
        <f>BY201*VLOOKUP('Données projet'!$B$12,Paramètres!$A$1:$I$89,3,0)*VLOOKUP('Données projet'!$B$12,Paramètres!$A$1:$I$89,5,0)</f>
        <v>-3.6711753637064249E-13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354.06521046071936</v>
      </c>
      <c r="CE201" s="59">
        <f t="shared" si="207"/>
        <v>206.22956332364367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-3.4106051316484809E-13</v>
      </c>
      <c r="O202" s="13">
        <f>N202*VLOOKUP('Données projet'!$B$9,Paramètres!$A$1:$I$89,3,0)*VLOOKUP('Données projet'!$B$9,Paramètres!$A$1:$I$89,5,0)</f>
        <v>-3.0859155231155454E-13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280.79223530986889</v>
      </c>
      <c r="T202" s="59">
        <f t="shared" si="204"/>
        <v>170.29932835468685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-3.4106051316484809E-13</v>
      </c>
      <c r="AJ202" s="13">
        <f>AI202*VLOOKUP('Données projet'!$B$10,Paramètres!$A$1:$I$89,3,0)*VLOOKUP('Données projet'!$B$10,Paramètres!$A$1:$I$89,5,0)</f>
        <v>-3.4583536034915599E-13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327.4505861600158</v>
      </c>
      <c r="AO202" s="59">
        <f t="shared" si="205"/>
        <v>193.18009444354595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-3.4106051316484809E-13</v>
      </c>
      <c r="BE202" s="13">
        <f>BD202*VLOOKUP('Données projet'!$B$11,Paramètres!$A$1:$I$89,3,0)*VLOOKUP('Données projet'!$B$11,Paramètres!$A$1:$I$89,5,0)</f>
        <v>-3.5647644835989929E-13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340.76197766679212</v>
      </c>
      <c r="BJ202" s="59">
        <f t="shared" si="206"/>
        <v>199.70700738826872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-3.4106051316484809E-13</v>
      </c>
      <c r="BZ202" s="13">
        <f>BY202*VLOOKUP('Données projet'!$B$12,Paramètres!$A$1:$I$89,3,0)*VLOOKUP('Données projet'!$B$12,Paramètres!$A$1:$I$89,5,0)</f>
        <v>-3.6711753637064249E-13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354.06521046071936</v>
      </c>
      <c r="CE202" s="59">
        <f t="shared" si="207"/>
        <v>206.22956332364367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-3.4106051316484809E-13</v>
      </c>
      <c r="O203" s="13">
        <f>N203*VLOOKUP('Données projet'!$B$9,Paramètres!$A$1:$I$89,3,0)*VLOOKUP('Données projet'!$B$9,Paramètres!$A$1:$I$89,5,0)</f>
        <v>-3.0859155231155454E-13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280.79223530986889</v>
      </c>
      <c r="T203" s="59">
        <f t="shared" si="204"/>
        <v>170.29932835468685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-3.4106051316484809E-13</v>
      </c>
      <c r="AJ203" s="13">
        <f>AI203*VLOOKUP('Données projet'!$B$10,Paramètres!$A$1:$I$89,3,0)*VLOOKUP('Données projet'!$B$10,Paramètres!$A$1:$I$89,5,0)</f>
        <v>-3.4583536034915599E-13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327.4505861600158</v>
      </c>
      <c r="AO203" s="59">
        <f t="shared" si="205"/>
        <v>193.18009444354595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-3.4106051316484809E-13</v>
      </c>
      <c r="BE203" s="13">
        <f>BD203*VLOOKUP('Données projet'!$B$11,Paramètres!$A$1:$I$89,3,0)*VLOOKUP('Données projet'!$B$11,Paramètres!$A$1:$I$89,5,0)</f>
        <v>-3.5647644835989929E-13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340.76197766679212</v>
      </c>
      <c r="BJ203" s="59">
        <f t="shared" si="206"/>
        <v>199.70700738826872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-3.4106051316484809E-13</v>
      </c>
      <c r="BZ203" s="13">
        <f>BY203*VLOOKUP('Données projet'!$B$12,Paramètres!$A$1:$I$89,3,0)*VLOOKUP('Données projet'!$B$12,Paramètres!$A$1:$I$89,5,0)</f>
        <v>-3.6711753637064249E-13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354.06521046071936</v>
      </c>
      <c r="CE203" s="59">
        <f t="shared" si="207"/>
        <v>206.22956332364367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101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101</v>
      </c>
      <c r="BA204" s="81" t="s">
        <v>101</v>
      </c>
      <c r="BV204" s="81" t="s">
        <v>101</v>
      </c>
      <c r="CQ204" s="81" t="s">
        <v>101</v>
      </c>
      <c r="DL204" s="81" t="s">
        <v>101</v>
      </c>
      <c r="EG204" s="81" t="s">
        <v>101</v>
      </c>
      <c r="FB204" s="81" t="s">
        <v>101</v>
      </c>
      <c r="FW204" s="81" t="s">
        <v>101</v>
      </c>
      <c r="GR204" s="81" t="s">
        <v>101</v>
      </c>
    </row>
    <row r="205" spans="1:218" ht="15" thickBot="1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1.2054868146447177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>
        <f>EXP(LN('Données projet'!B88)/'Données projet'!A88)</f>
        <v>1.2054868146447177</v>
      </c>
      <c r="BV205" s="82">
        <f>EXP(LN('Données projet'!B114)/'Données projet'!A114)</f>
        <v>1.2054868146447177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>
      <c r="A1" s="111" t="s">
        <v>102</v>
      </c>
      <c r="B1" s="112" t="s">
        <v>103</v>
      </c>
      <c r="C1" s="113" t="s">
        <v>104</v>
      </c>
      <c r="D1" s="112" t="s">
        <v>105</v>
      </c>
      <c r="E1" s="113" t="s">
        <v>106</v>
      </c>
      <c r="F1" s="113" t="s">
        <v>105</v>
      </c>
      <c r="G1" s="113" t="s">
        <v>107</v>
      </c>
      <c r="H1" s="113" t="s">
        <v>105</v>
      </c>
      <c r="I1" s="114" t="s">
        <v>108</v>
      </c>
      <c r="J1" s="78"/>
      <c r="K1" s="78"/>
      <c r="L1" s="78"/>
      <c r="M1" s="78"/>
      <c r="N1" s="78"/>
    </row>
    <row r="2" spans="1:16">
      <c r="A2" s="115" t="s">
        <v>109</v>
      </c>
      <c r="B2" s="116" t="s">
        <v>110</v>
      </c>
      <c r="C2" s="117">
        <v>0.62</v>
      </c>
      <c r="D2" s="117" t="s">
        <v>111</v>
      </c>
      <c r="E2" s="117">
        <v>1.56</v>
      </c>
      <c r="F2" s="117" t="s">
        <v>112</v>
      </c>
      <c r="G2" s="118">
        <v>0.43</v>
      </c>
      <c r="H2" s="119" t="s">
        <v>113</v>
      </c>
      <c r="I2" s="120">
        <v>0.25</v>
      </c>
      <c r="J2" s="78"/>
      <c r="K2" s="78"/>
      <c r="L2" s="78"/>
      <c r="M2" s="78"/>
      <c r="N2" s="78"/>
      <c r="O2" s="281" t="s">
        <v>114</v>
      </c>
      <c r="P2" s="121">
        <v>0</v>
      </c>
    </row>
    <row r="3" spans="1:16" ht="15" thickBot="1">
      <c r="A3" s="122" t="s">
        <v>115</v>
      </c>
      <c r="B3" s="123" t="s">
        <v>116</v>
      </c>
      <c r="C3" s="124">
        <v>0.64</v>
      </c>
      <c r="D3" s="124" t="s">
        <v>111</v>
      </c>
      <c r="E3" s="124">
        <v>1.56</v>
      </c>
      <c r="F3" s="125" t="s">
        <v>112</v>
      </c>
      <c r="G3" s="126">
        <v>0.43</v>
      </c>
      <c r="H3" s="124" t="s">
        <v>113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>
      <c r="A4" s="122" t="s">
        <v>117</v>
      </c>
      <c r="B4" s="123" t="s">
        <v>118</v>
      </c>
      <c r="C4" s="124">
        <v>0.42</v>
      </c>
      <c r="D4" s="124" t="s">
        <v>111</v>
      </c>
      <c r="E4" s="124">
        <v>1.56</v>
      </c>
      <c r="F4" s="125" t="s">
        <v>112</v>
      </c>
      <c r="G4" s="126">
        <v>0.43</v>
      </c>
      <c r="H4" s="124" t="s">
        <v>113</v>
      </c>
      <c r="I4" s="127">
        <v>0.25</v>
      </c>
      <c r="J4" s="78"/>
      <c r="K4" s="78"/>
      <c r="L4" s="78"/>
      <c r="M4" s="78"/>
      <c r="N4" s="78"/>
    </row>
    <row r="5" spans="1:16">
      <c r="A5" s="122" t="s">
        <v>119</v>
      </c>
      <c r="B5" s="123" t="s">
        <v>120</v>
      </c>
      <c r="C5" s="124">
        <v>0.42</v>
      </c>
      <c r="D5" s="124" t="s">
        <v>111</v>
      </c>
      <c r="E5" s="124">
        <v>1.56</v>
      </c>
      <c r="F5" s="125" t="s">
        <v>112</v>
      </c>
      <c r="G5" s="126">
        <v>0.43</v>
      </c>
      <c r="H5" s="124" t="s">
        <v>113</v>
      </c>
      <c r="I5" s="127">
        <v>0.25</v>
      </c>
      <c r="J5" s="78"/>
      <c r="K5" s="78"/>
      <c r="L5" s="78"/>
      <c r="M5" s="78"/>
      <c r="N5" s="78"/>
      <c r="O5" s="281" t="s">
        <v>121</v>
      </c>
      <c r="P5" s="121">
        <v>0</v>
      </c>
    </row>
    <row r="6" spans="1:16">
      <c r="A6" s="122" t="s">
        <v>122</v>
      </c>
      <c r="B6" s="123" t="s">
        <v>123</v>
      </c>
      <c r="C6" s="124">
        <v>0.42</v>
      </c>
      <c r="D6" s="124" t="s">
        <v>111</v>
      </c>
      <c r="E6" s="124">
        <v>1.56</v>
      </c>
      <c r="F6" s="125" t="s">
        <v>112</v>
      </c>
      <c r="G6" s="126">
        <v>0.43</v>
      </c>
      <c r="H6" s="124" t="s">
        <v>113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>
      <c r="A7" s="122" t="s">
        <v>124</v>
      </c>
      <c r="B7" s="123" t="s">
        <v>125</v>
      </c>
      <c r="C7" s="124">
        <v>0.52</v>
      </c>
      <c r="D7" s="124" t="s">
        <v>111</v>
      </c>
      <c r="E7" s="124">
        <v>1.56</v>
      </c>
      <c r="F7" s="125" t="s">
        <v>112</v>
      </c>
      <c r="G7" s="126">
        <v>0.43</v>
      </c>
      <c r="H7" s="124" t="s">
        <v>113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>
      <c r="A8" s="122" t="s">
        <v>126</v>
      </c>
      <c r="B8" s="123" t="s">
        <v>127</v>
      </c>
      <c r="C8" s="124">
        <v>0.36</v>
      </c>
      <c r="D8" s="124" t="s">
        <v>111</v>
      </c>
      <c r="E8" s="124">
        <v>1.3</v>
      </c>
      <c r="F8" s="125" t="s">
        <v>112</v>
      </c>
      <c r="G8" s="126">
        <v>0.55000000000000004</v>
      </c>
      <c r="H8" s="124" t="s">
        <v>128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>
      <c r="A9" s="122" t="s">
        <v>129</v>
      </c>
      <c r="B9" s="123" t="s">
        <v>130</v>
      </c>
      <c r="C9" s="124">
        <v>0.61</v>
      </c>
      <c r="D9" s="124" t="s">
        <v>111</v>
      </c>
      <c r="E9" s="124">
        <v>1.56</v>
      </c>
      <c r="F9" s="125" t="s">
        <v>112</v>
      </c>
      <c r="G9" s="126">
        <v>0.43</v>
      </c>
      <c r="H9" s="124" t="s">
        <v>113</v>
      </c>
      <c r="I9" s="127">
        <v>0.25</v>
      </c>
      <c r="J9" s="78"/>
      <c r="K9" s="78"/>
      <c r="L9" s="78"/>
      <c r="M9" s="78"/>
      <c r="N9" s="78"/>
    </row>
    <row r="10" spans="1:16">
      <c r="A10" s="122" t="s">
        <v>131</v>
      </c>
      <c r="B10" s="123" t="s">
        <v>132</v>
      </c>
      <c r="C10" s="124">
        <v>0.66</v>
      </c>
      <c r="D10" s="124" t="s">
        <v>111</v>
      </c>
      <c r="E10" s="124">
        <v>1.56</v>
      </c>
      <c r="F10" s="125" t="s">
        <v>112</v>
      </c>
      <c r="G10" s="126">
        <v>0.43</v>
      </c>
      <c r="H10" s="124" t="s">
        <v>113</v>
      </c>
      <c r="I10" s="127">
        <v>0.25</v>
      </c>
      <c r="J10" s="78"/>
      <c r="K10" s="78"/>
      <c r="L10" s="78"/>
      <c r="M10" s="78"/>
      <c r="N10" s="78"/>
      <c r="O10" s="281" t="s">
        <v>133</v>
      </c>
      <c r="P10" s="121">
        <v>0</v>
      </c>
    </row>
    <row r="11" spans="1:16" ht="15" thickBot="1">
      <c r="A11" s="122" t="s">
        <v>134</v>
      </c>
      <c r="B11" s="123" t="s">
        <v>135</v>
      </c>
      <c r="C11" s="124">
        <v>0.47</v>
      </c>
      <c r="D11" s="124" t="s">
        <v>111</v>
      </c>
      <c r="E11" s="124">
        <v>1.56</v>
      </c>
      <c r="F11" s="125" t="s">
        <v>112</v>
      </c>
      <c r="G11" s="126">
        <v>0.43</v>
      </c>
      <c r="H11" s="124" t="s">
        <v>113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>
      <c r="A12" s="122" t="s">
        <v>21</v>
      </c>
      <c r="B12" s="123" t="s">
        <v>136</v>
      </c>
      <c r="C12" s="124">
        <v>0.67</v>
      </c>
      <c r="D12" s="124" t="s">
        <v>111</v>
      </c>
      <c r="E12" s="124">
        <v>1.56</v>
      </c>
      <c r="F12" s="125" t="s">
        <v>112</v>
      </c>
      <c r="G12" s="126">
        <v>0.43</v>
      </c>
      <c r="H12" s="124" t="s">
        <v>137</v>
      </c>
      <c r="I12" s="127">
        <v>0.25</v>
      </c>
      <c r="J12" s="78"/>
      <c r="K12" s="78"/>
      <c r="L12" s="78"/>
      <c r="M12" s="78"/>
      <c r="N12" s="78"/>
    </row>
    <row r="13" spans="1:16">
      <c r="A13" s="122" t="s">
        <v>138</v>
      </c>
      <c r="B13" s="123" t="s">
        <v>139</v>
      </c>
      <c r="C13" s="124">
        <v>0.7</v>
      </c>
      <c r="D13" s="124" t="s">
        <v>111</v>
      </c>
      <c r="E13" s="124">
        <v>1.56</v>
      </c>
      <c r="F13" s="125" t="s">
        <v>112</v>
      </c>
      <c r="G13" s="126">
        <v>0.43</v>
      </c>
      <c r="H13" s="124" t="s">
        <v>137</v>
      </c>
      <c r="I13" s="127">
        <v>0.25</v>
      </c>
      <c r="J13" s="78"/>
      <c r="K13" s="78"/>
      <c r="L13" s="78"/>
      <c r="M13" s="78"/>
      <c r="N13" s="78"/>
    </row>
    <row r="14" spans="1:16">
      <c r="A14" s="122" t="s">
        <v>140</v>
      </c>
      <c r="B14" s="123" t="s">
        <v>141</v>
      </c>
      <c r="C14" s="124">
        <v>0.54</v>
      </c>
      <c r="D14" s="124" t="s">
        <v>111</v>
      </c>
      <c r="E14" s="124">
        <v>1.56</v>
      </c>
      <c r="F14" s="125" t="s">
        <v>112</v>
      </c>
      <c r="G14" s="126">
        <v>0.43</v>
      </c>
      <c r="H14" s="124" t="s">
        <v>137</v>
      </c>
      <c r="I14" s="127">
        <v>0.25</v>
      </c>
      <c r="J14" s="78"/>
      <c r="K14" s="78"/>
      <c r="L14" s="78"/>
      <c r="M14" s="78"/>
      <c r="N14" s="78"/>
    </row>
    <row r="15" spans="1:16">
      <c r="A15" s="122" t="s">
        <v>19</v>
      </c>
      <c r="B15" s="123" t="s">
        <v>142</v>
      </c>
      <c r="C15" s="124">
        <v>0.65</v>
      </c>
      <c r="D15" s="124" t="s">
        <v>111</v>
      </c>
      <c r="E15" s="124">
        <v>1.56</v>
      </c>
      <c r="F15" s="125" t="s">
        <v>112</v>
      </c>
      <c r="G15" s="126">
        <v>0.43</v>
      </c>
      <c r="H15" s="124" t="s">
        <v>137</v>
      </c>
      <c r="I15" s="127">
        <v>0.25</v>
      </c>
      <c r="J15" s="78"/>
      <c r="K15" s="78"/>
      <c r="L15" s="78"/>
      <c r="M15" s="78"/>
      <c r="N15" s="78"/>
    </row>
    <row r="16" spans="1:16">
      <c r="A16" s="122" t="s">
        <v>143</v>
      </c>
      <c r="B16" s="123" t="s">
        <v>144</v>
      </c>
      <c r="C16" s="124">
        <v>0.56000000000000005</v>
      </c>
      <c r="D16" s="124" t="s">
        <v>111</v>
      </c>
      <c r="E16" s="124">
        <v>1.56</v>
      </c>
      <c r="F16" s="125" t="s">
        <v>112</v>
      </c>
      <c r="G16" s="126">
        <v>0.43</v>
      </c>
      <c r="H16" s="124" t="s">
        <v>137</v>
      </c>
      <c r="I16" s="127">
        <v>0.25</v>
      </c>
      <c r="J16" s="78"/>
      <c r="K16" s="78"/>
      <c r="L16" s="78"/>
      <c r="M16" s="78"/>
      <c r="N16" s="78"/>
    </row>
    <row r="17" spans="1:14">
      <c r="A17" s="122" t="s">
        <v>16</v>
      </c>
      <c r="B17" s="123" t="s">
        <v>145</v>
      </c>
      <c r="C17" s="124">
        <v>0.57999999999999996</v>
      </c>
      <c r="D17" s="124" t="s">
        <v>111</v>
      </c>
      <c r="E17" s="124">
        <v>1.56</v>
      </c>
      <c r="F17" s="125" t="s">
        <v>112</v>
      </c>
      <c r="G17" s="126">
        <v>0.43</v>
      </c>
      <c r="H17" s="124" t="s">
        <v>137</v>
      </c>
      <c r="I17" s="127">
        <v>0.25</v>
      </c>
      <c r="J17" s="78"/>
      <c r="K17" s="78"/>
      <c r="L17" s="78"/>
      <c r="M17" s="78"/>
      <c r="N17" s="78"/>
    </row>
    <row r="18" spans="1:14">
      <c r="A18" s="122" t="s">
        <v>146</v>
      </c>
      <c r="B18" s="123" t="s">
        <v>147</v>
      </c>
      <c r="C18" s="124">
        <v>0.64</v>
      </c>
      <c r="D18" s="124" t="s">
        <v>111</v>
      </c>
      <c r="E18" s="124">
        <v>1.56</v>
      </c>
      <c r="F18" s="125" t="s">
        <v>112</v>
      </c>
      <c r="G18" s="126">
        <v>0.43</v>
      </c>
      <c r="H18" s="124" t="s">
        <v>137</v>
      </c>
      <c r="I18" s="127">
        <v>0.25</v>
      </c>
      <c r="J18" s="78"/>
      <c r="K18" s="78"/>
      <c r="L18" s="78"/>
      <c r="M18" s="78"/>
      <c r="N18" s="78"/>
    </row>
    <row r="19" spans="1:14">
      <c r="A19" s="122" t="s">
        <v>148</v>
      </c>
      <c r="B19" s="123" t="s">
        <v>149</v>
      </c>
      <c r="C19" s="124">
        <v>0.73</v>
      </c>
      <c r="D19" s="124" t="s">
        <v>111</v>
      </c>
      <c r="E19" s="124">
        <v>1.56</v>
      </c>
      <c r="F19" s="125" t="s">
        <v>112</v>
      </c>
      <c r="G19" s="126">
        <v>0.43</v>
      </c>
      <c r="H19" s="124" t="s">
        <v>137</v>
      </c>
      <c r="I19" s="127">
        <v>0.25</v>
      </c>
      <c r="J19" s="78"/>
      <c r="K19" s="78"/>
      <c r="L19" s="78"/>
      <c r="M19" s="78"/>
      <c r="N19" s="78"/>
    </row>
    <row r="20" spans="1:14">
      <c r="A20" s="122" t="s">
        <v>23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112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>
      <c r="A21" s="122" t="s">
        <v>153</v>
      </c>
      <c r="B21" s="123" t="s">
        <v>154</v>
      </c>
      <c r="C21" s="124">
        <v>0.36</v>
      </c>
      <c r="D21" s="124" t="s">
        <v>111</v>
      </c>
      <c r="E21" s="124">
        <v>1.3</v>
      </c>
      <c r="F21" s="125" t="s">
        <v>112</v>
      </c>
      <c r="G21" s="126">
        <v>0.55000000000000004</v>
      </c>
      <c r="H21" s="124" t="s">
        <v>128</v>
      </c>
      <c r="I21" s="127">
        <v>0.43</v>
      </c>
      <c r="J21" s="78"/>
      <c r="K21" s="78"/>
      <c r="L21" s="78"/>
      <c r="M21" s="78"/>
      <c r="N21" s="78"/>
    </row>
    <row r="22" spans="1:14">
      <c r="A22" s="122" t="s">
        <v>155</v>
      </c>
      <c r="B22" s="123" t="s">
        <v>156</v>
      </c>
      <c r="C22" s="124">
        <v>0.4</v>
      </c>
      <c r="D22" s="124" t="s">
        <v>111</v>
      </c>
      <c r="E22" s="124">
        <v>1.3</v>
      </c>
      <c r="F22" s="125" t="s">
        <v>112</v>
      </c>
      <c r="G22" s="126">
        <v>0.55000000000000004</v>
      </c>
      <c r="H22" s="124" t="s">
        <v>128</v>
      </c>
      <c r="I22" s="127">
        <v>0.43</v>
      </c>
      <c r="J22" s="78"/>
      <c r="K22" s="78"/>
      <c r="L22" s="78"/>
      <c r="M22" s="78"/>
      <c r="N22" s="78"/>
    </row>
    <row r="23" spans="1:14">
      <c r="A23" s="122" t="s">
        <v>157</v>
      </c>
      <c r="B23" s="123" t="s">
        <v>158</v>
      </c>
      <c r="C23" s="124">
        <v>0.43</v>
      </c>
      <c r="D23" s="124" t="s">
        <v>111</v>
      </c>
      <c r="E23" s="124">
        <v>1.3</v>
      </c>
      <c r="F23" s="125" t="s">
        <v>112</v>
      </c>
      <c r="G23" s="126">
        <v>0.55000000000000004</v>
      </c>
      <c r="H23" s="124" t="s">
        <v>128</v>
      </c>
      <c r="I23" s="127">
        <v>0.43</v>
      </c>
      <c r="J23" s="78"/>
      <c r="K23" s="78"/>
      <c r="L23" s="78"/>
      <c r="M23" s="78"/>
      <c r="N23" s="78"/>
    </row>
    <row r="24" spans="1:14">
      <c r="A24" s="122" t="s">
        <v>159</v>
      </c>
      <c r="B24" s="123" t="s">
        <v>160</v>
      </c>
      <c r="C24" s="124">
        <v>0.37</v>
      </c>
      <c r="D24" s="124" t="s">
        <v>111</v>
      </c>
      <c r="E24" s="124">
        <v>1.3</v>
      </c>
      <c r="F24" s="125" t="s">
        <v>112</v>
      </c>
      <c r="G24" s="126">
        <v>0.55000000000000004</v>
      </c>
      <c r="H24" s="124" t="s">
        <v>137</v>
      </c>
      <c r="I24" s="127">
        <v>0.43</v>
      </c>
      <c r="J24" s="78"/>
      <c r="K24" s="78"/>
      <c r="L24" s="78"/>
      <c r="M24" s="78"/>
      <c r="N24" s="78"/>
    </row>
    <row r="25" spans="1:14">
      <c r="A25" s="122" t="s">
        <v>161</v>
      </c>
      <c r="B25" s="123" t="s">
        <v>162</v>
      </c>
      <c r="C25" s="124">
        <v>0.36</v>
      </c>
      <c r="D25" s="124" t="s">
        <v>111</v>
      </c>
      <c r="E25" s="124">
        <v>1.3</v>
      </c>
      <c r="F25" s="125" t="s">
        <v>112</v>
      </c>
      <c r="G25" s="126">
        <v>0.55000000000000004</v>
      </c>
      <c r="H25" s="124" t="s">
        <v>137</v>
      </c>
      <c r="I25" s="127">
        <v>0.43</v>
      </c>
      <c r="J25" s="78"/>
      <c r="K25" s="78"/>
      <c r="L25" s="78"/>
      <c r="M25" s="78"/>
      <c r="N25" s="78"/>
    </row>
    <row r="26" spans="1:14">
      <c r="A26" s="122" t="s">
        <v>163</v>
      </c>
      <c r="B26" s="123" t="s">
        <v>164</v>
      </c>
      <c r="C26" s="124">
        <v>0.56000000000000005</v>
      </c>
      <c r="D26" s="124" t="s">
        <v>111</v>
      </c>
      <c r="E26" s="124">
        <v>1.56</v>
      </c>
      <c r="F26" s="125" t="s">
        <v>112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>
      <c r="A27" s="122" t="s">
        <v>166</v>
      </c>
      <c r="B27" s="123" t="s">
        <v>167</v>
      </c>
      <c r="C27" s="124">
        <v>0.51</v>
      </c>
      <c r="D27" s="124" t="s">
        <v>111</v>
      </c>
      <c r="E27" s="124">
        <v>1.56</v>
      </c>
      <c r="F27" s="125" t="s">
        <v>112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>
      <c r="A28" s="122" t="s">
        <v>168</v>
      </c>
      <c r="B28" s="123" t="s">
        <v>169</v>
      </c>
      <c r="C28" s="124">
        <v>0.51</v>
      </c>
      <c r="D28" s="124" t="s">
        <v>111</v>
      </c>
      <c r="E28" s="124">
        <v>1.56</v>
      </c>
      <c r="F28" s="125" t="s">
        <v>112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>
      <c r="A29" s="122" t="s">
        <v>170</v>
      </c>
      <c r="B29" s="123" t="s">
        <v>170</v>
      </c>
      <c r="C29" s="124">
        <v>0.56000000000000005</v>
      </c>
      <c r="D29" s="124" t="s">
        <v>111</v>
      </c>
      <c r="E29" s="124">
        <v>1.56</v>
      </c>
      <c r="F29" s="125" t="s">
        <v>112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>
      <c r="A30" s="122" t="s">
        <v>171</v>
      </c>
      <c r="B30" s="123" t="s">
        <v>172</v>
      </c>
      <c r="C30" s="124">
        <v>0.55000000000000004</v>
      </c>
      <c r="D30" s="124" t="s">
        <v>111</v>
      </c>
      <c r="E30" s="124">
        <v>1.56</v>
      </c>
      <c r="F30" s="125" t="s">
        <v>112</v>
      </c>
      <c r="G30" s="126">
        <v>0.53</v>
      </c>
      <c r="H30" s="124" t="s">
        <v>137</v>
      </c>
      <c r="I30" s="127">
        <v>0.25</v>
      </c>
      <c r="J30" s="78"/>
      <c r="K30" s="78"/>
      <c r="L30" s="78"/>
      <c r="M30" s="78"/>
      <c r="N30" s="78"/>
    </row>
    <row r="31" spans="1:14">
      <c r="A31" s="122" t="s">
        <v>173</v>
      </c>
      <c r="B31" s="123" t="s">
        <v>174</v>
      </c>
      <c r="C31" s="124">
        <v>0.56000000000000005</v>
      </c>
      <c r="D31" s="124" t="s">
        <v>111</v>
      </c>
      <c r="E31" s="124">
        <v>1.56</v>
      </c>
      <c r="F31" s="125" t="s">
        <v>112</v>
      </c>
      <c r="G31" s="126">
        <v>0.43</v>
      </c>
      <c r="H31" s="124" t="s">
        <v>113</v>
      </c>
      <c r="I31" s="127">
        <v>0.25</v>
      </c>
      <c r="J31" s="78"/>
      <c r="K31" s="78"/>
      <c r="L31" s="78"/>
      <c r="M31" s="78"/>
      <c r="N31" s="78"/>
    </row>
    <row r="32" spans="1:14">
      <c r="A32" s="122" t="s">
        <v>175</v>
      </c>
      <c r="B32" s="123" t="s">
        <v>176</v>
      </c>
      <c r="C32" s="124">
        <v>0.48</v>
      </c>
      <c r="D32" s="124" t="s">
        <v>111</v>
      </c>
      <c r="E32" s="124">
        <v>1.3</v>
      </c>
      <c r="F32" s="125" t="s">
        <v>112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>
      <c r="A33" s="122" t="s">
        <v>178</v>
      </c>
      <c r="B33" s="123" t="s">
        <v>179</v>
      </c>
      <c r="C33" s="124">
        <v>0.42</v>
      </c>
      <c r="D33" s="124" t="s">
        <v>111</v>
      </c>
      <c r="E33" s="124">
        <v>1.3</v>
      </c>
      <c r="F33" s="125" t="s">
        <v>112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112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>
      <c r="A35" s="122" t="s">
        <v>184</v>
      </c>
      <c r="B35" s="123" t="s">
        <v>185</v>
      </c>
      <c r="C35" s="124">
        <v>0.5</v>
      </c>
      <c r="D35" s="124" t="s">
        <v>111</v>
      </c>
      <c r="E35" s="124">
        <v>1.56</v>
      </c>
      <c r="F35" s="125" t="s">
        <v>112</v>
      </c>
      <c r="G35" s="126">
        <v>0.43</v>
      </c>
      <c r="H35" s="124" t="s">
        <v>113</v>
      </c>
      <c r="I35" s="127">
        <v>0.25</v>
      </c>
      <c r="J35" s="78"/>
      <c r="K35" s="78"/>
      <c r="L35" s="78"/>
      <c r="M35" s="78"/>
      <c r="N35" s="78"/>
    </row>
    <row r="36" spans="1:14">
      <c r="A36" s="122" t="s">
        <v>186</v>
      </c>
      <c r="B36" s="123" t="s">
        <v>187</v>
      </c>
      <c r="C36" s="124">
        <v>0.55000000000000004</v>
      </c>
      <c r="D36" s="124" t="s">
        <v>111</v>
      </c>
      <c r="E36" s="124">
        <v>1.56</v>
      </c>
      <c r="F36" s="125" t="s">
        <v>112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>
      <c r="A37" s="122" t="s">
        <v>188</v>
      </c>
      <c r="B37" s="123" t="s">
        <v>189</v>
      </c>
      <c r="C37" s="124">
        <v>0.52</v>
      </c>
      <c r="D37" s="124" t="s">
        <v>111</v>
      </c>
      <c r="E37" s="124">
        <v>1.56</v>
      </c>
      <c r="F37" s="125" t="s">
        <v>112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>
      <c r="A38" s="122" t="s">
        <v>190</v>
      </c>
      <c r="B38" s="123" t="s">
        <v>191</v>
      </c>
      <c r="C38" s="124">
        <v>0.52</v>
      </c>
      <c r="D38" s="124" t="s">
        <v>111</v>
      </c>
      <c r="E38" s="124">
        <v>1.56</v>
      </c>
      <c r="F38" s="125" t="s">
        <v>112</v>
      </c>
      <c r="G38" s="126">
        <v>0.43</v>
      </c>
      <c r="H38" s="124" t="s">
        <v>113</v>
      </c>
      <c r="I38" s="127">
        <v>0.25</v>
      </c>
      <c r="J38" s="78"/>
      <c r="K38" s="78"/>
      <c r="L38" s="78"/>
      <c r="M38" s="78"/>
      <c r="N38" s="78"/>
    </row>
    <row r="39" spans="1:14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112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112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112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112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112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112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112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112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112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112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112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112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112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112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112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112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112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112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112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112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112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112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112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>
      <c r="A62" s="122" t="s">
        <v>218</v>
      </c>
      <c r="B62" s="123" t="s">
        <v>219</v>
      </c>
      <c r="C62" s="124">
        <v>0.37</v>
      </c>
      <c r="D62" s="124" t="s">
        <v>111</v>
      </c>
      <c r="E62" s="124">
        <v>1.56</v>
      </c>
      <c r="F62" s="125" t="s">
        <v>112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>
      <c r="A63" s="122" t="s">
        <v>220</v>
      </c>
      <c r="B63" s="123" t="s">
        <v>221</v>
      </c>
      <c r="C63" s="124">
        <v>0.45</v>
      </c>
      <c r="D63" s="124" t="s">
        <v>111</v>
      </c>
      <c r="E63" s="124">
        <v>1.3</v>
      </c>
      <c r="F63" s="125" t="s">
        <v>112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>
      <c r="A64" s="122" t="s">
        <v>223</v>
      </c>
      <c r="B64" s="123" t="s">
        <v>224</v>
      </c>
      <c r="C64" s="124">
        <v>0.39</v>
      </c>
      <c r="D64" s="124" t="s">
        <v>111</v>
      </c>
      <c r="E64" s="124">
        <v>1.3</v>
      </c>
      <c r="F64" s="125" t="s">
        <v>112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>
      <c r="A65" s="122" t="s">
        <v>225</v>
      </c>
      <c r="B65" s="123" t="s">
        <v>226</v>
      </c>
      <c r="C65" s="124">
        <v>0.44</v>
      </c>
      <c r="D65" s="124" t="s">
        <v>111</v>
      </c>
      <c r="E65" s="124">
        <v>1.3</v>
      </c>
      <c r="F65" s="125" t="s">
        <v>112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>
      <c r="A66" s="122" t="s">
        <v>227</v>
      </c>
      <c r="B66" s="123" t="s">
        <v>228</v>
      </c>
      <c r="C66" s="124">
        <v>0.46</v>
      </c>
      <c r="D66" s="124" t="s">
        <v>111</v>
      </c>
      <c r="E66" s="124">
        <v>1.3</v>
      </c>
      <c r="F66" s="125" t="s">
        <v>112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>
      <c r="A67" s="122" t="s">
        <v>229</v>
      </c>
      <c r="B67" s="123" t="s">
        <v>230</v>
      </c>
      <c r="C67" s="124">
        <v>0.46</v>
      </c>
      <c r="D67" s="124" t="s">
        <v>111</v>
      </c>
      <c r="E67" s="124">
        <v>1.3</v>
      </c>
      <c r="F67" s="125" t="s">
        <v>112</v>
      </c>
      <c r="G67" s="126">
        <v>0.45</v>
      </c>
      <c r="H67" s="124" t="s">
        <v>137</v>
      </c>
      <c r="I67" s="127">
        <v>0.59</v>
      </c>
      <c r="J67" s="78"/>
      <c r="K67" s="78"/>
      <c r="L67" s="78"/>
      <c r="M67" s="78"/>
      <c r="N67" s="78"/>
    </row>
    <row r="68" spans="1:14">
      <c r="A68" s="122" t="s">
        <v>231</v>
      </c>
      <c r="B68" s="123" t="s">
        <v>232</v>
      </c>
      <c r="C68" s="124">
        <v>0.44</v>
      </c>
      <c r="D68" s="124" t="s">
        <v>111</v>
      </c>
      <c r="E68" s="124">
        <v>1.3</v>
      </c>
      <c r="F68" s="125" t="s">
        <v>112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>
      <c r="A69" s="122" t="s">
        <v>233</v>
      </c>
      <c r="B69" s="123" t="s">
        <v>234</v>
      </c>
      <c r="C69" s="124">
        <v>0.46</v>
      </c>
      <c r="D69" s="124" t="s">
        <v>111</v>
      </c>
      <c r="E69" s="124">
        <v>1.3</v>
      </c>
      <c r="F69" s="125" t="s">
        <v>112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>
      <c r="A70" s="122" t="s">
        <v>235</v>
      </c>
      <c r="B70" s="123" t="s">
        <v>236</v>
      </c>
      <c r="C70" s="124">
        <v>0.48</v>
      </c>
      <c r="D70" s="124" t="s">
        <v>111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112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>
      <c r="A72" s="122" t="s">
        <v>241</v>
      </c>
      <c r="B72" s="123" t="s">
        <v>242</v>
      </c>
      <c r="C72" s="124">
        <v>0.44</v>
      </c>
      <c r="D72" s="124" t="s">
        <v>111</v>
      </c>
      <c r="E72" s="124">
        <v>1.3</v>
      </c>
      <c r="F72" s="125" t="s">
        <v>112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112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>
      <c r="A74" s="122" t="s">
        <v>246</v>
      </c>
      <c r="B74" s="123" t="s">
        <v>247</v>
      </c>
      <c r="C74" s="124">
        <v>0.34</v>
      </c>
      <c r="D74" s="124" t="s">
        <v>111</v>
      </c>
      <c r="E74" s="124">
        <v>1.3</v>
      </c>
      <c r="F74" s="125" t="s">
        <v>112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>
      <c r="A75" s="122" t="s">
        <v>248</v>
      </c>
      <c r="B75" s="123" t="s">
        <v>249</v>
      </c>
      <c r="C75" s="124">
        <v>0.5</v>
      </c>
      <c r="D75" s="124" t="s">
        <v>111</v>
      </c>
      <c r="E75" s="124">
        <v>1.56</v>
      </c>
      <c r="F75" s="125" t="s">
        <v>112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>
      <c r="A76" s="122" t="s">
        <v>250</v>
      </c>
      <c r="B76" s="123" t="s">
        <v>251</v>
      </c>
      <c r="C76" s="124">
        <v>0.57999999999999996</v>
      </c>
      <c r="D76" s="124" t="s">
        <v>111</v>
      </c>
      <c r="E76" s="124">
        <v>1.56</v>
      </c>
      <c r="F76" s="125" t="s">
        <v>112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>
      <c r="A77" s="122" t="s">
        <v>253</v>
      </c>
      <c r="B77" s="123" t="s">
        <v>254</v>
      </c>
      <c r="C77" s="124">
        <v>0.37</v>
      </c>
      <c r="D77" s="124" t="s">
        <v>111</v>
      </c>
      <c r="E77" s="124">
        <v>1.3</v>
      </c>
      <c r="F77" s="125" t="s">
        <v>112</v>
      </c>
      <c r="G77" s="126">
        <v>0.55000000000000004</v>
      </c>
      <c r="H77" s="124" t="s">
        <v>137</v>
      </c>
      <c r="I77" s="127">
        <v>0.43</v>
      </c>
      <c r="J77" s="78"/>
      <c r="K77" s="78"/>
      <c r="L77" s="78"/>
      <c r="M77" s="78"/>
      <c r="N77" s="78"/>
    </row>
    <row r="78" spans="1:14">
      <c r="A78" s="122" t="s">
        <v>255</v>
      </c>
      <c r="B78" s="123" t="s">
        <v>256</v>
      </c>
      <c r="C78" s="124">
        <v>0.37</v>
      </c>
      <c r="D78" s="124" t="s">
        <v>111</v>
      </c>
      <c r="E78" s="124">
        <v>1.3</v>
      </c>
      <c r="F78" s="125" t="s">
        <v>112</v>
      </c>
      <c r="G78" s="126">
        <v>0.55000000000000004</v>
      </c>
      <c r="H78" s="124" t="s">
        <v>137</v>
      </c>
      <c r="I78" s="127">
        <v>0.43</v>
      </c>
      <c r="J78" s="78"/>
      <c r="K78" s="78"/>
      <c r="L78" s="78"/>
      <c r="M78" s="78"/>
      <c r="N78" s="78"/>
    </row>
    <row r="79" spans="1:14">
      <c r="A79" s="122" t="s">
        <v>257</v>
      </c>
      <c r="B79" s="123" t="s">
        <v>258</v>
      </c>
      <c r="C79" s="124">
        <v>0.38</v>
      </c>
      <c r="D79" s="124" t="s">
        <v>111</v>
      </c>
      <c r="E79" s="124">
        <v>1.3</v>
      </c>
      <c r="F79" s="125" t="s">
        <v>112</v>
      </c>
      <c r="G79" s="126">
        <v>0.55000000000000004</v>
      </c>
      <c r="H79" s="124" t="s">
        <v>128</v>
      </c>
      <c r="I79" s="127">
        <v>0.43</v>
      </c>
      <c r="J79" s="78"/>
      <c r="K79" s="78"/>
      <c r="L79" s="78"/>
      <c r="M79" s="78"/>
      <c r="N79" s="78"/>
    </row>
    <row r="80" spans="1:14">
      <c r="A80" s="122" t="s">
        <v>259</v>
      </c>
      <c r="B80" s="123" t="s">
        <v>260</v>
      </c>
      <c r="C80" s="124">
        <v>0.36</v>
      </c>
      <c r="D80" s="124" t="s">
        <v>111</v>
      </c>
      <c r="E80" s="124">
        <v>1.3</v>
      </c>
      <c r="F80" s="125" t="s">
        <v>112</v>
      </c>
      <c r="G80" s="126">
        <v>0.55000000000000004</v>
      </c>
      <c r="H80" s="124" t="s">
        <v>128</v>
      </c>
      <c r="I80" s="127">
        <v>0.43</v>
      </c>
      <c r="J80" s="78"/>
      <c r="K80" s="78"/>
      <c r="L80" s="78"/>
      <c r="M80" s="78"/>
      <c r="N80" s="78"/>
    </row>
    <row r="81" spans="1:14">
      <c r="A81" s="122" t="s">
        <v>261</v>
      </c>
      <c r="B81" s="123" t="s">
        <v>262</v>
      </c>
      <c r="C81" s="124">
        <v>0.37</v>
      </c>
      <c r="D81" s="124" t="s">
        <v>111</v>
      </c>
      <c r="E81" s="124">
        <v>1.56</v>
      </c>
      <c r="F81" s="125" t="s">
        <v>112</v>
      </c>
      <c r="G81" s="126">
        <v>0.43</v>
      </c>
      <c r="H81" s="124" t="s">
        <v>113</v>
      </c>
      <c r="I81" s="127">
        <v>0.25</v>
      </c>
      <c r="J81" s="78"/>
      <c r="K81" s="78"/>
      <c r="L81" s="78"/>
      <c r="M81" s="78"/>
      <c r="N81" s="78"/>
    </row>
    <row r="82" spans="1:14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112</v>
      </c>
      <c r="G82" s="126">
        <v>0.55000000000000004</v>
      </c>
      <c r="H82" s="124" t="s">
        <v>128</v>
      </c>
      <c r="I82" s="127">
        <v>0.43</v>
      </c>
      <c r="J82" s="78"/>
      <c r="K82" s="78"/>
      <c r="L82" s="78"/>
      <c r="M82" s="78"/>
      <c r="N82" s="78"/>
    </row>
    <row r="83" spans="1:14">
      <c r="A83" s="122" t="s">
        <v>266</v>
      </c>
      <c r="B83" s="123" t="s">
        <v>267</v>
      </c>
      <c r="C83" s="124">
        <v>0.34</v>
      </c>
      <c r="D83" s="124" t="s">
        <v>111</v>
      </c>
      <c r="E83" s="124">
        <v>1.3</v>
      </c>
      <c r="F83" s="125" t="s">
        <v>112</v>
      </c>
      <c r="G83" s="126">
        <v>0.55000000000000004</v>
      </c>
      <c r="H83" s="124" t="s">
        <v>128</v>
      </c>
      <c r="I83" s="127">
        <v>0.43</v>
      </c>
      <c r="J83" s="78"/>
      <c r="K83" s="78"/>
      <c r="L83" s="78"/>
      <c r="M83" s="78"/>
      <c r="N83" s="78"/>
    </row>
    <row r="84" spans="1:14">
      <c r="A84" s="122" t="s">
        <v>268</v>
      </c>
      <c r="B84" s="123" t="s">
        <v>269</v>
      </c>
      <c r="C84" s="124">
        <v>0.31</v>
      </c>
      <c r="D84" s="124" t="s">
        <v>111</v>
      </c>
      <c r="E84" s="124">
        <v>1.3</v>
      </c>
      <c r="F84" s="125" t="s">
        <v>112</v>
      </c>
      <c r="G84" s="126">
        <v>0.55000000000000004</v>
      </c>
      <c r="H84" s="124" t="s">
        <v>128</v>
      </c>
      <c r="I84" s="127">
        <v>0.43</v>
      </c>
      <c r="J84" s="78"/>
      <c r="K84" s="78"/>
      <c r="L84" s="78"/>
      <c r="M84" s="78"/>
      <c r="N84" s="78"/>
    </row>
    <row r="85" spans="1:14">
      <c r="A85" s="122" t="s">
        <v>270</v>
      </c>
      <c r="B85" s="123" t="s">
        <v>271</v>
      </c>
      <c r="C85" s="124">
        <v>0.43</v>
      </c>
      <c r="D85" s="124" t="s">
        <v>111</v>
      </c>
      <c r="E85" s="124">
        <v>1.56</v>
      </c>
      <c r="F85" s="125" t="s">
        <v>112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>
      <c r="A86" s="122" t="s">
        <v>272</v>
      </c>
      <c r="B86" s="123" t="s">
        <v>273</v>
      </c>
      <c r="C86" s="124">
        <v>0.38</v>
      </c>
      <c r="D86" s="124" t="s">
        <v>111</v>
      </c>
      <c r="E86" s="124">
        <v>1.56</v>
      </c>
      <c r="F86" s="125" t="s">
        <v>112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112</v>
      </c>
      <c r="G87" s="255">
        <v>0.43</v>
      </c>
      <c r="H87" s="253" t="s">
        <v>113</v>
      </c>
      <c r="I87" s="256">
        <v>0.25</v>
      </c>
      <c r="J87" s="78"/>
      <c r="K87" s="78"/>
      <c r="L87" s="78"/>
      <c r="M87" s="78"/>
      <c r="N87" s="78"/>
    </row>
    <row r="88" spans="1:14">
      <c r="A88" s="122" t="s">
        <v>278</v>
      </c>
      <c r="B88" s="130"/>
      <c r="C88" s="124">
        <v>0.42</v>
      </c>
      <c r="D88" s="124" t="s">
        <v>111</v>
      </c>
      <c r="E88" s="124">
        <v>1.3</v>
      </c>
      <c r="F88" s="125" t="s">
        <v>112</v>
      </c>
      <c r="G88" s="131"/>
      <c r="H88" s="130"/>
      <c r="I88" s="132"/>
    </row>
    <row r="89" spans="1:14" ht="15" thickBot="1">
      <c r="A89" s="133" t="s">
        <v>71</v>
      </c>
      <c r="B89" s="134"/>
      <c r="C89" s="135">
        <v>0.56999999999999995</v>
      </c>
      <c r="D89" s="136" t="s">
        <v>111</v>
      </c>
      <c r="E89" s="135">
        <v>1.56</v>
      </c>
      <c r="F89" s="135" t="s">
        <v>112</v>
      </c>
      <c r="G89" s="134"/>
      <c r="H89" s="134"/>
      <c r="I89" s="137"/>
    </row>
    <row r="93" spans="1:14">
      <c r="A93" s="122" t="s">
        <v>72</v>
      </c>
    </row>
    <row r="94" spans="1:14">
      <c r="A94" s="122" t="s">
        <v>73</v>
      </c>
    </row>
    <row r="95" spans="1:14">
      <c r="A95" s="122" t="s">
        <v>74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zoomScale="90" zoomScaleNormal="90" workbookViewId="0">
      <selection activeCell="K34" sqref="K34"/>
    </sheetView>
  </sheetViews>
  <sheetFormatPr baseColWidth="10" defaultColWidth="11.44140625" defaultRowHeight="14.4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>
      <c r="A6" s="145" t="str">
        <f>IF('Données projet'!$B$9="","",'Données projet'!$B$9)</f>
        <v>Chêne sessile</v>
      </c>
      <c r="B6" s="146">
        <f>'Données projet'!D9</f>
        <v>0.45500000000000002</v>
      </c>
      <c r="C6" s="147">
        <f ca="1">IF(OR('Données projet'!B9="",'Données projet'!C9="",'Données projet'!C9=0%),0,Calculateur!S3)</f>
        <v>280.79223530986889</v>
      </c>
      <c r="D6" s="147">
        <f>IF(OR('Données projet'!B9="",'Données projet'!C9="",'Données projet'!C9=0%),0,Calculateur!T3)</f>
        <v>170.29932835468685</v>
      </c>
      <c r="E6" s="147">
        <f ca="1">MIN(C6,D6)</f>
        <v>170.29932835468685</v>
      </c>
      <c r="F6" s="147">
        <f ca="1">E6*B6</f>
        <v>77.486194401382519</v>
      </c>
      <c r="G6" s="147">
        <f ca="1">F6*(100%-'Données projet'!$C$24)*(100%-'Données projet'!$C$25)*(100%-'Données projet'!$C$26)*(100%-'Données projet'!$C$27)</f>
        <v>66.250696213182053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0.91</v>
      </c>
      <c r="K6" s="151">
        <f>J6*(100%-'Données projet'!$C$24)*(100%-'Données projet'!$C$25)*(100%-'Données projet'!$C$26)*(100%-'Données projet'!$C$27)</f>
        <v>0.77805000000000002</v>
      </c>
      <c r="L6" s="152">
        <f ca="1">G6+I6+K6</f>
        <v>67.028746213182046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>
      <c r="A7" s="153" t="str">
        <f>IF('Données projet'!$B$10="","",'Données projet'!$B$10)</f>
        <v>Chêne pubescent</v>
      </c>
      <c r="B7" s="154">
        <f>'Données projet'!D10</f>
        <v>0.45500000000000002</v>
      </c>
      <c r="C7" s="147">
        <f ca="1">IF(OR('Données projet'!B10="",'Données projet'!C10="",'Données projet'!C10=0%),0,Calculateur!AN3)</f>
        <v>327.4505861600158</v>
      </c>
      <c r="D7" s="147">
        <f>IF(OR('Données projet'!B10="",'Données projet'!C10="",'Données projet'!C10=0%),0,Calculateur!AO3)</f>
        <v>193.18009444354595</v>
      </c>
      <c r="E7" s="147">
        <f t="shared" ref="E7:E15" ca="1" si="0">MIN(C7,D7)</f>
        <v>193.18009444354595</v>
      </c>
      <c r="F7" s="147">
        <f t="shared" ref="F7:F15" ca="1" si="1">E7*B7</f>
        <v>87.896942971813417</v>
      </c>
      <c r="G7" s="147">
        <f ca="1">F7*(100%-'Données projet'!$C$24)*(100%-'Données projet'!$C$25)*(100%-'Données projet'!$C$26)*(100%-'Données projet'!$C$27)</f>
        <v>75.151886240900467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0.91</v>
      </c>
      <c r="K7" s="151">
        <f>J7*(100%-'Données projet'!$C$24)*(100%-'Données projet'!$C$25)*(100%-'Données projet'!$C$26)*(100%-'Données projet'!$C$27)</f>
        <v>0.77805000000000002</v>
      </c>
      <c r="L7" s="152">
        <f t="shared" ref="L7:L15" ca="1" si="2">G7+I7+K7</f>
        <v>75.92993624090046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>
      <c r="A8" s="153" t="str">
        <f>IF('Données projet'!$B$11="","",'Données projet'!$B$11)</f>
        <v>Chêne chevelu</v>
      </c>
      <c r="B8" s="154">
        <f>'Données projet'!D11</f>
        <v>0.45500000000000002</v>
      </c>
      <c r="C8" s="147">
        <f ca="1">IF(OR('Données projet'!B11="",'Données projet'!C11="",'Données projet'!C11=0%),0,Calculateur!BI3)</f>
        <v>340.76197766679212</v>
      </c>
      <c r="D8" s="147">
        <f>IF(OR('Données projet'!B11="",'Données projet'!C11="",'Données projet'!C11=0%),0,Calculateur!BJ3)</f>
        <v>199.70700738826872</v>
      </c>
      <c r="E8" s="147">
        <f t="shared" ca="1" si="0"/>
        <v>199.70700738826872</v>
      </c>
      <c r="F8" s="147">
        <f t="shared" ca="1" si="1"/>
        <v>90.86668836166227</v>
      </c>
      <c r="G8" s="147">
        <f ca="1">F8*(100%-'Données projet'!$C$24)*(100%-'Données projet'!$C$25)*(100%-'Données projet'!$C$26)*(100%-'Données projet'!$C$27)</f>
        <v>77.691018549221241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0.91</v>
      </c>
      <c r="K8" s="151">
        <f>J8*(100%-'Données projet'!$C$24)*(100%-'Données projet'!$C$25)*(100%-'Données projet'!$C$26)*(100%-'Données projet'!$C$27)</f>
        <v>0.77805000000000002</v>
      </c>
      <c r="L8" s="152">
        <f t="shared" ca="1" si="2"/>
        <v>78.469068549221234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>
      <c r="A9" s="153" t="str">
        <f>IF('Données projet'!$B$12="","",'Données projet'!$B$12)</f>
        <v>Cormier</v>
      </c>
      <c r="B9" s="154">
        <f>'Données projet'!D12</f>
        <v>0.45500000000000002</v>
      </c>
      <c r="C9" s="147">
        <f ca="1">IF(OR('Données projet'!B12="",'Données projet'!C12="",'Données projet'!C12=0%),0,Calculateur!CD3)</f>
        <v>354.06521046071936</v>
      </c>
      <c r="D9" s="147">
        <f>IF(OR('Données projet'!B12="",'Données projet'!C12="",'Données projet'!C12=0%),0,Calculateur!CE3)</f>
        <v>206.22956332364367</v>
      </c>
      <c r="E9" s="147">
        <f t="shared" ca="1" si="0"/>
        <v>206.22956332364367</v>
      </c>
      <c r="F9" s="147">
        <f t="shared" ca="1" si="1"/>
        <v>93.834451312257869</v>
      </c>
      <c r="G9" s="147">
        <f ca="1">F9*(100%-'Données projet'!$C$24)*(100%-'Données projet'!$C$25)*(100%-'Données projet'!$C$26)*(100%-'Données projet'!$C$27)</f>
        <v>80.228455871980472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0.91</v>
      </c>
      <c r="K9" s="151">
        <f>J9*(100%-'Données projet'!$C$24)*(100%-'Données projet'!$C$25)*(100%-'Données projet'!$C$26)*(100%-'Données projet'!$C$27)</f>
        <v>0.77805000000000002</v>
      </c>
      <c r="L9" s="152">
        <f t="shared" ca="1" si="2"/>
        <v>81.006505871980465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>
      <c r="A16" s="209"/>
      <c r="B16" s="213"/>
      <c r="C16" s="214"/>
      <c r="D16" s="23"/>
      <c r="E16" s="23"/>
      <c r="F16" s="165">
        <f t="shared" ref="F16:L16" ca="1" si="3">SUM(F6:F15)</f>
        <v>350.08427704711607</v>
      </c>
      <c r="G16" s="166">
        <f t="shared" ca="1" si="3"/>
        <v>299.3220568752842</v>
      </c>
      <c r="H16" s="167">
        <f t="shared" si="3"/>
        <v>0</v>
      </c>
      <c r="I16" s="167">
        <f t="shared" si="3"/>
        <v>0</v>
      </c>
      <c r="J16" s="168">
        <f t="shared" si="3"/>
        <v>3.64</v>
      </c>
      <c r="K16" s="168">
        <f t="shared" si="3"/>
        <v>3.1122000000000001</v>
      </c>
      <c r="L16" s="169">
        <f t="shared" ca="1" si="3"/>
        <v>302.43425687528418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>
      <c r="A57" s="170" t="str">
        <f>A8</f>
        <v>Chêne chevelu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>
      <c r="A76" s="170" t="str">
        <f>A9</f>
        <v>Cormier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S40" sqref="S40"/>
    </sheetView>
  </sheetViews>
  <sheetFormatPr baseColWidth="10" defaultColWidth="11.44140625" defaultRowHeight="14.4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>
      <c r="A4" s="4"/>
      <c r="B4" s="4"/>
      <c r="C4" s="4"/>
      <c r="D4" s="4"/>
      <c r="E4" s="4"/>
      <c r="G4" s="4"/>
      <c r="H4" s="258" t="s">
        <v>292</v>
      </c>
      <c r="I4" s="258"/>
      <c r="K4" s="300" t="s">
        <v>293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57</v>
      </c>
      <c r="O7" s="247"/>
      <c r="P7" s="248"/>
      <c r="Q7" s="249"/>
      <c r="R7" s="292" t="s">
        <v>294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-315.19602820700061</v>
      </c>
      <c r="U10" s="178">
        <f>'Données projet'!D9</f>
        <v>0.45500000000000002</v>
      </c>
      <c r="V10" s="177">
        <f>U10*T10</f>
        <v>-143.41419283418529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-341.81447594123506</v>
      </c>
      <c r="U11" s="178">
        <f>'Données projet'!D10</f>
        <v>0.45500000000000002</v>
      </c>
      <c r="V11" s="177">
        <f t="shared" ref="V11" si="0">U11*T11</f>
        <v>-155.52558655326195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chevelu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-527.13302820700062</v>
      </c>
      <c r="U12" s="178">
        <f>'Données projet'!D11</f>
        <v>0.45500000000000002</v>
      </c>
      <c r="V12" s="177">
        <f t="shared" ref="V12:V19" si="1">U12*T12</f>
        <v>-239.8455278341853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>Cormier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-1035.7818282070007</v>
      </c>
      <c r="U13" s="178">
        <f>'Données projet'!D12</f>
        <v>0.45500000000000002</v>
      </c>
      <c r="V13" s="177">
        <f t="shared" si="1"/>
        <v>-471.2807318341853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>
      <c r="A14" s="46" t="s">
        <v>15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76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>
      <c r="A15" s="4"/>
      <c r="B15" s="4"/>
      <c r="C15" s="4"/>
      <c r="D15" s="4"/>
      <c r="E15" s="4"/>
      <c r="F15" s="230"/>
      <c r="G15" s="303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>
      <c r="A16" s="36" t="s">
        <v>48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303"/>
      <c r="H16" s="190"/>
      <c r="I16" s="191"/>
      <c r="J16" s="202"/>
      <c r="K16" s="208"/>
      <c r="L16" s="300" t="s">
        <v>311</v>
      </c>
      <c r="M16" s="301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>
      <c r="A17" s="49">
        <v>0</v>
      </c>
      <c r="B17" s="199" t="s">
        <v>193</v>
      </c>
      <c r="C17" s="198" t="s">
        <v>193</v>
      </c>
      <c r="D17" s="197" t="s">
        <v>193</v>
      </c>
      <c r="E17" s="193">
        <f>(1.3+1)*385.34*1.1</f>
        <v>974.91020000000003</v>
      </c>
      <c r="F17" s="230"/>
      <c r="G17" s="303"/>
      <c r="J17" s="202"/>
      <c r="K17" s="208"/>
      <c r="L17" s="260" t="s">
        <v>312</v>
      </c>
      <c r="M17" s="262"/>
      <c r="N17" s="175">
        <f>VLOOKUP(N16,Calculateur!$A$2:$H$153,3,0)/VLOOKUP('Scénario référence'!$G$15,Paramètres!A1:I89,3,0)/VLOOKUP('Scénario référence'!$G$15,Paramètres!A1:I89,5,0)</f>
        <v>50.000000000000028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303"/>
      <c r="J18" s="202"/>
      <c r="K18" s="208"/>
      <c r="L18" s="260" t="s">
        <v>308</v>
      </c>
      <c r="M18" s="262"/>
      <c r="N18" s="192">
        <v>20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303"/>
      <c r="H19" s="212" t="s">
        <v>76</v>
      </c>
      <c r="I19" s="212" t="s">
        <v>313</v>
      </c>
      <c r="J19" s="93"/>
      <c r="K19" s="173"/>
      <c r="L19" s="300" t="s">
        <v>314</v>
      </c>
      <c r="M19" s="301"/>
      <c r="N19" s="179">
        <f>N17*N18</f>
        <v>1000.0000000000006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303"/>
      <c r="H20" s="190">
        <v>0</v>
      </c>
      <c r="I20" s="191">
        <f>(600*1.1)+(1.8*1541.34*1.2)+(1*1541.34*1.1)</f>
        <v>5684.7683999999999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>
        <v>1</v>
      </c>
      <c r="I21" s="191">
        <f>(160+300)*1.1</f>
        <v>506.00000000000006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>
        <v>2</v>
      </c>
      <c r="I22" s="191">
        <f>160*1.1</f>
        <v>176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>
      <c r="A23" s="180">
        <f>'Données projet'!A36</f>
        <v>20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f>170*1.1</f>
        <v>187.00000000000003</v>
      </c>
      <c r="K23" s="208"/>
      <c r="L23" s="302" t="s">
        <v>315</v>
      </c>
      <c r="M23" s="302"/>
      <c r="N23" s="302"/>
      <c r="O23" s="23"/>
      <c r="P23" s="23"/>
      <c r="Q23" s="234"/>
      <c r="R23" s="23"/>
      <c r="S23" s="36" t="s">
        <v>316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-12829.173089154961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>
      <c r="A24" s="180">
        <f>'Données projet'!A37</f>
        <v>25</v>
      </c>
      <c r="B24" s="181">
        <f>'Données projet'!D37</f>
        <v>8</v>
      </c>
      <c r="C24" s="193">
        <v>10</v>
      </c>
      <c r="D24" s="182">
        <f t="shared" ref="D24:D42" si="2">B24*C24</f>
        <v>80</v>
      </c>
      <c r="E24" s="193"/>
      <c r="F24" s="233"/>
      <c r="H24" s="190">
        <v>4</v>
      </c>
      <c r="I24" s="191">
        <v>0</v>
      </c>
      <c r="K24" s="208"/>
      <c r="O24" s="23"/>
      <c r="P24" s="23"/>
      <c r="Q24" s="234"/>
      <c r="R24" s="23"/>
      <c r="S24" s="36" t="s">
        <v>317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201.49156293748703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>
      <c r="A25" s="180">
        <f>'Données projet'!A38</f>
        <v>30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>
        <v>5</v>
      </c>
      <c r="I25" s="191">
        <v>0</v>
      </c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299">
        <f ca="1">T23-T24</f>
        <v>-13030.664652092448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>
      <c r="A26" s="180">
        <f>'Données projet'!A39</f>
        <v>35</v>
      </c>
      <c r="B26" s="181">
        <f>'Données projet'!D39</f>
        <v>42</v>
      </c>
      <c r="C26" s="193">
        <v>10</v>
      </c>
      <c r="D26" s="182">
        <f t="shared" si="2"/>
        <v>420</v>
      </c>
      <c r="E26" s="193"/>
      <c r="F26" s="233"/>
      <c r="G26" s="229"/>
      <c r="H26" s="190"/>
      <c r="I26" s="191"/>
      <c r="K26" s="208"/>
      <c r="L26" s="286" t="s">
        <v>320</v>
      </c>
      <c r="M26" s="287"/>
      <c r="N26" s="287"/>
      <c r="O26" s="287"/>
      <c r="P26" s="288"/>
      <c r="Q26" s="234"/>
      <c r="R26" s="23"/>
      <c r="S26" s="186" t="s">
        <v>321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>
      <c r="A27" s="180">
        <f>'Données projet'!A40</f>
        <v>40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322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>
      <c r="A28" s="180">
        <f>'Données projet'!A41</f>
        <v>45</v>
      </c>
      <c r="B28" s="181">
        <f>'Données projet'!D41</f>
        <v>42</v>
      </c>
      <c r="C28" s="193">
        <v>10</v>
      </c>
      <c r="D28" s="182">
        <f t="shared" si="2"/>
        <v>420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>
      <c r="A29" s="180">
        <f>'Données projet'!A42</f>
        <v>50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>
      <c r="A30" s="180">
        <f>'Données projet'!A43</f>
        <v>55</v>
      </c>
      <c r="B30" s="181">
        <f>'Données projet'!D43</f>
        <v>42</v>
      </c>
      <c r="C30" s="193">
        <v>20</v>
      </c>
      <c r="D30" s="182">
        <f t="shared" si="2"/>
        <v>840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S30" s="30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>
      <c r="A31" s="180">
        <f>'Données projet'!A44</f>
        <v>60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>
      <c r="A32" s="180">
        <f>'Données projet'!A45</f>
        <v>65</v>
      </c>
      <c r="B32" s="181">
        <f>'Données projet'!D45</f>
        <v>42</v>
      </c>
      <c r="C32" s="193">
        <v>30</v>
      </c>
      <c r="D32" s="182">
        <f t="shared" si="2"/>
        <v>1260</v>
      </c>
      <c r="E32" s="193"/>
      <c r="F32" s="233"/>
      <c r="G32" s="203"/>
      <c r="H32" s="190"/>
      <c r="I32" s="191"/>
      <c r="K32" s="173"/>
      <c r="N32" s="4"/>
      <c r="O32" s="85" t="s">
        <v>76</v>
      </c>
      <c r="P32" s="85" t="s">
        <v>309</v>
      </c>
      <c r="Q32" s="234"/>
      <c r="R32" s="23"/>
      <c r="S32" s="30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>
      <c r="A33" s="180">
        <f>'Données projet'!A46</f>
        <v>70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>
      <c r="A34" s="180">
        <f>'Données projet'!A47</f>
        <v>75</v>
      </c>
      <c r="B34" s="181">
        <f>'Données projet'!D47</f>
        <v>42</v>
      </c>
      <c r="C34" s="193">
        <v>40</v>
      </c>
      <c r="D34" s="182">
        <f t="shared" si="2"/>
        <v>1680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>
      <c r="A35" s="180">
        <f>'Données projet'!A48</f>
        <v>85</v>
      </c>
      <c r="B35" s="181">
        <f>'Données projet'!D48</f>
        <v>42</v>
      </c>
      <c r="C35" s="193">
        <v>50</v>
      </c>
      <c r="D35" s="182">
        <f t="shared" si="2"/>
        <v>2100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>
      <c r="A36" s="180">
        <f>'Données projet'!A49</f>
        <v>95</v>
      </c>
      <c r="B36" s="181">
        <f>'Données projet'!D49</f>
        <v>42</v>
      </c>
      <c r="C36" s="193">
        <v>70</v>
      </c>
      <c r="D36" s="182">
        <f t="shared" si="2"/>
        <v>2940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>
      <c r="A37" s="180">
        <f>'Données projet'!A50</f>
        <v>105</v>
      </c>
      <c r="B37" s="181">
        <f>'Données projet'!D50</f>
        <v>41</v>
      </c>
      <c r="C37" s="193">
        <v>100</v>
      </c>
      <c r="D37" s="182">
        <f t="shared" si="2"/>
        <v>4100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>
      <c r="A38" s="180">
        <f>'Données projet'!A51</f>
        <v>115</v>
      </c>
      <c r="B38" s="181">
        <f>'Données projet'!D51</f>
        <v>37</v>
      </c>
      <c r="C38" s="193">
        <v>120</v>
      </c>
      <c r="D38" s="182">
        <f t="shared" si="2"/>
        <v>4440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>
      <c r="A39" s="180">
        <f>'Données projet'!A52</f>
        <v>125</v>
      </c>
      <c r="B39" s="181">
        <f>'Données projet'!D52</f>
        <v>33</v>
      </c>
      <c r="C39" s="193">
        <v>120</v>
      </c>
      <c r="D39" s="182">
        <f t="shared" si="2"/>
        <v>3960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>
      <c r="A40" s="180">
        <f>'Données projet'!A53</f>
        <v>135</v>
      </c>
      <c r="B40" s="181">
        <f>'Données projet'!D53</f>
        <v>29</v>
      </c>
      <c r="C40" s="193">
        <v>150</v>
      </c>
      <c r="D40" s="182">
        <f t="shared" si="2"/>
        <v>4350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>
      <c r="A41" s="180">
        <f>'Données projet'!A54</f>
        <v>145</v>
      </c>
      <c r="B41" s="181">
        <f>'Données projet'!D54</f>
        <v>26</v>
      </c>
      <c r="C41" s="193">
        <v>150</v>
      </c>
      <c r="D41" s="182">
        <f t="shared" si="2"/>
        <v>3900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>
      <c r="A42" s="180">
        <f>'Données projet'!A55</f>
        <v>150</v>
      </c>
      <c r="B42" s="181">
        <f>'Données projet'!D55</f>
        <v>292</v>
      </c>
      <c r="C42" s="193">
        <v>200</v>
      </c>
      <c r="D42" s="182">
        <f t="shared" si="2"/>
        <v>58400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>
      <c r="A45" s="46" t="s">
        <v>18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>
      <c r="A47" s="36" t="s">
        <v>48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>
      <c r="A48" s="49">
        <v>0</v>
      </c>
      <c r="B48" s="199" t="s">
        <v>193</v>
      </c>
      <c r="C48" s="198" t="s">
        <v>193</v>
      </c>
      <c r="D48" s="197" t="s">
        <v>193</v>
      </c>
      <c r="E48" s="193">
        <f>(1.3+1)*385.34*1.1</f>
        <v>974.91020000000003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>
      <c r="A54" s="180">
        <f>'Données projet'!A62</f>
        <v>20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>
      <c r="A55" s="180">
        <f>'Données projet'!A63</f>
        <v>25</v>
      </c>
      <c r="B55" s="181">
        <f>'Données projet'!D63</f>
        <v>8</v>
      </c>
      <c r="C55" s="191">
        <v>10</v>
      </c>
      <c r="D55" s="179">
        <f t="shared" ref="D55:D73" si="4">B55*C55</f>
        <v>80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>
      <c r="A56" s="180">
        <f>'Données projet'!A64</f>
        <v>30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>
      <c r="A57" s="180">
        <f>'Données projet'!A65</f>
        <v>35</v>
      </c>
      <c r="B57" s="181">
        <f>'Données projet'!D65</f>
        <v>42</v>
      </c>
      <c r="C57" s="191">
        <v>10</v>
      </c>
      <c r="D57" s="179">
        <f t="shared" si="4"/>
        <v>420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>
      <c r="A58" s="180">
        <f>'Données projet'!A66</f>
        <v>40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>
      <c r="A59" s="180">
        <f>'Données projet'!A67</f>
        <v>45</v>
      </c>
      <c r="B59" s="181">
        <f>'Données projet'!D67</f>
        <v>42</v>
      </c>
      <c r="C59" s="191">
        <v>10</v>
      </c>
      <c r="D59" s="179">
        <f t="shared" si="4"/>
        <v>420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>
      <c r="A60" s="180">
        <f>'Données projet'!A68</f>
        <v>50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>
      <c r="A61" s="180">
        <f>'Données projet'!A69</f>
        <v>55</v>
      </c>
      <c r="B61" s="181">
        <f>'Données projet'!D69</f>
        <v>42</v>
      </c>
      <c r="C61" s="191">
        <v>20</v>
      </c>
      <c r="D61" s="179">
        <f t="shared" si="4"/>
        <v>840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>
      <c r="A62" s="180">
        <f>'Données projet'!A70</f>
        <v>60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>
      <c r="A63" s="180">
        <f>'Données projet'!A71</f>
        <v>65</v>
      </c>
      <c r="B63" s="181">
        <f>'Données projet'!D71</f>
        <v>42</v>
      </c>
      <c r="C63" s="191">
        <v>30</v>
      </c>
      <c r="D63" s="179">
        <f t="shared" si="4"/>
        <v>1260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>
      <c r="A64" s="180">
        <f>'Données projet'!A72</f>
        <v>70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>
      <c r="A65" s="180">
        <f>'Données projet'!A73</f>
        <v>75</v>
      </c>
      <c r="B65" s="181">
        <f>'Données projet'!D73</f>
        <v>42</v>
      </c>
      <c r="C65" s="191">
        <v>40</v>
      </c>
      <c r="D65" s="179">
        <f t="shared" si="4"/>
        <v>1680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>
      <c r="A66" s="180">
        <f>'Données projet'!A74</f>
        <v>85</v>
      </c>
      <c r="B66" s="181">
        <f>'Données projet'!D74</f>
        <v>42</v>
      </c>
      <c r="C66" s="191">
        <v>50</v>
      </c>
      <c r="D66" s="179">
        <f t="shared" si="4"/>
        <v>2100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>
      <c r="A67" s="180">
        <f>'Données projet'!A75</f>
        <v>95</v>
      </c>
      <c r="B67" s="181">
        <f>'Données projet'!D75</f>
        <v>42</v>
      </c>
      <c r="C67" s="191">
        <v>70</v>
      </c>
      <c r="D67" s="179">
        <f t="shared" si="4"/>
        <v>2940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>
      <c r="A68" s="180">
        <f>'Données projet'!A76</f>
        <v>105</v>
      </c>
      <c r="B68" s="181">
        <f>'Données projet'!D76</f>
        <v>41</v>
      </c>
      <c r="C68" s="191">
        <v>100</v>
      </c>
      <c r="D68" s="179">
        <f t="shared" si="4"/>
        <v>4100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>
      <c r="A69" s="180">
        <f>'Données projet'!A77</f>
        <v>115</v>
      </c>
      <c r="B69" s="181">
        <f>'Données projet'!D77</f>
        <v>37</v>
      </c>
      <c r="C69" s="191">
        <v>120</v>
      </c>
      <c r="D69" s="179">
        <f t="shared" si="4"/>
        <v>4440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>
      <c r="A70" s="180">
        <f>'Données projet'!A78</f>
        <v>125</v>
      </c>
      <c r="B70" s="181">
        <f>'Données projet'!D78</f>
        <v>33</v>
      </c>
      <c r="C70" s="191">
        <v>120</v>
      </c>
      <c r="D70" s="179">
        <f t="shared" si="4"/>
        <v>3960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>
      <c r="A71" s="180">
        <f>'Données projet'!A79</f>
        <v>135</v>
      </c>
      <c r="B71" s="181">
        <f>'Données projet'!D79</f>
        <v>29</v>
      </c>
      <c r="C71" s="191">
        <v>150</v>
      </c>
      <c r="D71" s="179">
        <f t="shared" si="4"/>
        <v>4350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>
      <c r="A72" s="180">
        <f>'Données projet'!A80</f>
        <v>145</v>
      </c>
      <c r="B72" s="181">
        <f>'Données projet'!D80</f>
        <v>26</v>
      </c>
      <c r="C72" s="191">
        <v>150</v>
      </c>
      <c r="D72" s="179">
        <f t="shared" si="4"/>
        <v>3900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>
      <c r="A73" s="180">
        <f>'Données projet'!A81</f>
        <v>150</v>
      </c>
      <c r="B73" s="181">
        <f>'Données projet'!D81</f>
        <v>292</v>
      </c>
      <c r="C73" s="191">
        <v>200</v>
      </c>
      <c r="D73" s="179">
        <f t="shared" si="4"/>
        <v>58400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>
      <c r="A76" s="46" t="s">
        <v>20</v>
      </c>
      <c r="B76" s="174" t="str">
        <f>IF('Données projet'!B11="","",'Données projet'!B11)</f>
        <v>Chêne chevelu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>
      <c r="A78" s="36" t="s">
        <v>48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>
      <c r="A79" s="49">
        <v>0</v>
      </c>
      <c r="B79" s="199" t="s">
        <v>193</v>
      </c>
      <c r="C79" s="198" t="s">
        <v>193</v>
      </c>
      <c r="D79" s="197" t="s">
        <v>193</v>
      </c>
      <c r="E79" s="193">
        <f>(1.8+1)*385.34*1.1</f>
        <v>1186.8471999999999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>
      <c r="A85" s="180">
        <f>'Données projet'!A88</f>
        <v>20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>
      <c r="A86" s="180">
        <f>'Données projet'!A89</f>
        <v>25</v>
      </c>
      <c r="B86" s="181">
        <f>'Données projet'!D89</f>
        <v>8</v>
      </c>
      <c r="C86" s="191">
        <v>10</v>
      </c>
      <c r="D86" s="179">
        <f t="shared" ref="D86:D104" si="6">B86*C86</f>
        <v>80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>
      <c r="A87" s="180">
        <f>'Données projet'!A90</f>
        <v>30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>
      <c r="A88" s="180">
        <f>'Données projet'!A91</f>
        <v>35</v>
      </c>
      <c r="B88" s="181">
        <f>'Données projet'!D91</f>
        <v>42</v>
      </c>
      <c r="C88" s="191">
        <v>10</v>
      </c>
      <c r="D88" s="179">
        <f t="shared" si="6"/>
        <v>420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>
      <c r="A89" s="180">
        <f>'Données projet'!A92</f>
        <v>40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>
      <c r="A90" s="180">
        <f>'Données projet'!A93</f>
        <v>45</v>
      </c>
      <c r="B90" s="181">
        <f>'Données projet'!D93</f>
        <v>42</v>
      </c>
      <c r="C90" s="191">
        <v>10</v>
      </c>
      <c r="D90" s="179">
        <f t="shared" si="6"/>
        <v>420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>
      <c r="A91" s="180">
        <f>'Données projet'!A94</f>
        <v>50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>
      <c r="A92" s="180">
        <f>'Données projet'!A95</f>
        <v>55</v>
      </c>
      <c r="B92" s="181">
        <f>'Données projet'!D95</f>
        <v>42</v>
      </c>
      <c r="C92" s="191">
        <v>20</v>
      </c>
      <c r="D92" s="179">
        <f t="shared" si="6"/>
        <v>840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>
      <c r="A93" s="180">
        <f>'Données projet'!A96</f>
        <v>60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>
      <c r="A94" s="180">
        <f>'Données projet'!A97</f>
        <v>65</v>
      </c>
      <c r="B94" s="181">
        <f>'Données projet'!D97</f>
        <v>42</v>
      </c>
      <c r="C94" s="191">
        <v>30</v>
      </c>
      <c r="D94" s="179">
        <f t="shared" si="6"/>
        <v>1260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>
      <c r="A95" s="180">
        <f>'Données projet'!A98</f>
        <v>70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>
      <c r="A96" s="180">
        <f>'Données projet'!A99</f>
        <v>75</v>
      </c>
      <c r="B96" s="181">
        <f>'Données projet'!D99</f>
        <v>42</v>
      </c>
      <c r="C96" s="191">
        <v>40</v>
      </c>
      <c r="D96" s="179">
        <f t="shared" si="6"/>
        <v>1680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>
      <c r="A97" s="180">
        <f>'Données projet'!A100</f>
        <v>85</v>
      </c>
      <c r="B97" s="181">
        <f>'Données projet'!D100</f>
        <v>42</v>
      </c>
      <c r="C97" s="191">
        <v>50</v>
      </c>
      <c r="D97" s="179">
        <f t="shared" si="6"/>
        <v>2100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>
      <c r="A98" s="180">
        <f>'Données projet'!A101</f>
        <v>95</v>
      </c>
      <c r="B98" s="181">
        <f>'Données projet'!D101</f>
        <v>42</v>
      </c>
      <c r="C98" s="191">
        <v>70</v>
      </c>
      <c r="D98" s="179">
        <f t="shared" si="6"/>
        <v>2940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>
      <c r="A99" s="180">
        <f>'Données projet'!A102</f>
        <v>105</v>
      </c>
      <c r="B99" s="181">
        <f>'Données projet'!D102</f>
        <v>41</v>
      </c>
      <c r="C99" s="191">
        <v>100</v>
      </c>
      <c r="D99" s="179">
        <f t="shared" si="6"/>
        <v>4100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>
      <c r="A100" s="180">
        <f>'Données projet'!A103</f>
        <v>115</v>
      </c>
      <c r="B100" s="181">
        <f>'Données projet'!D103</f>
        <v>37</v>
      </c>
      <c r="C100" s="191">
        <v>120</v>
      </c>
      <c r="D100" s="179">
        <f t="shared" si="6"/>
        <v>4440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>
      <c r="A101" s="180">
        <f>'Données projet'!A104</f>
        <v>125</v>
      </c>
      <c r="B101" s="181">
        <f>'Données projet'!D104</f>
        <v>33</v>
      </c>
      <c r="C101" s="191">
        <v>120</v>
      </c>
      <c r="D101" s="179">
        <f t="shared" si="6"/>
        <v>3960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>
      <c r="A102" s="180">
        <f>'Données projet'!A105</f>
        <v>135</v>
      </c>
      <c r="B102" s="181">
        <f>'Données projet'!D105</f>
        <v>29</v>
      </c>
      <c r="C102" s="191">
        <v>150</v>
      </c>
      <c r="D102" s="179">
        <f t="shared" si="6"/>
        <v>4350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>
      <c r="A103" s="180">
        <f>'Données projet'!A106</f>
        <v>145</v>
      </c>
      <c r="B103" s="181">
        <f>'Données projet'!D106</f>
        <v>26</v>
      </c>
      <c r="C103" s="191">
        <v>150</v>
      </c>
      <c r="D103" s="179">
        <f t="shared" si="6"/>
        <v>3900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>
      <c r="A104" s="180">
        <f>'Données projet'!A107</f>
        <v>150</v>
      </c>
      <c r="B104" s="181">
        <f>'Données projet'!D107</f>
        <v>292</v>
      </c>
      <c r="C104" s="191">
        <v>200</v>
      </c>
      <c r="D104" s="179">
        <f t="shared" si="6"/>
        <v>58400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>
      <c r="A107" s="46" t="s">
        <v>22</v>
      </c>
      <c r="B107" s="174" t="str">
        <f>IF('Données projet'!B12="","",'Données projet'!B12)</f>
        <v>Cormier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>
      <c r="A109" s="36" t="s">
        <v>48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>
      <c r="A110" s="49">
        <v>0</v>
      </c>
      <c r="B110" s="199" t="s">
        <v>193</v>
      </c>
      <c r="C110" s="198" t="s">
        <v>193</v>
      </c>
      <c r="D110" s="197" t="s">
        <v>193</v>
      </c>
      <c r="E110" s="193">
        <f>(3+1)*385.34*1.1</f>
        <v>1695.4960000000001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>
      <c r="A116" s="180">
        <f>'Données projet'!A114</f>
        <v>20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0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>
      <c r="A117" s="180">
        <f>'Données projet'!A115</f>
        <v>25</v>
      </c>
      <c r="B117" s="181">
        <f>'Données projet'!D115</f>
        <v>8</v>
      </c>
      <c r="C117" s="191">
        <v>10</v>
      </c>
      <c r="D117" s="179">
        <f t="shared" ref="D117:D135" si="8">B117*C117</f>
        <v>80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0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>
      <c r="A118" s="180">
        <f>'Données projet'!A116</f>
        <v>30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0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>
      <c r="A119" s="180">
        <f>'Données projet'!A117</f>
        <v>35</v>
      </c>
      <c r="B119" s="181">
        <f>'Données projet'!D117</f>
        <v>42</v>
      </c>
      <c r="C119" s="191">
        <v>10</v>
      </c>
      <c r="D119" s="179">
        <f t="shared" si="8"/>
        <v>420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0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>
      <c r="A120" s="180">
        <f>'Données projet'!A118</f>
        <v>40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0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>
      <c r="A121" s="180">
        <f>'Données projet'!A119</f>
        <v>45</v>
      </c>
      <c r="B121" s="181">
        <f>'Données projet'!D119</f>
        <v>42</v>
      </c>
      <c r="C121" s="191">
        <v>10</v>
      </c>
      <c r="D121" s="179">
        <f t="shared" si="8"/>
        <v>420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0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>
      <c r="A122" s="180">
        <f>'Données projet'!A120</f>
        <v>50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0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>
      <c r="A123" s="180">
        <f>'Données projet'!A121</f>
        <v>55</v>
      </c>
      <c r="B123" s="181">
        <f>'Données projet'!D121</f>
        <v>42</v>
      </c>
      <c r="C123" s="191">
        <v>20</v>
      </c>
      <c r="D123" s="179">
        <f t="shared" si="8"/>
        <v>840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0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>
      <c r="A124" s="180">
        <f>'Données projet'!A122</f>
        <v>60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0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>
      <c r="A125" s="180">
        <f>'Données projet'!A123</f>
        <v>65</v>
      </c>
      <c r="B125" s="181">
        <f>'Données projet'!D123</f>
        <v>42</v>
      </c>
      <c r="C125" s="191">
        <v>30</v>
      </c>
      <c r="D125" s="179">
        <f t="shared" si="8"/>
        <v>1260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0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>
      <c r="A126" s="180">
        <f>'Données projet'!A124</f>
        <v>70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0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>
      <c r="A127" s="180">
        <f>'Données projet'!A125</f>
        <v>75</v>
      </c>
      <c r="B127" s="181">
        <f>'Données projet'!D125</f>
        <v>42</v>
      </c>
      <c r="C127" s="191">
        <v>40</v>
      </c>
      <c r="D127" s="179">
        <f t="shared" si="8"/>
        <v>1680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0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>
      <c r="A128" s="180">
        <f>'Données projet'!A126</f>
        <v>85</v>
      </c>
      <c r="B128" s="181">
        <f>'Données projet'!D126</f>
        <v>42</v>
      </c>
      <c r="C128" s="191">
        <v>50</v>
      </c>
      <c r="D128" s="179">
        <f t="shared" si="8"/>
        <v>2100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0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>
      <c r="A129" s="180">
        <f>'Données projet'!A127</f>
        <v>95</v>
      </c>
      <c r="B129" s="181">
        <f>'Données projet'!D127</f>
        <v>42</v>
      </c>
      <c r="C129" s="191">
        <v>70</v>
      </c>
      <c r="D129" s="179">
        <f t="shared" si="8"/>
        <v>2940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 t="shared" ref="P129:P132" si="9">$P$25/(1+$M$4)^O129</f>
        <v>0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>
      <c r="A130" s="180">
        <f>'Données projet'!A128</f>
        <v>105</v>
      </c>
      <c r="B130" s="181">
        <f>'Données projet'!D128</f>
        <v>41</v>
      </c>
      <c r="C130" s="191">
        <v>100</v>
      </c>
      <c r="D130" s="179">
        <f t="shared" si="8"/>
        <v>4100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 t="shared" si="9"/>
        <v>0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>
      <c r="A131" s="180">
        <f>'Données projet'!A129</f>
        <v>115</v>
      </c>
      <c r="B131" s="181">
        <f>'Données projet'!D129</f>
        <v>37</v>
      </c>
      <c r="C131" s="191">
        <v>120</v>
      </c>
      <c r="D131" s="179">
        <f t="shared" si="8"/>
        <v>4440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 t="shared" si="9"/>
        <v>0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>
      <c r="A132" s="180">
        <f>'Données projet'!A130</f>
        <v>125</v>
      </c>
      <c r="B132" s="181">
        <f>'Données projet'!D130</f>
        <v>33</v>
      </c>
      <c r="C132" s="191">
        <v>120</v>
      </c>
      <c r="D132" s="179">
        <f t="shared" si="8"/>
        <v>3960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 t="shared" si="9"/>
        <v>0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>
      <c r="A133" s="180">
        <f>'Données projet'!A131</f>
        <v>135</v>
      </c>
      <c r="B133" s="181">
        <f>'Données projet'!D131</f>
        <v>29</v>
      </c>
      <c r="C133" s="191">
        <v>150</v>
      </c>
      <c r="D133" s="179">
        <f t="shared" si="8"/>
        <v>4350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>
      <c r="A134" s="180">
        <f>'Données projet'!A132</f>
        <v>145</v>
      </c>
      <c r="B134" s="181">
        <f>'Données projet'!D132</f>
        <v>26</v>
      </c>
      <c r="C134" s="191">
        <v>150</v>
      </c>
      <c r="D134" s="179">
        <f t="shared" si="8"/>
        <v>3900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>
      <c r="A135" s="180">
        <f>'Données projet'!A133</f>
        <v>150</v>
      </c>
      <c r="B135" s="181">
        <f>'Données projet'!D133</f>
        <v>292</v>
      </c>
      <c r="C135" s="191">
        <v>200</v>
      </c>
      <c r="D135" s="179">
        <f t="shared" si="8"/>
        <v>58400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>
      <c r="A138" s="46" t="s">
        <v>24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>
      <c r="A140" s="36" t="s">
        <v>48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>
      <c r="A169" s="46" t="s">
        <v>25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>
      <c r="A171" s="36" t="s">
        <v>48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>
      <c r="A200" s="46" t="s">
        <v>26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>
      <c r="A202" s="36" t="s">
        <v>48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>
      <c r="A231" s="46" t="s">
        <v>27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>
      <c r="A233" s="36" t="s">
        <v>48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>
      <c r="A262" s="46" t="s">
        <v>28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>
      <c r="A264" s="36" t="s">
        <v>48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>
      <c r="A293" s="46" t="s">
        <v>29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>
      <c r="A295" s="36" t="s">
        <v>48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B4159CBEF765479D5648E0661BABF4" ma:contentTypeVersion="18" ma:contentTypeDescription="Crée un document." ma:contentTypeScope="" ma:versionID="ebcef12f8b639a5f8ea410286cfc6539">
  <xsd:schema xmlns:xsd="http://www.w3.org/2001/XMLSchema" xmlns:xs="http://www.w3.org/2001/XMLSchema" xmlns:p="http://schemas.microsoft.com/office/2006/metadata/properties" xmlns:ns2="b5732ada-805d-4ab0-b73d-5e77a1a40638" xmlns:ns3="9c8870e7-89e8-4ebc-907b-475f2ac5e6be" targetNamespace="http://schemas.microsoft.com/office/2006/metadata/properties" ma:root="true" ma:fieldsID="da153a415d8d9017d4e12121f37c86f3" ns2:_="" ns3:_="">
    <xsd:import namespace="b5732ada-805d-4ab0-b73d-5e77a1a40638"/>
    <xsd:import namespace="9c8870e7-89e8-4ebc-907b-475f2ac5e6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32ada-805d-4ab0-b73d-5e77a1a406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5db6e2ee-0065-4d10-aad0-71d9c5eecb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8870e7-89e8-4ebc-907b-475f2ac5e6b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fc446e2-517a-4cb0-a416-217762c8416f}" ma:internalName="TaxCatchAll" ma:showField="CatchAllData" ma:web="9c8870e7-89e8-4ebc-907b-475f2ac5e6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0DDAF3-5C85-4BE6-A666-D06BEFDE31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E9A3DE-5EAA-4B16-B8A6-D1F4126A7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32ada-805d-4ab0-b73d-5e77a1a40638"/>
    <ds:schemaRef ds:uri="9c8870e7-89e8-4ebc-907b-475f2ac5e6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Alexandra Bestel</cp:lastModifiedBy>
  <cp:revision/>
  <dcterms:created xsi:type="dcterms:W3CDTF">2021-02-01T08:22:39Z</dcterms:created>
  <dcterms:modified xsi:type="dcterms:W3CDTF">2024-05-10T09:28:48Z</dcterms:modified>
  <cp:category/>
  <cp:contentStatus/>
</cp:coreProperties>
</file>