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GF DE TREDUDON - 15699440 LE/"/>
    </mc:Choice>
  </mc:AlternateContent>
  <xr:revisionPtr revIDLastSave="271" documentId="13_ncr:1_{91C62E09-7A97-40C6-8A6D-8C8B5668C142}" xr6:coauthVersionLast="47" xr6:coauthVersionMax="47" xr10:uidLastSave="{A1DB215C-07EF-452D-AC07-7274B43FBDED}"/>
  <bookViews>
    <workbookView xWindow="382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HH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DV33" i="2"/>
  <c r="DM33" i="2"/>
  <c r="DA33" i="2"/>
  <c r="GH33" i="2"/>
  <c r="J14" i="4" s="1"/>
  <c r="K14" i="4" s="1"/>
  <c r="FL33" i="2"/>
  <c r="FC33" i="2"/>
  <c r="EU33" i="2"/>
  <c r="EG33" i="2"/>
  <c r="DW33" i="2"/>
  <c r="DB33" i="2"/>
  <c r="DL33" i="2"/>
  <c r="CQ33" i="2"/>
  <c r="DZ33" i="2"/>
  <c r="CG33" i="2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AG33" i="2"/>
  <c r="Y33" i="2"/>
  <c r="U33" i="2"/>
  <c r="A34" i="2"/>
  <c r="V33" i="2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CN33" i="2"/>
  <c r="FT33" i="2"/>
  <c r="ED33" i="2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EB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HH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B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HH155" i="2"/>
  <c r="HG155" i="2"/>
  <c r="HJ154" i="2"/>
  <c r="EX155" i="2"/>
  <c r="ED154" i="2"/>
  <c r="EW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HI156" i="2"/>
  <c r="EY155" i="2"/>
  <c r="HH156" i="2"/>
  <c r="FS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G157" i="2"/>
  <c r="HH157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Y159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X161" i="2"/>
  <c r="HG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W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Y162" i="2"/>
  <c r="EB163" i="2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HH164" i="2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J166" i="2"/>
  <c r="HH167" i="2"/>
  <c r="EY166" i="2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HI168" i="2"/>
  <c r="EC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Y168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FQ178" i="2"/>
  <c r="EA178" i="2"/>
  <c r="EB178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W186" i="2"/>
  <c r="EB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HG190" i="2"/>
  <c r="HJ189" i="2"/>
  <c r="HH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EB194" i="2"/>
  <c r="EA194" i="2"/>
  <c r="ED194" i="2" s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FQ195" i="2"/>
  <c r="HI195" i="2"/>
  <c r="EX195" i="2"/>
  <c r="HG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HH197" i="2"/>
  <c r="AA197" i="2"/>
  <c r="FS197" i="2"/>
  <c r="EY196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A199" i="2"/>
  <c r="EY198" i="2"/>
  <c r="FS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Y200" i="2" l="1"/>
  <c r="HJ200" i="2"/>
  <c r="ED200" i="2"/>
  <c r="EA201" i="2"/>
  <c r="EB201" i="2"/>
  <c r="HH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S202" i="2"/>
  <c r="FZ6" i="2"/>
  <c r="HI202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113" i="2" a="1"/>
  <c r="DN113" i="2" s="1"/>
  <c r="CS38" i="2" a="1"/>
  <c r="CS38" i="2" s="1"/>
  <c r="BC32" i="2" a="1"/>
  <c r="BC32" i="2" s="1"/>
  <c r="BC151" i="2" a="1"/>
  <c r="BC151" i="2" s="1"/>
  <c r="BC83" i="2" a="1"/>
  <c r="BC83" i="2" s="1"/>
  <c r="BC38" i="2" a="1"/>
  <c r="BC38" i="2" s="1"/>
  <c r="BC18" i="2" a="1"/>
  <c r="BC18" i="2" s="1"/>
  <c r="DN167" i="2" a="1"/>
  <c r="DN167" i="2" s="1"/>
  <c r="DN6" i="2" a="1"/>
  <c r="DN6" i="2" s="1"/>
  <c r="DO6" i="2" s="1"/>
  <c r="CS24" i="2" a="1"/>
  <c r="CS24" i="2" s="1"/>
  <c r="CS134" i="2" a="1"/>
  <c r="CS134" i="2" s="1"/>
  <c r="AX200" i="2"/>
  <c r="GT191" i="2" l="1" a="1"/>
  <c r="GT191" i="2" s="1"/>
  <c r="HJ202" i="2"/>
  <c r="FY30" i="2" a="1"/>
  <c r="FY30" i="2" s="1"/>
  <c r="FY196" i="2" a="1"/>
  <c r="FY196" i="2" s="1"/>
  <c r="FD188" i="2" a="1"/>
  <c r="FD188" i="2" s="1"/>
  <c r="CS161" i="2" a="1"/>
  <c r="CS161" i="2" s="1"/>
  <c r="CS77" i="2" a="1"/>
  <c r="CS77" i="2" s="1"/>
  <c r="CS129" i="2" a="1"/>
  <c r="CS129" i="2" s="1"/>
  <c r="CS52" i="2" a="1"/>
  <c r="CS52" i="2" s="1"/>
  <c r="CS105" i="2" a="1"/>
  <c r="CS105" i="2" s="1"/>
  <c r="CS114" i="2" a="1"/>
  <c r="CS114" i="2" s="1"/>
  <c r="CS56" i="2" a="1"/>
  <c r="CS56" i="2" s="1"/>
  <c r="CS185" i="2" a="1"/>
  <c r="CS185" i="2" s="1"/>
  <c r="CS120" i="2" a="1"/>
  <c r="CS120" i="2" s="1"/>
  <c r="CS66" i="2" a="1"/>
  <c r="CS66" i="2" s="1"/>
  <c r="BC7" i="2" a="1"/>
  <c r="BC7" i="2" s="1"/>
  <c r="BC181" i="2" a="1"/>
  <c r="BC181" i="2" s="1"/>
  <c r="BC65" i="2" a="1"/>
  <c r="BC65" i="2" s="1"/>
  <c r="BC185" i="2" a="1"/>
  <c r="BC185" i="2" s="1"/>
  <c r="BC143" i="2" a="1"/>
  <c r="BC143" i="2" s="1"/>
  <c r="BC82" i="2" a="1"/>
  <c r="BC82" i="2" s="1"/>
  <c r="BC84" i="2" a="1"/>
  <c r="BC84" i="2" s="1"/>
  <c r="BC47" i="2" a="1"/>
  <c r="BC47" i="2" s="1"/>
  <c r="EI166" i="2" a="1"/>
  <c r="EI166" i="2" s="1"/>
  <c r="GT102" i="2" a="1"/>
  <c r="GT102" i="2" s="1"/>
  <c r="EI16" i="2" a="1"/>
  <c r="EI16" i="2" s="1"/>
  <c r="AH166" i="2" a="1"/>
  <c r="AH166" i="2" s="1"/>
  <c r="BC114" i="2" a="1"/>
  <c r="BC114" i="2" s="1"/>
  <c r="EI113" i="2" a="1"/>
  <c r="EI113" i="2" s="1"/>
  <c r="BC31" i="2" a="1"/>
  <c r="BC31" i="2" s="1"/>
  <c r="AH19" i="2" a="1"/>
  <c r="AH19" i="2" s="1"/>
  <c r="BC126" i="2" a="1"/>
  <c r="BC126" i="2" s="1"/>
  <c r="EI170" i="2" a="1"/>
  <c r="EI170" i="2" s="1"/>
  <c r="AH151" i="2" a="1"/>
  <c r="AH151" i="2" s="1"/>
  <c r="EI165" i="2" a="1"/>
  <c r="EI165" i="2" s="1"/>
  <c r="BC192" i="2" a="1"/>
  <c r="BC192" i="2" s="1"/>
  <c r="CS137" i="2" a="1"/>
  <c r="CS137" i="2" s="1"/>
  <c r="BC58" i="2" a="1"/>
  <c r="BC58" i="2" s="1"/>
  <c r="AH163" i="2" a="1"/>
  <c r="AH163" i="2" s="1"/>
  <c r="AH62" i="2" a="1"/>
  <c r="AH62" i="2" s="1"/>
  <c r="AH90" i="2" a="1"/>
  <c r="AH90" i="2" s="1"/>
  <c r="EI20" i="2" a="1"/>
  <c r="EI20" i="2" s="1"/>
  <c r="EI34" i="2" a="1"/>
  <c r="EI34" i="2" s="1"/>
  <c r="BC164" i="2" a="1"/>
  <c r="BC164" i="2" s="1"/>
  <c r="BX107" i="2" a="1"/>
  <c r="BX107" i="2" s="1"/>
  <c r="EI71" i="2" a="1"/>
  <c r="EI71" i="2" s="1"/>
  <c r="BC55" i="2" a="1"/>
  <c r="BC55" i="2" s="1"/>
  <c r="EI195" i="2" a="1"/>
  <c r="EI195" i="2" s="1"/>
  <c r="BC34" i="2" a="1"/>
  <c r="BC34" i="2" s="1"/>
  <c r="EI128" i="2" a="1"/>
  <c r="EI128" i="2" s="1"/>
  <c r="BC68" i="2" a="1"/>
  <c r="BC68" i="2" s="1"/>
  <c r="CS72" i="2" a="1"/>
  <c r="CS72" i="2" s="1"/>
  <c r="GT174" i="2" a="1"/>
  <c r="GT174" i="2" s="1"/>
  <c r="BC130" i="2" a="1"/>
  <c r="BC130" i="2" s="1"/>
  <c r="CS116" i="2" a="1"/>
  <c r="CS116" i="2" s="1"/>
  <c r="FY50" i="2" a="1"/>
  <c r="FY50" i="2" s="1"/>
  <c r="DN45" i="2" a="1"/>
  <c r="DN45" i="2" s="1"/>
  <c r="DN16" i="2" a="1"/>
  <c r="DN16" i="2" s="1"/>
  <c r="GT190" i="2" a="1"/>
  <c r="GT190" i="2" s="1"/>
  <c r="FY142" i="2" a="1"/>
  <c r="FY142" i="2" s="1"/>
  <c r="DN25" i="2" a="1"/>
  <c r="DN25" i="2" s="1"/>
  <c r="GT11" i="2" a="1"/>
  <c r="GT11" i="2" s="1"/>
  <c r="DN49" i="2" a="1"/>
  <c r="DN49" i="2" s="1"/>
  <c r="GT147" i="2" a="1"/>
  <c r="GT147" i="2" s="1"/>
  <c r="DN132" i="2" a="1"/>
  <c r="DN132" i="2" s="1"/>
  <c r="GT126" i="2" a="1"/>
  <c r="GT126" i="2" s="1"/>
  <c r="DN30" i="2" a="1"/>
  <c r="DN30" i="2" s="1"/>
  <c r="EI57" i="2" a="1"/>
  <c r="EI57" i="2" s="1"/>
  <c r="DN137" i="2" a="1"/>
  <c r="DN137" i="2" s="1"/>
  <c r="GT122" i="2" a="1"/>
  <c r="GT122" i="2" s="1"/>
  <c r="FS203" i="2"/>
  <c r="DN190" i="2" a="1"/>
  <c r="DN190" i="2" s="1"/>
  <c r="DN80" i="2" a="1"/>
  <c r="DN80" i="2" s="1"/>
  <c r="EI36" i="2" a="1"/>
  <c r="EI36" i="2" s="1"/>
  <c r="GT21" i="2" a="1"/>
  <c r="GT21" i="2" s="1"/>
  <c r="AH199" i="2" a="1"/>
  <c r="AH199" i="2" s="1"/>
  <c r="DN86" i="2" a="1"/>
  <c r="DN86" i="2" s="1"/>
  <c r="GT51" i="2" a="1"/>
  <c r="GT51" i="2" s="1"/>
  <c r="FY104" i="2" a="1"/>
  <c r="FY104" i="2" s="1"/>
  <c r="DN186" i="2" a="1"/>
  <c r="DN186" i="2" s="1"/>
  <c r="DN177" i="2" a="1"/>
  <c r="DN177" i="2" s="1"/>
  <c r="GT68" i="2" a="1"/>
  <c r="GT68" i="2" s="1"/>
  <c r="FY190" i="2" a="1"/>
  <c r="FY190" i="2" s="1"/>
  <c r="DN123" i="2" a="1"/>
  <c r="DN123" i="2" s="1"/>
  <c r="GT152" i="2" a="1"/>
  <c r="GT152" i="2" s="1"/>
  <c r="DN41" i="2" a="1"/>
  <c r="DN41" i="2" s="1"/>
  <c r="DN192" i="2" a="1"/>
  <c r="DN192" i="2" s="1"/>
  <c r="EI109" i="2" a="1"/>
  <c r="EI109" i="2" s="1"/>
  <c r="DN115" i="2" a="1"/>
  <c r="DN115" i="2" s="1"/>
  <c r="DN124" i="2" a="1"/>
  <c r="DN124" i="2" s="1"/>
  <c r="GT181" i="2" a="1"/>
  <c r="GT181" i="2" s="1"/>
  <c r="AH92" i="2" a="1"/>
  <c r="AH92" i="2" s="1"/>
  <c r="DN184" i="2" a="1"/>
  <c r="DN184" i="2" s="1"/>
  <c r="GT178" i="2" a="1"/>
  <c r="GT178" i="2" s="1"/>
  <c r="GT12" i="2" a="1"/>
  <c r="GT12" i="2" s="1"/>
  <c r="DN63" i="2" a="1"/>
  <c r="DN63" i="2" s="1"/>
  <c r="GT184" i="2" a="1"/>
  <c r="GT184" i="2" s="1"/>
  <c r="FY78" i="2" a="1"/>
  <c r="FY78" i="2" s="1"/>
  <c r="GT38" i="2" a="1"/>
  <c r="GT38" i="2" s="1"/>
  <c r="GT74" i="2" a="1"/>
  <c r="GT74" i="2" s="1"/>
  <c r="GT133" i="2" a="1"/>
  <c r="GT133" i="2" s="1"/>
  <c r="GT189" i="2" a="1"/>
  <c r="GT189" i="2" s="1"/>
  <c r="GT121" i="2" a="1"/>
  <c r="GT121" i="2" s="1"/>
  <c r="GT198" i="2" a="1"/>
  <c r="GT198" i="2" s="1"/>
  <c r="DN133" i="2" a="1"/>
  <c r="DN133" i="2" s="1"/>
  <c r="DN65" i="2" a="1"/>
  <c r="DN65" i="2" s="1"/>
  <c r="FD160" i="2" a="1"/>
  <c r="FD160" i="2" s="1"/>
  <c r="EI38" i="2" a="1"/>
  <c r="EI38" i="2" s="1"/>
  <c r="DN153" i="2" a="1"/>
  <c r="DN153" i="2" s="1"/>
  <c r="DN187" i="2" a="1"/>
  <c r="DN187" i="2" s="1"/>
  <c r="DN55" i="2" a="1"/>
  <c r="DN55" i="2" s="1"/>
  <c r="EI35" i="2" a="1"/>
  <c r="EI35" i="2" s="1"/>
  <c r="GT15" i="2" a="1"/>
  <c r="GT15" i="2" s="1"/>
  <c r="FD167" i="2" a="1"/>
  <c r="FD167" i="2" s="1"/>
  <c r="DN170" i="2" a="1"/>
  <c r="DN170" i="2" s="1"/>
  <c r="DN155" i="2" a="1"/>
  <c r="DN155" i="2" s="1"/>
  <c r="GT115" i="2" a="1"/>
  <c r="GT115" i="2" s="1"/>
  <c r="FY186" i="2" a="1"/>
  <c r="FY186" i="2" s="1"/>
  <c r="DN152" i="2" a="1"/>
  <c r="DN152" i="2" s="1"/>
  <c r="DN135" i="2" a="1"/>
  <c r="DN135" i="2" s="1"/>
  <c r="GT33" i="2" a="1"/>
  <c r="GT33" i="2" s="1"/>
  <c r="DN46" i="2" a="1"/>
  <c r="DN46" i="2" s="1"/>
  <c r="DN43" i="2" a="1"/>
  <c r="DN43" i="2" s="1"/>
  <c r="DN66" i="2" a="1"/>
  <c r="DN66" i="2" s="1"/>
  <c r="DN176" i="2" a="1"/>
  <c r="DN176" i="2" s="1"/>
  <c r="DN188" i="2" a="1"/>
  <c r="DN188" i="2" s="1"/>
  <c r="EI87" i="2" a="1"/>
  <c r="EI87" i="2" s="1"/>
  <c r="EI37" i="2" a="1"/>
  <c r="EI37" i="2" s="1"/>
  <c r="FD82" i="2" a="1"/>
  <c r="FD82" i="2" s="1"/>
  <c r="DN110" i="2" a="1"/>
  <c r="DN110" i="2" s="1"/>
  <c r="EI139" i="2" a="1"/>
  <c r="EI139" i="2" s="1"/>
  <c r="GT138" i="2" a="1"/>
  <c r="GT138" i="2" s="1"/>
  <c r="FD189" i="2" a="1"/>
  <c r="FD189" i="2" s="1"/>
  <c r="DN114" i="2" a="1"/>
  <c r="DN114" i="2" s="1"/>
  <c r="DN129" i="2" a="1"/>
  <c r="DN129" i="2" s="1"/>
  <c r="EI142" i="2" a="1"/>
  <c r="EI142" i="2" s="1"/>
  <c r="DN56" i="2" a="1"/>
  <c r="DN56" i="2" s="1"/>
  <c r="FY69" i="2" a="1"/>
  <c r="FY69" i="2" s="1"/>
  <c r="DN162" i="2" a="1"/>
  <c r="DN162" i="2" s="1"/>
  <c r="DN164" i="2" a="1"/>
  <c r="DN164" i="2" s="1"/>
  <c r="DN29" i="2" a="1"/>
  <c r="DN29" i="2" s="1"/>
  <c r="DN150" i="2" a="1"/>
  <c r="DN150" i="2" s="1"/>
  <c r="DN38" i="2" a="1"/>
  <c r="DN38" i="2" s="1"/>
  <c r="DN168" i="2" a="1"/>
  <c r="DN168" i="2" s="1"/>
  <c r="DN70" i="2" a="1"/>
  <c r="DN70" i="2" s="1"/>
  <c r="FD159" i="2" a="1"/>
  <c r="FD159" i="2" s="1"/>
  <c r="DN31" i="2" a="1"/>
  <c r="DN31" i="2" s="1"/>
  <c r="EI67" i="2" a="1"/>
  <c r="EI67" i="2" s="1"/>
  <c r="GT107" i="2" a="1"/>
  <c r="GT107" i="2" s="1"/>
  <c r="FD48" i="2" a="1"/>
  <c r="FD48" i="2" s="1"/>
  <c r="DN103" i="2" a="1"/>
  <c r="DN103" i="2" s="1"/>
  <c r="DN50" i="2" a="1"/>
  <c r="DN50" i="2" s="1"/>
  <c r="EI106" i="2" a="1"/>
  <c r="EI106" i="2" s="1"/>
  <c r="BC117" i="2" a="1"/>
  <c r="BC117" i="2" s="1"/>
  <c r="FY35" i="2" a="1"/>
  <c r="FY35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CN203" i="2"/>
  <c r="ED203" i="2"/>
  <c r="FT203" i="2"/>
  <c r="EY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O34" i="2"/>
  <c r="DP33" i="2"/>
  <c r="DQ33" i="2" s="1"/>
  <c r="DR33" i="2" s="1"/>
  <c r="DS33" i="2" s="1"/>
  <c r="DU3" i="2" s="1"/>
  <c r="CT34" i="2"/>
  <c r="CU33" i="2"/>
  <c r="CV33" i="2" s="1"/>
  <c r="CW33" i="2" s="1"/>
  <c r="CX33" i="2" s="1"/>
  <c r="CZ3" i="2" s="1"/>
  <c r="BY34" i="2"/>
  <c r="BZ33" i="2"/>
  <c r="CA33" i="2" s="1"/>
  <c r="CB33" i="2" s="1"/>
  <c r="CC33" i="2" s="1"/>
  <c r="CE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BF34" i="2"/>
  <c r="BG34" i="2" s="1"/>
  <c r="BH34" i="2" s="1"/>
  <c r="BE35" i="2"/>
  <c r="BS33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GZ173" i="2" l="1"/>
  <c r="GZ113" i="2"/>
  <c r="GZ108" i="2"/>
  <c r="GZ13" i="2"/>
  <c r="GZ103" i="2"/>
  <c r="GZ64" i="2"/>
  <c r="GZ147" i="2"/>
  <c r="GZ60" i="2"/>
  <c r="GZ48" i="2"/>
  <c r="GZ175" i="2"/>
  <c r="GZ133" i="2"/>
  <c r="GZ121" i="2"/>
  <c r="GZ203" i="2"/>
  <c r="GZ56" i="2"/>
  <c r="GZ166" i="2"/>
  <c r="GZ8" i="2"/>
  <c r="GZ51" i="2"/>
  <c r="GZ35" i="2"/>
  <c r="GZ152" i="2"/>
  <c r="GZ114" i="2"/>
  <c r="GZ90" i="2"/>
  <c r="GZ181" i="2"/>
  <c r="GZ160" i="2"/>
  <c r="GZ163" i="2"/>
  <c r="GZ53" i="2"/>
  <c r="GZ185" i="2"/>
  <c r="GZ18" i="2"/>
  <c r="GZ26" i="2"/>
  <c r="GZ127" i="2"/>
  <c r="GZ123" i="2"/>
  <c r="GZ168" i="2"/>
  <c r="GZ102" i="2"/>
  <c r="GZ54" i="2"/>
  <c r="GZ55" i="2"/>
  <c r="GZ157" i="2"/>
  <c r="GZ202" i="2"/>
  <c r="GZ190" i="2"/>
  <c r="GZ129" i="2"/>
  <c r="GZ71" i="2"/>
  <c r="GZ37" i="2"/>
  <c r="GZ142" i="2"/>
  <c r="GZ161" i="2"/>
  <c r="GZ112" i="2"/>
  <c r="GZ62" i="2"/>
  <c r="GZ158" i="2"/>
  <c r="GZ149" i="2"/>
  <c r="GZ31" i="2"/>
  <c r="GZ109" i="2"/>
  <c r="GZ196" i="2"/>
  <c r="GZ28" i="2"/>
  <c r="GZ88" i="2"/>
  <c r="GZ44" i="2"/>
  <c r="GZ117" i="2"/>
  <c r="GZ143" i="2"/>
  <c r="GZ115" i="2"/>
  <c r="GZ65" i="2"/>
  <c r="GZ146" i="2"/>
  <c r="GZ52" i="2"/>
  <c r="GZ188" i="2"/>
  <c r="GZ85" i="2"/>
  <c r="GZ119" i="2"/>
  <c r="GZ19" i="2"/>
  <c r="GZ182" i="2"/>
  <c r="GZ107" i="2"/>
  <c r="GZ75" i="2"/>
  <c r="GZ76" i="2"/>
  <c r="GZ134" i="2"/>
  <c r="GZ83" i="2"/>
  <c r="GZ106" i="2"/>
  <c r="GZ110" i="2"/>
  <c r="GZ94" i="2"/>
  <c r="GZ144" i="2"/>
  <c r="GZ197" i="2"/>
  <c r="GZ58" i="2"/>
  <c r="GZ20" i="2"/>
  <c r="GZ187" i="2"/>
  <c r="GZ66" i="2"/>
  <c r="GZ40" i="2"/>
  <c r="GZ183" i="2"/>
  <c r="GZ104" i="2"/>
  <c r="GZ34" i="2"/>
  <c r="GZ178" i="2"/>
  <c r="GZ195" i="2"/>
  <c r="GZ86" i="2"/>
  <c r="GZ57" i="2"/>
  <c r="GZ46" i="2"/>
  <c r="GZ89" i="2"/>
  <c r="GZ23" i="2"/>
  <c r="GZ42" i="2"/>
  <c r="GZ61" i="2"/>
  <c r="GZ93" i="2"/>
  <c r="GZ189" i="2"/>
  <c r="GZ30" i="2"/>
  <c r="GZ116" i="2"/>
  <c r="GZ10" i="2"/>
  <c r="GZ72" i="2"/>
  <c r="GZ63" i="2"/>
  <c r="GZ179" i="2"/>
  <c r="GZ15" i="2"/>
  <c r="GZ192" i="2"/>
  <c r="GZ6" i="2"/>
  <c r="GZ68" i="2"/>
  <c r="GZ43" i="2"/>
  <c r="GZ171" i="2"/>
  <c r="GZ67" i="2"/>
  <c r="GZ151" i="2"/>
  <c r="GZ33" i="2"/>
  <c r="GZ101" i="2"/>
  <c r="GZ150" i="2"/>
  <c r="GZ137" i="2"/>
  <c r="GZ159" i="2"/>
  <c r="GZ139" i="2"/>
  <c r="GZ136" i="2"/>
  <c r="GZ176" i="2"/>
  <c r="GZ180" i="2"/>
  <c r="GZ194" i="2"/>
  <c r="GZ95" i="2"/>
  <c r="GZ130" i="2"/>
  <c r="GZ170" i="2"/>
  <c r="GZ50" i="2"/>
  <c r="GZ80" i="2"/>
  <c r="GZ69" i="2"/>
  <c r="GZ154" i="2"/>
  <c r="GZ7" i="2"/>
  <c r="GZ27" i="2"/>
  <c r="GZ24" i="2"/>
  <c r="GZ5" i="2"/>
  <c r="GZ141" i="2"/>
  <c r="GZ124" i="2"/>
  <c r="GZ98" i="2"/>
  <c r="GZ47" i="2"/>
  <c r="GZ14" i="2"/>
  <c r="GZ145" i="2"/>
  <c r="GZ125" i="2"/>
  <c r="GZ21" i="2"/>
  <c r="GZ186" i="2"/>
  <c r="GZ9" i="2"/>
  <c r="GZ81" i="2"/>
  <c r="GZ77" i="2"/>
  <c r="GZ41" i="2"/>
  <c r="GZ193" i="2"/>
  <c r="GZ148" i="2"/>
  <c r="GZ78" i="2"/>
  <c r="GZ131" i="2"/>
  <c r="GZ165" i="2"/>
  <c r="GZ70" i="2"/>
  <c r="GZ177" i="2"/>
  <c r="GZ153" i="2"/>
  <c r="GZ29" i="2"/>
  <c r="GZ172" i="2"/>
  <c r="GZ38" i="2"/>
  <c r="GZ199" i="2"/>
  <c r="GZ39" i="2"/>
  <c r="GZ191" i="2"/>
  <c r="GZ174" i="2"/>
  <c r="GZ184" i="2"/>
  <c r="GZ118" i="2"/>
  <c r="GZ45" i="2"/>
  <c r="GZ120" i="2"/>
  <c r="GZ49" i="2"/>
  <c r="GZ82" i="2"/>
  <c r="GZ91" i="2"/>
  <c r="GZ111" i="2"/>
  <c r="GZ96" i="2"/>
  <c r="GZ11" i="2"/>
  <c r="GZ74" i="2"/>
  <c r="GZ12" i="2"/>
  <c r="GZ105" i="2"/>
  <c r="GZ138" i="2"/>
  <c r="GZ59" i="2"/>
  <c r="GZ79" i="2"/>
  <c r="GZ198" i="2"/>
  <c r="GZ122" i="2"/>
  <c r="GZ164" i="2"/>
  <c r="GZ200" i="2"/>
  <c r="GZ156" i="2"/>
  <c r="GZ100" i="2"/>
  <c r="GZ92" i="2"/>
  <c r="GZ4" i="2"/>
  <c r="GZ201" i="2"/>
  <c r="GZ16" i="2"/>
  <c r="GZ97" i="2"/>
  <c r="GZ132" i="2"/>
  <c r="GZ167" i="2"/>
  <c r="GZ135" i="2"/>
  <c r="GZ22" i="2"/>
  <c r="GZ17" i="2"/>
  <c r="GZ36" i="2"/>
  <c r="GZ128" i="2"/>
  <c r="GZ155" i="2"/>
  <c r="GZ99" i="2"/>
  <c r="GZ140" i="2"/>
  <c r="GZ162" i="2"/>
  <c r="GZ87" i="2"/>
  <c r="GZ32" i="2"/>
  <c r="GZ84" i="2"/>
  <c r="GZ73" i="2"/>
  <c r="GZ126" i="2"/>
  <c r="GZ25" i="2"/>
  <c r="GZ169" i="2"/>
  <c r="GZ3" i="2"/>
  <c r="C15" i="4" s="1"/>
  <c r="E15" i="4" s="1"/>
  <c r="F15" i="4" s="1"/>
  <c r="G15" i="4" s="1"/>
  <c r="L15" i="4" s="1"/>
  <c r="CD60" i="2"/>
  <c r="CD96" i="2"/>
  <c r="CD63" i="2"/>
  <c r="CD21" i="2"/>
  <c r="CD42" i="2"/>
  <c r="CD126" i="2"/>
  <c r="CD148" i="2"/>
  <c r="CD189" i="2"/>
  <c r="CD180" i="2"/>
  <c r="CD164" i="2"/>
  <c r="CD38" i="2"/>
  <c r="CD152" i="2"/>
  <c r="CD48" i="2"/>
  <c r="CD190" i="2"/>
  <c r="CD88" i="2"/>
  <c r="CD149" i="2"/>
  <c r="CD193" i="2"/>
  <c r="CD97" i="2"/>
  <c r="CD29" i="2"/>
  <c r="CD203" i="2"/>
  <c r="CD187" i="2"/>
  <c r="CD107" i="2"/>
  <c r="CD115" i="2"/>
  <c r="CD172" i="2"/>
  <c r="CD157" i="2"/>
  <c r="CD17" i="2"/>
  <c r="CD54" i="2"/>
  <c r="CD191" i="2"/>
  <c r="CD185" i="2"/>
  <c r="CD136" i="2"/>
  <c r="CD3" i="2"/>
  <c r="CD154" i="2"/>
  <c r="CD80" i="2"/>
  <c r="CD127" i="2"/>
  <c r="CD51" i="2"/>
  <c r="CD131" i="2"/>
  <c r="CD68" i="2"/>
  <c r="CD165" i="2"/>
  <c r="CD76" i="2"/>
  <c r="CD33" i="2"/>
  <c r="CD150" i="2"/>
  <c r="CD200" i="2"/>
  <c r="CD67" i="2"/>
  <c r="CD58" i="2"/>
  <c r="CD22" i="2"/>
  <c r="CD90" i="2"/>
  <c r="CD113" i="2"/>
  <c r="CD156" i="2"/>
  <c r="CD181" i="2"/>
  <c r="CD99" i="2"/>
  <c r="CD176" i="2"/>
  <c r="CD47" i="2"/>
  <c r="CD110" i="2"/>
  <c r="CD183" i="2"/>
  <c r="CD49" i="2"/>
  <c r="CD139" i="2"/>
  <c r="CD109" i="2"/>
  <c r="CD106" i="2"/>
  <c r="CD140" i="2"/>
  <c r="CD98" i="2"/>
  <c r="CD20" i="2"/>
  <c r="CD117" i="2"/>
  <c r="CD87" i="2"/>
  <c r="CD188" i="2"/>
  <c r="CD71" i="2"/>
  <c r="CD137" i="2"/>
  <c r="CD24" i="2"/>
  <c r="CD166" i="2"/>
  <c r="CD122" i="2"/>
  <c r="CD23" i="2"/>
  <c r="CD116" i="2"/>
  <c r="CD50" i="2"/>
  <c r="CD27" i="2"/>
  <c r="CD36" i="2"/>
  <c r="CD64" i="2"/>
  <c r="CD202" i="2"/>
  <c r="CD79" i="2"/>
  <c r="CD160" i="2"/>
  <c r="CD95" i="2"/>
  <c r="CD77" i="2"/>
  <c r="CD70" i="2"/>
  <c r="CD15" i="2"/>
  <c r="CD130" i="2"/>
  <c r="CD121" i="2"/>
  <c r="CD5" i="2"/>
  <c r="CD120" i="2"/>
  <c r="CD34" i="2"/>
  <c r="CD10" i="2"/>
  <c r="CD134" i="2"/>
  <c r="CD169" i="2"/>
  <c r="CD37" i="2"/>
  <c r="CD13" i="2"/>
  <c r="CD12" i="2"/>
  <c r="CD9" i="2"/>
  <c r="CD94" i="2"/>
  <c r="CD168" i="2"/>
  <c r="CD125" i="2"/>
  <c r="CD170" i="2"/>
  <c r="CD144" i="2"/>
  <c r="CD14" i="2"/>
  <c r="CD135" i="2"/>
  <c r="CD89" i="2"/>
  <c r="CD111" i="2"/>
  <c r="CD163" i="2"/>
  <c r="CD84" i="2"/>
  <c r="CD52" i="2"/>
  <c r="CD61" i="2"/>
  <c r="CD151" i="2"/>
  <c r="CD123" i="2"/>
  <c r="CD103" i="2"/>
  <c r="CD8" i="2"/>
  <c r="CD104" i="2"/>
  <c r="CD6" i="2"/>
  <c r="CD40" i="2"/>
  <c r="CD53" i="2"/>
  <c r="CD55" i="2"/>
  <c r="CD75" i="2"/>
  <c r="CD31" i="2"/>
  <c r="CD182" i="2"/>
  <c r="CD124" i="2"/>
  <c r="CD32" i="2"/>
  <c r="CD197" i="2"/>
  <c r="CD83" i="2"/>
  <c r="CD28" i="2"/>
  <c r="CD57" i="2"/>
  <c r="CD114" i="2"/>
  <c r="CD81" i="2"/>
  <c r="CD145" i="2"/>
  <c r="CD74" i="2"/>
  <c r="CD162" i="2"/>
  <c r="CD102" i="2"/>
  <c r="CD179" i="2"/>
  <c r="CD72" i="2"/>
  <c r="CD78" i="2"/>
  <c r="CD153" i="2"/>
  <c r="CD62" i="2"/>
  <c r="CD199" i="2"/>
  <c r="CD69" i="2"/>
  <c r="CD46" i="2"/>
  <c r="CD86" i="2"/>
  <c r="CD143" i="2"/>
  <c r="CD146" i="2"/>
  <c r="CD41" i="2"/>
  <c r="CD16" i="2"/>
  <c r="CD108" i="2"/>
  <c r="CD91" i="2"/>
  <c r="CD93" i="2"/>
  <c r="CD132" i="2"/>
  <c r="CD19" i="2"/>
  <c r="CD195" i="2"/>
  <c r="CD26" i="2"/>
  <c r="CD161" i="2"/>
  <c r="CD147" i="2"/>
  <c r="CD174" i="2"/>
  <c r="CD128" i="2"/>
  <c r="CD18" i="2"/>
  <c r="CD59" i="2"/>
  <c r="CD198" i="2"/>
  <c r="CD56" i="2"/>
  <c r="CD66" i="2"/>
  <c r="CD184" i="2"/>
  <c r="CD173" i="2"/>
  <c r="CD133" i="2"/>
  <c r="CD138" i="2"/>
  <c r="CD118" i="2"/>
  <c r="CD112" i="2"/>
  <c r="CD44" i="2"/>
  <c r="CD35" i="2"/>
  <c r="CD141" i="2"/>
  <c r="CD92" i="2"/>
  <c r="CD175" i="2"/>
  <c r="CD159" i="2"/>
  <c r="CD82" i="2"/>
  <c r="CD201" i="2"/>
  <c r="CD177" i="2"/>
  <c r="CD155" i="2"/>
  <c r="CD142" i="2"/>
  <c r="CD7" i="2"/>
  <c r="CD192" i="2"/>
  <c r="CD196" i="2"/>
  <c r="CD100" i="2"/>
  <c r="CD167" i="2"/>
  <c r="CD45" i="2"/>
  <c r="CD101" i="2"/>
  <c r="CD129" i="2"/>
  <c r="CD194" i="2"/>
  <c r="CD85" i="2"/>
  <c r="CD4" i="2"/>
  <c r="CD25" i="2"/>
  <c r="CD11" i="2"/>
  <c r="CD178" i="2"/>
  <c r="CD119" i="2"/>
  <c r="CD43" i="2"/>
  <c r="CD30" i="2"/>
  <c r="CD73" i="2"/>
  <c r="CD65" i="2"/>
  <c r="CD158" i="2"/>
  <c r="CD105" i="2"/>
  <c r="CD186" i="2"/>
  <c r="CD39" i="2"/>
  <c r="CD171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J173" i="2" l="1"/>
  <c r="FJ155" i="2"/>
  <c r="FJ156" i="2"/>
  <c r="FJ60" i="2"/>
  <c r="FJ175" i="2"/>
  <c r="FJ62" i="2"/>
  <c r="FJ196" i="2"/>
  <c r="FJ18" i="2"/>
  <c r="FJ102" i="2"/>
  <c r="FJ166" i="2"/>
  <c r="FJ190" i="2"/>
  <c r="FJ123" i="2"/>
  <c r="FJ168" i="2"/>
  <c r="FJ87" i="2"/>
  <c r="FJ79" i="2"/>
  <c r="FJ81" i="2"/>
  <c r="FJ52" i="2"/>
  <c r="FJ39" i="2"/>
  <c r="FJ83" i="2"/>
  <c r="FJ162" i="2"/>
  <c r="FJ139" i="2"/>
  <c r="FJ49" i="2"/>
  <c r="FJ177" i="2"/>
  <c r="FJ115" i="2"/>
  <c r="FJ82" i="2"/>
  <c r="FJ26" i="2"/>
  <c r="FJ63" i="2"/>
  <c r="FJ11" i="2"/>
  <c r="FJ164" i="2"/>
  <c r="FJ169" i="2"/>
  <c r="FJ179" i="2"/>
  <c r="FJ51" i="2"/>
  <c r="FJ48" i="2"/>
  <c r="FJ66" i="2"/>
  <c r="FJ72" i="2"/>
  <c r="FJ97" i="2"/>
  <c r="FJ111" i="2"/>
  <c r="FJ89" i="2"/>
  <c r="FJ117" i="2"/>
  <c r="FJ99" i="2"/>
  <c r="FJ118" i="2"/>
  <c r="FJ38" i="2"/>
  <c r="FJ109" i="2"/>
  <c r="FJ12" i="2"/>
  <c r="FJ17" i="2"/>
  <c r="FJ32" i="2"/>
  <c r="FJ40" i="2"/>
  <c r="FJ161" i="2"/>
  <c r="FJ88" i="2"/>
  <c r="FJ122" i="2"/>
  <c r="FJ94" i="2"/>
  <c r="FJ23" i="2"/>
  <c r="FJ35" i="2"/>
  <c r="FJ112" i="2"/>
  <c r="FJ67" i="2"/>
  <c r="FJ153" i="2"/>
  <c r="FJ108" i="2"/>
  <c r="FJ167" i="2"/>
  <c r="FJ197" i="2"/>
  <c r="FJ50" i="2"/>
  <c r="FJ148" i="2"/>
  <c r="FJ141" i="2"/>
  <c r="FJ47" i="2"/>
  <c r="FJ96" i="2"/>
  <c r="FJ41" i="2"/>
  <c r="FJ91" i="2"/>
  <c r="FJ113" i="2"/>
  <c r="FJ77" i="2"/>
  <c r="FJ93" i="2"/>
  <c r="FJ146" i="2"/>
  <c r="FJ70" i="2"/>
  <c r="FJ176" i="2"/>
  <c r="FJ147" i="2"/>
  <c r="FJ143" i="2"/>
  <c r="FJ160" i="2"/>
  <c r="FJ46" i="2"/>
  <c r="FJ71" i="2"/>
  <c r="FJ152" i="2"/>
  <c r="FJ95" i="2"/>
  <c r="FJ199" i="2"/>
  <c r="FJ203" i="2"/>
  <c r="FJ129" i="2"/>
  <c r="FJ101" i="2"/>
  <c r="FJ189" i="2"/>
  <c r="FJ7" i="2"/>
  <c r="FJ30" i="2"/>
  <c r="FJ68" i="2"/>
  <c r="FJ140" i="2"/>
  <c r="FJ114" i="2"/>
  <c r="FJ110" i="2"/>
  <c r="FJ178" i="2"/>
  <c r="FJ134" i="2"/>
  <c r="FJ181" i="2"/>
  <c r="FJ80" i="2"/>
  <c r="FJ53" i="2"/>
  <c r="FJ127" i="2"/>
  <c r="FJ5" i="2"/>
  <c r="FJ138" i="2"/>
  <c r="FJ19" i="2"/>
  <c r="FJ121" i="2"/>
  <c r="FJ65" i="2"/>
  <c r="FJ59" i="2"/>
  <c r="FJ76" i="2"/>
  <c r="FJ120" i="2"/>
  <c r="FJ104" i="2"/>
  <c r="FJ4" i="2"/>
  <c r="FJ90" i="2"/>
  <c r="FJ151" i="2"/>
  <c r="FJ191" i="2"/>
  <c r="FJ131" i="2"/>
  <c r="FJ84" i="2"/>
  <c r="FJ150" i="2"/>
  <c r="FJ187" i="2"/>
  <c r="FJ145" i="2"/>
  <c r="FJ165" i="2"/>
  <c r="FJ55" i="2"/>
  <c r="FJ154" i="2"/>
  <c r="FJ98" i="2"/>
  <c r="FJ188" i="2"/>
  <c r="FJ25" i="2"/>
  <c r="FJ37" i="2"/>
  <c r="FJ29" i="2"/>
  <c r="FJ157" i="2"/>
  <c r="FJ78" i="2"/>
  <c r="FJ200" i="2"/>
  <c r="FJ198" i="2"/>
  <c r="FJ149" i="2"/>
  <c r="FJ6" i="2"/>
  <c r="FJ201" i="2"/>
  <c r="FJ8" i="2"/>
  <c r="FJ142" i="2"/>
  <c r="FJ22" i="2"/>
  <c r="FJ144" i="2"/>
  <c r="FJ36" i="2"/>
  <c r="FJ184" i="2"/>
  <c r="FJ57" i="2"/>
  <c r="FJ27" i="2"/>
  <c r="FJ124" i="2"/>
  <c r="FJ34" i="2"/>
  <c r="FJ192" i="2"/>
  <c r="FJ69" i="2"/>
  <c r="FJ158" i="2"/>
  <c r="FJ172" i="2"/>
  <c r="FJ193" i="2"/>
  <c r="FJ28" i="2"/>
  <c r="FJ132" i="2"/>
  <c r="FJ133" i="2"/>
  <c r="FJ185" i="2"/>
  <c r="FJ159" i="2"/>
  <c r="FJ126" i="2"/>
  <c r="FJ136" i="2"/>
  <c r="FJ21" i="2"/>
  <c r="FJ15" i="2"/>
  <c r="FJ31" i="2"/>
  <c r="FJ202" i="2"/>
  <c r="FJ130" i="2"/>
  <c r="FJ135" i="2"/>
  <c r="FJ3" i="2"/>
  <c r="C13" i="4" s="1"/>
  <c r="E13" i="4" s="1"/>
  <c r="F13" i="4" s="1"/>
  <c r="G13" i="4" s="1"/>
  <c r="L13" i="4" s="1"/>
  <c r="FJ44" i="2"/>
  <c r="FJ74" i="2"/>
  <c r="FJ186" i="2"/>
  <c r="FJ92" i="2"/>
  <c r="FJ33" i="2"/>
  <c r="FJ58" i="2"/>
  <c r="FJ183" i="2"/>
  <c r="FJ10" i="2"/>
  <c r="FJ43" i="2"/>
  <c r="FJ106" i="2"/>
  <c r="FJ14" i="2"/>
  <c r="FJ13" i="2"/>
  <c r="FJ24" i="2"/>
  <c r="FJ163" i="2"/>
  <c r="FJ116" i="2"/>
  <c r="FJ125" i="2"/>
  <c r="FJ119" i="2"/>
  <c r="FJ86" i="2"/>
  <c r="FJ75" i="2"/>
  <c r="FJ103" i="2"/>
  <c r="FJ42" i="2"/>
  <c r="FJ128" i="2"/>
  <c r="FJ73" i="2"/>
  <c r="FJ105" i="2"/>
  <c r="FJ137" i="2"/>
  <c r="FJ100" i="2"/>
  <c r="FJ64" i="2"/>
  <c r="FJ182" i="2"/>
  <c r="FJ194" i="2"/>
  <c r="FJ174" i="2"/>
  <c r="FJ85" i="2"/>
  <c r="FJ45" i="2"/>
  <c r="FJ171" i="2"/>
  <c r="FJ107" i="2"/>
  <c r="FJ16" i="2"/>
  <c r="FJ9" i="2"/>
  <c r="FJ180" i="2"/>
  <c r="FJ56" i="2"/>
  <c r="FJ20" i="2"/>
  <c r="FJ195" i="2"/>
  <c r="FJ54" i="2"/>
  <c r="FJ61" i="2"/>
  <c r="FJ170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GE200" i="2" l="1"/>
  <c r="GE50" i="2"/>
  <c r="GE65" i="2"/>
  <c r="GE57" i="2"/>
  <c r="GE66" i="2"/>
  <c r="GE34" i="2"/>
  <c r="GE6" i="2"/>
  <c r="GE48" i="2"/>
  <c r="GE185" i="2"/>
  <c r="GE31" i="2"/>
  <c r="GE55" i="2"/>
  <c r="GE202" i="2"/>
  <c r="GE23" i="2"/>
  <c r="GE169" i="2"/>
  <c r="GE30" i="2"/>
  <c r="GE47" i="2"/>
  <c r="GE117" i="2"/>
  <c r="GE188" i="2"/>
  <c r="GE32" i="2"/>
  <c r="GE109" i="2"/>
  <c r="GE190" i="2"/>
  <c r="GE124" i="2"/>
  <c r="GE58" i="2"/>
  <c r="GE80" i="2"/>
  <c r="GE7" i="2"/>
  <c r="GE120" i="2"/>
  <c r="GE29" i="2"/>
  <c r="GE68" i="2"/>
  <c r="GE186" i="2"/>
  <c r="GE82" i="2"/>
  <c r="GE11" i="2"/>
  <c r="GE115" i="2"/>
  <c r="GE49" i="2"/>
  <c r="GE161" i="2"/>
  <c r="GE184" i="2"/>
  <c r="GE24" i="2"/>
  <c r="GE194" i="2"/>
  <c r="GE121" i="2"/>
  <c r="GE168" i="2"/>
  <c r="GE17" i="2"/>
  <c r="GE160" i="2"/>
  <c r="GE137" i="2"/>
  <c r="GE118" i="2"/>
  <c r="GE178" i="2"/>
  <c r="GE51" i="2"/>
  <c r="GE176" i="2"/>
  <c r="GE148" i="2"/>
  <c r="GE28" i="2"/>
  <c r="GE193" i="2"/>
  <c r="GE167" i="2"/>
  <c r="GE114" i="2"/>
  <c r="GE99" i="2"/>
  <c r="GE37" i="2"/>
  <c r="GE77" i="2"/>
  <c r="GE164" i="2"/>
  <c r="GE155" i="2"/>
  <c r="GE83" i="2"/>
  <c r="GE8" i="2"/>
  <c r="GE44" i="2"/>
  <c r="GE60" i="2"/>
  <c r="GE25" i="2"/>
  <c r="GE73" i="2"/>
  <c r="GE144" i="2"/>
  <c r="GE27" i="2"/>
  <c r="GE62" i="2"/>
  <c r="GE9" i="2"/>
  <c r="GE63" i="2"/>
  <c r="GE33" i="2"/>
  <c r="GE166" i="2"/>
  <c r="GE98" i="2"/>
  <c r="GE46" i="2"/>
  <c r="GE187" i="2"/>
  <c r="GE150" i="2"/>
  <c r="GE45" i="2"/>
  <c r="GE149" i="2"/>
  <c r="GE78" i="2"/>
  <c r="GE138" i="2"/>
  <c r="GE154" i="2"/>
  <c r="GE41" i="2"/>
  <c r="GE159" i="2"/>
  <c r="GE93" i="2"/>
  <c r="GE125" i="2"/>
  <c r="GE92" i="2"/>
  <c r="GE39" i="2"/>
  <c r="GE145" i="2"/>
  <c r="GE126" i="2"/>
  <c r="GE140" i="2"/>
  <c r="GE103" i="2"/>
  <c r="GE203" i="2"/>
  <c r="GE18" i="2"/>
  <c r="GE174" i="2"/>
  <c r="GE26" i="2"/>
  <c r="GE105" i="2"/>
  <c r="GE122" i="2"/>
  <c r="GE108" i="2"/>
  <c r="GE181" i="2"/>
  <c r="GE192" i="2"/>
  <c r="GE173" i="2"/>
  <c r="GE104" i="2"/>
  <c r="GE94" i="2"/>
  <c r="GE106" i="2"/>
  <c r="GE38" i="2"/>
  <c r="GE43" i="2"/>
  <c r="GE70" i="2"/>
  <c r="GE127" i="2"/>
  <c r="GE74" i="2"/>
  <c r="GE134" i="2"/>
  <c r="GE36" i="2"/>
  <c r="GE135" i="2"/>
  <c r="GE53" i="2"/>
  <c r="GE61" i="2"/>
  <c r="GE84" i="2"/>
  <c r="GE59" i="2"/>
  <c r="GE54" i="2"/>
  <c r="GE182" i="2"/>
  <c r="GE111" i="2"/>
  <c r="GE100" i="2"/>
  <c r="GE91" i="2"/>
  <c r="GE163" i="2"/>
  <c r="GE52" i="2"/>
  <c r="GE20" i="2"/>
  <c r="GE96" i="2"/>
  <c r="GE128" i="2"/>
  <c r="GE101" i="2"/>
  <c r="GE14" i="2"/>
  <c r="GE153" i="2"/>
  <c r="GE157" i="2"/>
  <c r="GE71" i="2"/>
  <c r="GE195" i="2"/>
  <c r="GE197" i="2"/>
  <c r="GE22" i="2"/>
  <c r="GE75" i="2"/>
  <c r="GE158" i="2"/>
  <c r="GE170" i="2"/>
  <c r="GE19" i="2"/>
  <c r="GE107" i="2"/>
  <c r="GE171" i="2"/>
  <c r="GE129" i="2"/>
  <c r="GE87" i="2"/>
  <c r="GE123" i="2"/>
  <c r="GE198" i="2"/>
  <c r="GE81" i="2"/>
  <c r="GE16" i="2"/>
  <c r="GE86" i="2"/>
  <c r="GE102" i="2"/>
  <c r="GE13" i="2"/>
  <c r="GE69" i="2"/>
  <c r="GE196" i="2"/>
  <c r="GE35" i="2"/>
  <c r="GE132" i="2"/>
  <c r="GE147" i="2"/>
  <c r="GE139" i="2"/>
  <c r="GE165" i="2"/>
  <c r="GE5" i="2"/>
  <c r="GE201" i="2"/>
  <c r="GE119" i="2"/>
  <c r="GE189" i="2"/>
  <c r="GE85" i="2"/>
  <c r="GE56" i="2"/>
  <c r="GE21" i="2"/>
  <c r="GE180" i="2"/>
  <c r="GE3" i="2"/>
  <c r="C14" i="4" s="1"/>
  <c r="E14" i="4" s="1"/>
  <c r="F14" i="4" s="1"/>
  <c r="G14" i="4" s="1"/>
  <c r="L14" i="4" s="1"/>
  <c r="GE131" i="2"/>
  <c r="GE179" i="2"/>
  <c r="GE146" i="2"/>
  <c r="GE156" i="2"/>
  <c r="GE143" i="2"/>
  <c r="GE97" i="2"/>
  <c r="GE199" i="2"/>
  <c r="GE152" i="2"/>
  <c r="GE136" i="2"/>
  <c r="GE95" i="2"/>
  <c r="GE142" i="2"/>
  <c r="GE130" i="2"/>
  <c r="GE12" i="2"/>
  <c r="GE177" i="2"/>
  <c r="GE141" i="2"/>
  <c r="GE72" i="2"/>
  <c r="GE79" i="2"/>
  <c r="GE112" i="2"/>
  <c r="GE88" i="2"/>
  <c r="GE40" i="2"/>
  <c r="GE183" i="2"/>
  <c r="GE172" i="2"/>
  <c r="GE191" i="2"/>
  <c r="GE64" i="2"/>
  <c r="GE110" i="2"/>
  <c r="GE10" i="2"/>
  <c r="GE76" i="2"/>
  <c r="GE116" i="2"/>
  <c r="GE89" i="2"/>
  <c r="GE90" i="2"/>
  <c r="GE113" i="2"/>
  <c r="GE15" i="2"/>
  <c r="GE133" i="2"/>
  <c r="GE162" i="2"/>
  <c r="GE67" i="2"/>
  <c r="GE4" i="2"/>
  <c r="GE151" i="2"/>
  <c r="GE42" i="2"/>
  <c r="GE17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BS158" i="2" l="1"/>
  <c r="BS159" i="2" l="1"/>
  <c r="BS160" i="2" l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6" i="4" l="1"/>
  <c r="C12" i="4"/>
  <c r="D12" i="4"/>
  <c r="C11" i="4"/>
  <c r="D11" i="4"/>
  <c r="C10" i="4"/>
  <c r="D10" i="4"/>
  <c r="C9" i="4"/>
  <c r="D9" i="4"/>
  <c r="C8" i="4"/>
  <c r="D8" i="4"/>
  <c r="C7" i="4"/>
  <c r="D7" i="4"/>
  <c r="D6" i="4"/>
  <c r="C19" i="1"/>
  <c r="C20" i="1" s="1"/>
  <c r="D9" i="1"/>
  <c r="U10" i="6" s="1"/>
  <c r="V10" i="6" s="1"/>
  <c r="D10" i="1"/>
  <c r="U11" i="6" s="1"/>
  <c r="V11" i="6" s="1"/>
  <c r="D11" i="1"/>
  <c r="B8" i="4" s="1"/>
  <c r="H8" i="4" s="1"/>
  <c r="I8" i="4" s="1"/>
  <c r="D12" i="1"/>
  <c r="U13" i="6" s="1"/>
  <c r="V13" i="6" s="1"/>
  <c r="D13" i="1"/>
  <c r="B10" i="4" s="1"/>
  <c r="D14" i="1"/>
  <c r="B11" i="4" s="1"/>
  <c r="D15" i="1"/>
  <c r="B12" i="4" s="1"/>
  <c r="E8" i="4" l="1"/>
  <c r="F8" i="4" s="1"/>
  <c r="G8" i="4" s="1"/>
  <c r="U16" i="6"/>
  <c r="V16" i="6" s="1"/>
  <c r="U15" i="6"/>
  <c r="V15" i="6" s="1"/>
  <c r="U14" i="6"/>
  <c r="V14" i="6" s="1"/>
  <c r="E10" i="4"/>
  <c r="F10" i="4" s="1"/>
  <c r="G10" i="4" s="1"/>
  <c r="B9" i="4"/>
  <c r="B7" i="4"/>
  <c r="E6" i="4"/>
  <c r="D19" i="1"/>
  <c r="B6" i="4"/>
  <c r="J8" i="4"/>
  <c r="K8" i="4" s="1"/>
  <c r="E12" i="4"/>
  <c r="F12" i="4" s="1"/>
  <c r="G12" i="4" s="1"/>
  <c r="E7" i="4"/>
  <c r="F7" i="4" s="1"/>
  <c r="G7" i="4" s="1"/>
  <c r="E9" i="4"/>
  <c r="F9" i="4" s="1"/>
  <c r="G9" i="4" s="1"/>
  <c r="E11" i="4"/>
  <c r="F11" i="4" s="1"/>
  <c r="G11" i="4" s="1"/>
  <c r="H12" i="4"/>
  <c r="I12" i="4" s="1"/>
  <c r="J12" i="4"/>
  <c r="K12" i="4" s="1"/>
  <c r="J11" i="4"/>
  <c r="K11" i="4" s="1"/>
  <c r="H11" i="4"/>
  <c r="I11" i="4" s="1"/>
  <c r="J10" i="4"/>
  <c r="K10" i="4" s="1"/>
  <c r="U12" i="6"/>
  <c r="V12" i="6" s="1"/>
  <c r="T23" i="6" s="1"/>
  <c r="T25" i="6" s="1"/>
  <c r="T26" i="6" s="1"/>
  <c r="H10" i="4"/>
  <c r="I10" i="4" s="1"/>
  <c r="L8" i="4" l="1"/>
  <c r="F6" i="4"/>
  <c r="G6" i="4" s="1"/>
  <c r="J9" i="4"/>
  <c r="K9" i="4" s="1"/>
  <c r="H9" i="4"/>
  <c r="I9" i="4" s="1"/>
  <c r="H7" i="4"/>
  <c r="I7" i="4" s="1"/>
  <c r="J7" i="4"/>
  <c r="K7" i="4" s="1"/>
  <c r="L12" i="4"/>
  <c r="L10" i="4"/>
  <c r="H6" i="4"/>
  <c r="I6" i="4" s="1"/>
  <c r="J6" i="4"/>
  <c r="K6" i="4" s="1"/>
  <c r="L11" i="4"/>
  <c r="G16" i="4"/>
  <c r="F16" i="4" l="1"/>
  <c r="L6" i="4"/>
  <c r="L7" i="4"/>
  <c r="L9" i="4"/>
  <c r="I16" i="4"/>
  <c r="H16" i="4"/>
  <c r="J16" i="4"/>
  <c r="K16" i="4"/>
  <c r="L16" i="4" l="1"/>
</calcChain>
</file>

<file path=xl/sharedStrings.xml><?xml version="1.0" encoding="utf-8"?>
<sst xmlns="http://schemas.openxmlformats.org/spreadsheetml/2006/main" count="1185" uniqueCount="327">
  <si>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</si>
  <si>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</si>
  <si>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</si>
  <si>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</si>
  <si>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</si>
  <si>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</si>
  <si>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</si>
  <si>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</si>
  <si>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</si>
  <si>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</si>
  <si>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</si>
  <si>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</si>
  <si>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</si>
  <si>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</si>
  <si>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</si>
  <si>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</si>
  <si>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</si>
  <si>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</si>
  <si>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</si>
  <si>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</si>
  <si>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</si>
  <si>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</si>
  <si>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</si>
  <si>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</si>
  <si>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</si>
  <si>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</si>
  <si>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</si>
  <si>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</si>
  <si>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</si>
  <si>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</si>
  <si>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</si>
  <si>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</si>
  <si>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</si>
  <si>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</si>
  <si>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</si>
  <si>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</si>
  <si>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</si>
  <si>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</si>
  <si>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</si>
  <si>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</si>
  <si>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</si>
  <si>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</si>
  <si>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</si>
  <si>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</si>
  <si>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</si>
  <si>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</si>
  <si>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</si>
  <si>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</si>
  <si>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</si>
  <si>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</si>
  <si>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</si>
  <si>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</si>
  <si>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</si>
  <si>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</si>
  <si>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</si>
  <si>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</si>
  <si>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</si>
  <si>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</si>
  <si>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</si>
  <si>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</si>
  <si>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</si>
  <si>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</si>
  <si>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</si>
  <si>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</si>
  <si>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</si>
  <si>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</si>
  <si>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</si>
  <si>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</si>
  <si>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</si>
  <si>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</si>
  <si>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</si>
  <si>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</si>
  <si>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</si>
  <si>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</si>
  <si>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</si>
  <si>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</si>
  <si>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</si>
  <si>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</si>
  <si>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</si>
  <si>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</si>
  <si>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</si>
  <si>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</si>
  <si>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</si>
  <si>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</si>
  <si>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</si>
  <si>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</si>
  <si>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</si>
  <si>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</si>
  <si>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</si>
  <si>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</si>
  <si>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</si>
  <si>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</si>
  <si>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</si>
  <si>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</si>
  <si>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</si>
  <si>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</si>
  <si>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</si>
  <si>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</si>
  <si>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</si>
  <si>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</si>
  <si>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</si>
  <si>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</si>
  <si>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</si>
  <si>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</si>
  <si>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</si>
  <si>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</si>
  <si>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</si>
  <si>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</si>
  <si>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</si>
  <si>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</si>
  <si>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</si>
  <si>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</si>
  <si>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</si>
  <si>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</si>
  <si>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</si>
  <si>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</si>
  <si>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</si>
  <si>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</si>
  <si>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</si>
  <si>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</si>
  <si>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</si>
  <si>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</si>
  <si>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</si>
  <si>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</si>
  <si>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</si>
  <si>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</si>
  <si>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</si>
  <si>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</si>
  <si>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</si>
  <si>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</si>
  <si>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</si>
  <si>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</si>
  <si>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</si>
  <si>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</si>
  <si>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</si>
  <si>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</si>
  <si>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</si>
  <si>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</si>
  <si>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</si>
  <si>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</si>
  <si>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</si>
  <si>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</si>
  <si>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</si>
  <si>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</si>
  <si>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</si>
  <si>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</si>
  <si>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</si>
  <si>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</si>
  <si>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</si>
  <si>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</si>
  <si>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</si>
  <si>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</si>
  <si>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</si>
  <si>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</si>
  <si>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</si>
  <si>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</si>
  <si>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</si>
  <si>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</si>
  <si>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</si>
  <si>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</si>
  <si>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</si>
  <si>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</si>
  <si>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</si>
  <si>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</si>
  <si>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</si>
  <si>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</si>
  <si>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</si>
  <si>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</si>
  <si>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</si>
  <si>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</si>
  <si>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</si>
  <si>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</si>
  <si>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</si>
  <si>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</si>
  <si>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</si>
  <si>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</si>
  <si>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</si>
  <si>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</si>
  <si>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</si>
  <si>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</si>
  <si>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</si>
  <si>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</si>
  <si>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</si>
  <si>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</si>
  <si>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</si>
  <si>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</si>
  <si>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</si>
  <si>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</si>
  <si>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</si>
  <si>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</si>
  <si>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</si>
  <si>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</si>
  <si>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</si>
  <si>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</si>
  <si>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</si>
  <si>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</si>
  <si>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</si>
  <si>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</si>
  <si>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</si>
  <si>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</si>
  <si>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</si>
  <si>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</si>
  <si>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</si>
  <si>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</si>
  <si>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</si>
  <si>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</si>
  <si>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</si>
  <si>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</si>
  <si>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</si>
  <si>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</si>
  <si>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</si>
  <si>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</si>
  <si>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</si>
  <si>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</si>
  <si>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</si>
  <si>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</si>
  <si>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</si>
  <si>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</si>
  <si>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</si>
  <si>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</si>
  <si>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</si>
  <si>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</si>
  <si>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</si>
  <si>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</si>
  <si>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</si>
  <si>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</si>
  <si>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</si>
  <si>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</si>
  <si>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</si>
  <si>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</si>
  <si>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</si>
  <si>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</si>
  <si>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</si>
  <si>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</si>
  <si>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</si>
  <si>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</si>
  <si>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</si>
  <si>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</si>
  <si>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</si>
  <si>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</si>
  <si>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</si>
  <si>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</si>
  <si>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</si>
  <si>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</si>
  <si>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</si>
  <si>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</si>
  <si>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</si>
  <si>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</si>
  <si>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</si>
  <si>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</si>
  <si>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</si>
  <si>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</si>
  <si>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</si>
  <si>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</si>
  <si>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</si>
  <si>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</si>
  <si>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</si>
  <si>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</si>
  <si>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</si>
  <si>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</si>
  <si>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</si>
  <si>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</si>
  <si>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</si>
  <si>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</si>
  <si>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</si>
  <si>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</si>
  <si>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</si>
  <si>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</si>
  <si>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</si>
  <si>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</si>
  <si>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</si>
  <si>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</si>
  <si>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</si>
  <si>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</si>
  <si>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</si>
  <si>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</si>
  <si>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</si>
  <si>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</si>
  <si>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</si>
  <si>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</si>
  <si>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</si>
  <si>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</si>
  <si>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</si>
  <si>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</si>
  <si>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</si>
  <si>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</si>
  <si>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</si>
  <si>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</si>
  <si>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</si>
  <si>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</si>
  <si>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</si>
  <si>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</si>
  <si>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</si>
  <si>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</si>
  <si>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</si>
  <si>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</si>
  <si>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</si>
  <si>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</si>
  <si>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</si>
  <si>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</si>
  <si>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</si>
  <si>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</si>
  <si>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</si>
  <si>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</si>
  <si>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</si>
  <si>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</si>
  <si>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</si>
  <si>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</si>
  <si>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</si>
  <si>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</si>
  <si>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</si>
  <si>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</si>
  <si>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</si>
  <si>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</si>
  <si>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</si>
  <si>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</si>
  <si>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</si>
  <si>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</si>
  <si>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</si>
  <si>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</si>
  <si>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</si>
  <si>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</si>
  <si>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</si>
  <si>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</si>
  <si>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F2</t>
  </si>
  <si>
    <t>UK FOR. COM. F 18</t>
  </si>
  <si>
    <t>ONF_Loire basin_F2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</si>
</sst>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9.3192472891094518</c:v>
                </c:pt>
                <c:pt idx="2">
                  <c:v>18.230113708515919</c:v>
                </c:pt>
                <c:pt idx="3">
                  <c:v>27.009093606445614</c:v>
                </c:pt>
                <c:pt idx="4">
                  <c:v>35.706775583876187</c:v>
                </c:pt>
                <c:pt idx="5">
                  <c:v>44.346088053174704</c:v>
                </c:pt>
                <c:pt idx="6">
                  <c:v>52.940110338043276</c:v>
                </c:pt>
                <c:pt idx="7">
                  <c:v>61.497274172753265</c:v>
                </c:pt>
                <c:pt idx="8">
                  <c:v>70.023452593109326</c:v>
                </c:pt>
                <c:pt idx="9">
                  <c:v>78.522962355138873</c:v>
                </c:pt>
                <c:pt idx="10">
                  <c:v>86.999104659517684</c:v>
                </c:pt>
                <c:pt idx="11">
                  <c:v>95.454482260454384</c:v>
                </c:pt>
                <c:pt idx="12">
                  <c:v>103.89119754131609</c:v>
                </c:pt>
                <c:pt idx="13">
                  <c:v>112.31098250711379</c:v>
                </c:pt>
                <c:pt idx="14">
                  <c:v>120.71528756377522</c:v>
                </c:pt>
                <c:pt idx="15">
                  <c:v>129.10534417540421</c:v>
                </c:pt>
                <c:pt idx="16">
                  <c:v>137.48221032160947</c:v>
                </c:pt>
                <c:pt idx="17">
                  <c:v>145.84680425989848</c:v>
                </c:pt>
                <c:pt idx="18">
                  <c:v>154.19993011477371</c:v>
                </c:pt>
                <c:pt idx="19">
                  <c:v>162.5422976173368</c:v>
                </c:pt>
                <c:pt idx="20">
                  <c:v>170.87453757063398</c:v>
                </c:pt>
                <c:pt idx="21">
                  <c:v>179.19721413403215</c:v>
                </c:pt>
                <c:pt idx="22">
                  <c:v>187.51083470141759</c:v>
                </c:pt>
                <c:pt idx="23">
                  <c:v>195.81585793258819</c:v>
                </c:pt>
                <c:pt idx="24">
                  <c:v>204.1127003484697</c:v>
                </c:pt>
                <c:pt idx="25">
                  <c:v>212.40174179615579</c:v>
                </c:pt>
                <c:pt idx="26">
                  <c:v>220.68333001492809</c:v>
                </c:pt>
                <c:pt idx="27">
                  <c:v>228.95778448005277</c:v>
                </c:pt>
                <c:pt idx="28">
                  <c:v>237.22539966111853</c:v>
                </c:pt>
                <c:pt idx="29">
                  <c:v>245.48644780181621</c:v>
                </c:pt>
                <c:pt idx="30">
                  <c:v>253.74118130552972</c:v>
                </c:pt>
                <c:pt idx="31">
                  <c:v>261.98983479391171</c:v>
                </c:pt>
                <c:pt idx="32">
                  <c:v>270.23262689237549</c:v>
                </c:pt>
                <c:pt idx="33">
                  <c:v>278.46976178613153</c:v>
                </c:pt>
                <c:pt idx="34">
                  <c:v>286.70143058231258</c:v>
                </c:pt>
                <c:pt idx="35">
                  <c:v>294.92781250734646</c:v>
                </c:pt>
                <c:pt idx="36">
                  <c:v>303.14907596364111</c:v>
                </c:pt>
                <c:pt idx="37">
                  <c:v>311.36537946555717</c:v>
                </c:pt>
                <c:pt idx="38">
                  <c:v>319.57687247135044</c:v>
                </c:pt>
                <c:pt idx="39">
                  <c:v>327.7836961250776</c:v>
                </c:pt>
                <c:pt idx="40">
                  <c:v>335.98598392026793</c:v>
                </c:pt>
                <c:pt idx="41">
                  <c:v>344.18386229535935</c:v>
                </c:pt>
                <c:pt idx="42">
                  <c:v>352.37745116940761</c:v>
                </c:pt>
                <c:pt idx="43">
                  <c:v>262.40778495948553</c:v>
                </c:pt>
                <c:pt idx="44">
                  <c:v>279.77778324441709</c:v>
                </c:pt>
                <c:pt idx="45">
                  <c:v>297.12360313078824</c:v>
                </c:pt>
                <c:pt idx="46">
                  <c:v>314.44685454766693</c:v>
                </c:pt>
                <c:pt idx="47">
                  <c:v>331.74895554826963</c:v>
                </c:pt>
                <c:pt idx="48">
                  <c:v>349.03116420256214</c:v>
                </c:pt>
                <c:pt idx="49">
                  <c:v>366.29460383970854</c:v>
                </c:pt>
                <c:pt idx="50">
                  <c:v>383.54028328139998</c:v>
                </c:pt>
                <c:pt idx="51">
                  <c:v>292.05092461873784</c:v>
                </c:pt>
                <c:pt idx="52">
                  <c:v>308.65064589135704</c:v>
                </c:pt>
                <c:pt idx="53">
                  <c:v>325.23054531597643</c:v>
                </c:pt>
                <c:pt idx="54">
                  <c:v>341.7917754639322</c:v>
                </c:pt>
                <c:pt idx="55">
                  <c:v>358.33536810122433</c:v>
                </c:pt>
                <c:pt idx="56">
                  <c:v>374.86225195980757</c:v>
                </c:pt>
                <c:pt idx="57">
                  <c:v>391.37326721033105</c:v>
                </c:pt>
                <c:pt idx="58">
                  <c:v>407.8691773646886</c:v>
                </c:pt>
                <c:pt idx="59">
                  <c:v>335.57765361490061</c:v>
                </c:pt>
                <c:pt idx="60">
                  <c:v>351.6458228184726</c:v>
                </c:pt>
                <c:pt idx="61">
                  <c:v>367.69789975552197</c:v>
                </c:pt>
                <c:pt idx="62">
                  <c:v>383.73468571094264</c:v>
                </c:pt>
                <c:pt idx="63">
                  <c:v>399.75690954133552</c:v>
                </c:pt>
                <c:pt idx="64">
                  <c:v>415.76523692275788</c:v>
                </c:pt>
                <c:pt idx="65">
                  <c:v>431.7602780998393</c:v>
                </c:pt>
                <c:pt idx="66">
                  <c:v>447.74259442675452</c:v>
                </c:pt>
                <c:pt idx="67">
                  <c:v>374.51674712801105</c:v>
                </c:pt>
                <c:pt idx="68">
                  <c:v>389.81214935934941</c:v>
                </c:pt>
                <c:pt idx="69">
                  <c:v>405.09453150971348</c:v>
                </c:pt>
                <c:pt idx="70">
                  <c:v>420.36445384023858</c:v>
                </c:pt>
                <c:pt idx="71">
                  <c:v>435.6224325956893</c:v>
                </c:pt>
                <c:pt idx="72">
                  <c:v>450.86894491524566</c:v>
                </c:pt>
                <c:pt idx="73">
                  <c:v>466.10443304448285</c:v>
                </c:pt>
                <c:pt idx="74">
                  <c:v>481.32930796803049</c:v>
                </c:pt>
                <c:pt idx="75">
                  <c:v>496.54395255876426</c:v>
                </c:pt>
                <c:pt idx="76">
                  <c:v>422.39338609589839</c:v>
                </c:pt>
                <c:pt idx="77">
                  <c:v>436.79749057783533</c:v>
                </c:pt>
                <c:pt idx="78">
                  <c:v>451.19140615963164</c:v>
                </c:pt>
                <c:pt idx="79">
                  <c:v>465.57550360621468</c:v>
                </c:pt>
                <c:pt idx="80">
                  <c:v>479.95012890910158</c:v>
                </c:pt>
                <c:pt idx="81">
                  <c:v>494.31560564955754</c:v>
                </c:pt>
                <c:pt idx="82">
                  <c:v>508.67223707280192</c:v>
                </c:pt>
                <c:pt idx="83">
                  <c:v>523.02030791590971</c:v>
                </c:pt>
                <c:pt idx="84">
                  <c:v>445.55527897620863</c:v>
                </c:pt>
                <c:pt idx="85">
                  <c:v>458.85576549100148</c:v>
                </c:pt>
                <c:pt idx="86">
                  <c:v>472.14802254741471</c:v>
                </c:pt>
                <c:pt idx="87">
                  <c:v>485.43231443562428</c:v>
                </c:pt>
                <c:pt idx="88">
                  <c:v>498.70888980334422</c:v>
                </c:pt>
                <c:pt idx="89">
                  <c:v>511.97798298217077</c:v>
                </c:pt>
                <c:pt idx="90">
                  <c:v>525.23981516929643</c:v>
                </c:pt>
                <c:pt idx="91">
                  <c:v>538.49459548369111</c:v>
                </c:pt>
                <c:pt idx="92">
                  <c:v>283.96640459535541</c:v>
                </c:pt>
                <c:pt idx="93">
                  <c:v>292.91819403107104</c:v>
                </c:pt>
                <c:pt idx="94">
                  <c:v>301.8638769495987</c:v>
                </c:pt>
                <c:pt idx="95">
                  <c:v>310.80365997983705</c:v>
                </c:pt>
                <c:pt idx="96">
                  <c:v>319.7377368842632</c:v>
                </c:pt>
                <c:pt idx="97">
                  <c:v>328.66628970508418</c:v>
                </c:pt>
                <c:pt idx="98">
                  <c:v>337.58948977925905</c:v>
                </c:pt>
                <c:pt idx="99">
                  <c:v>346.50749864053495</c:v>
                </c:pt>
                <c:pt idx="100">
                  <c:v>355.42046882371937</c:v>
                </c:pt>
                <c:pt idx="101">
                  <c:v>364.32854458402329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3.6501254149428424</c:v>
                </c:pt>
                <c:pt idx="2">
                  <c:v>5.7699802065559309</c:v>
                </c:pt>
                <c:pt idx="3">
                  <c:v>9.1267490356954522</c:v>
                </c:pt>
                <c:pt idx="4">
                  <c:v>14.445307732268263</c:v>
                </c:pt>
                <c:pt idx="5">
                  <c:v>22.877041968583754</c:v>
                </c:pt>
                <c:pt idx="6">
                  <c:v>36.251722493824708</c:v>
                </c:pt>
                <c:pt idx="7">
                  <c:v>57.478620235065527</c:v>
                </c:pt>
                <c:pt idx="8">
                  <c:v>91.185553235508266</c:v>
                </c:pt>
                <c:pt idx="9">
                  <c:v>144.73740777540638</c:v>
                </c:pt>
                <c:pt idx="10">
                  <c:v>229.86009453547467</c:v>
                </c:pt>
                <c:pt idx="11">
                  <c:v>106.06528794847596</c:v>
                </c:pt>
                <c:pt idx="12">
                  <c:v>121.9232778531174</c:v>
                </c:pt>
                <c:pt idx="13">
                  <c:v>137.73104312742694</c:v>
                </c:pt>
                <c:pt idx="14">
                  <c:v>153.49516770691636</c:v>
                </c:pt>
                <c:pt idx="15">
                  <c:v>169.22076873606747</c:v>
                </c:pt>
                <c:pt idx="16">
                  <c:v>184.91193253803269</c:v>
                </c:pt>
                <c:pt idx="17">
                  <c:v>135.75757775923535</c:v>
                </c:pt>
                <c:pt idx="18">
                  <c:v>151.52685252328283</c:v>
                </c:pt>
                <c:pt idx="19">
                  <c:v>167.25702755094335</c:v>
                </c:pt>
                <c:pt idx="20">
                  <c:v>182.95230030612535</c:v>
                </c:pt>
                <c:pt idx="21">
                  <c:v>198.6160880113396</c:v>
                </c:pt>
                <c:pt idx="22">
                  <c:v>214.25122416862826</c:v>
                </c:pt>
                <c:pt idx="23">
                  <c:v>229.86009453547467</c:v>
                </c:pt>
                <c:pt idx="24">
                  <c:v>245.44473414197429</c:v>
                </c:pt>
                <c:pt idx="25">
                  <c:v>261.00689832879794</c:v>
                </c:pt>
                <c:pt idx="26">
                  <c:v>195.09432683335652</c:v>
                </c:pt>
                <c:pt idx="27">
                  <c:v>209.17279362452265</c:v>
                </c:pt>
                <c:pt idx="28">
                  <c:v>223.22939635788296</c:v>
                </c:pt>
                <c:pt idx="29">
                  <c:v>237.26570616105383</c:v>
                </c:pt>
                <c:pt idx="30">
                  <c:v>251.28309296155342</c:v>
                </c:pt>
                <c:pt idx="31">
                  <c:v>265.28276128060071</c:v>
                </c:pt>
                <c:pt idx="32">
                  <c:v>279.26577806642058</c:v>
                </c:pt>
                <c:pt idx="33">
                  <c:v>293.23309465560823</c:v>
                </c:pt>
                <c:pt idx="34">
                  <c:v>307.18556432776847</c:v>
                </c:pt>
                <c:pt idx="35">
                  <c:v>321.12395650175063</c:v>
                </c:pt>
                <c:pt idx="36">
                  <c:v>334.46901818776297</c:v>
                </c:pt>
                <c:pt idx="37">
                  <c:v>347.80235114634814</c:v>
                </c:pt>
                <c:pt idx="38">
                  <c:v>361.12446840006709</c:v>
                </c:pt>
                <c:pt idx="39">
                  <c:v>374.43584202599351</c:v>
                </c:pt>
                <c:pt idx="40">
                  <c:v>387.73690779386089</c:v>
                </c:pt>
                <c:pt idx="41">
                  <c:v>401.0280691344401</c:v>
                </c:pt>
                <c:pt idx="42">
                  <c:v>414.30970055430674</c:v>
                </c:pt>
                <c:pt idx="43">
                  <c:v>427.58215058986383</c:v>
                </c:pt>
                <c:pt idx="44">
                  <c:v>440.84574437544444</c:v>
                </c:pt>
                <c:pt idx="45">
                  <c:v>454.10078588624373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8.2495720572010267</c:v>
                </c:pt>
                <c:pt idx="2">
                  <c:v>16.133819579261157</c:v>
                </c:pt>
                <c:pt idx="3">
                  <c:v>23.900085614615278</c:v>
                </c:pt>
                <c:pt idx="4">
                  <c:v>31.593625116437437</c:v>
                </c:pt>
                <c:pt idx="5">
                  <c:v>39.234949113061596</c:v>
                </c:pt>
                <c:pt idx="6">
                  <c:v>46.835757951408759</c:v>
                </c:pt>
                <c:pt idx="7">
                  <c:v>54.403594392738398</c:v>
                </c:pt>
                <c:pt idx="8">
                  <c:v>61.943712268055812</c:v>
                </c:pt>
                <c:pt idx="9">
                  <c:v>69.459973209983957</c:v>
                </c:pt>
                <c:pt idx="10">
                  <c:v>76.955330367633749</c:v>
                </c:pt>
                <c:pt idx="11">
                  <c:v>84.432112082124647</c:v>
                </c:pt>
                <c:pt idx="12">
                  <c:v>91.892199078738614</c:v>
                </c:pt>
                <c:pt idx="13">
                  <c:v>99.337140754062034</c:v>
                </c:pt>
                <c:pt idx="14">
                  <c:v>106.76823459509946</c:v>
                </c:pt>
                <c:pt idx="15">
                  <c:v>114.18658223046437</c:v>
                </c:pt>
                <c:pt idx="16">
                  <c:v>121.59313009505951</c:v>
                </c:pt>
                <c:pt idx="17">
                  <c:v>128.98869963284082</c:v>
                </c:pt>
                <c:pt idx="18">
                  <c:v>136.37401018800827</c:v>
                </c:pt>
                <c:pt idx="19">
                  <c:v>143.74969666342838</c:v>
                </c:pt>
                <c:pt idx="20">
                  <c:v>151.11632335543996</c:v>
                </c:pt>
                <c:pt idx="21">
                  <c:v>158.47439494306636</c:v>
                </c:pt>
                <c:pt idx="22">
                  <c:v>165.82436532473767</c:v>
                </c:pt>
                <c:pt idx="23">
                  <c:v>173.16664480291874</c:v>
                </c:pt>
                <c:pt idx="24">
                  <c:v>180.50160598397994</c:v>
                </c:pt>
                <c:pt idx="25">
                  <c:v>187.82958866704811</c:v>
                </c:pt>
                <c:pt idx="26">
                  <c:v>195.15090392862251</c:v>
                </c:pt>
                <c:pt idx="27">
                  <c:v>202.46583756111386</c:v>
                </c:pt>
                <c:pt idx="28">
                  <c:v>209.77465298764864</c:v>
                </c:pt>
                <c:pt idx="29">
                  <c:v>217.07759374877261</c:v>
                </c:pt>
                <c:pt idx="30">
                  <c:v>224.37488563652371</c:v>
                </c:pt>
                <c:pt idx="31">
                  <c:v>231.66673853596896</c:v>
                </c:pt>
                <c:pt idx="32">
                  <c:v>238.95334802244869</c:v>
                </c:pt>
                <c:pt idx="33">
                  <c:v>246.23489675355663</c:v>
                </c:pt>
                <c:pt idx="34">
                  <c:v>253.51155568765446</c:v>
                </c:pt>
                <c:pt idx="35">
                  <c:v>260.78348515500346</c:v>
                </c:pt>
                <c:pt idx="36">
                  <c:v>268.05083580304057</c:v>
                </c:pt>
                <c:pt idx="37">
                  <c:v>275.31374943367024</c:v>
                </c:pt>
                <c:pt idx="38">
                  <c:v>282.57235974749392</c:v>
                </c:pt>
                <c:pt idx="39">
                  <c:v>170.4100698683616</c:v>
                </c:pt>
                <c:pt idx="40">
                  <c:v>188.32420554709984</c:v>
                </c:pt>
                <c:pt idx="41">
                  <c:v>206.19860320541252</c:v>
                </c:pt>
                <c:pt idx="42">
                  <c:v>224.03719307394181</c:v>
                </c:pt>
                <c:pt idx="43">
                  <c:v>241.84322775043177</c:v>
                </c:pt>
                <c:pt idx="44">
                  <c:v>259.61944142042347</c:v>
                </c:pt>
                <c:pt idx="45">
                  <c:v>277.36816309106553</c:v>
                </c:pt>
                <c:pt idx="46">
                  <c:v>219.94994967083639</c:v>
                </c:pt>
                <c:pt idx="47">
                  <c:v>238.10519752413538</c:v>
                </c:pt>
                <c:pt idx="48">
                  <c:v>256.2289074429695</c:v>
                </c:pt>
                <c:pt idx="49">
                  <c:v>274.32362386659025</c:v>
                </c:pt>
                <c:pt idx="50">
                  <c:v>292.39152804272351</c:v>
                </c:pt>
                <c:pt idx="51">
                  <c:v>310.43450958609014</c:v>
                </c:pt>
                <c:pt idx="52">
                  <c:v>328.45422051154276</c:v>
                </c:pt>
                <c:pt idx="53">
                  <c:v>266.16234602447281</c:v>
                </c:pt>
                <c:pt idx="54">
                  <c:v>284.02790936206947</c:v>
                </c:pt>
                <c:pt idx="55">
                  <c:v>301.86831529742778</c:v>
                </c:pt>
                <c:pt idx="56">
                  <c:v>319.68525953497095</c:v>
                </c:pt>
                <c:pt idx="57">
                  <c:v>337.48023333549128</c:v>
                </c:pt>
                <c:pt idx="58">
                  <c:v>355.25455787105739</c:v>
                </c:pt>
                <c:pt idx="59">
                  <c:v>373.00941134159552</c:v>
                </c:pt>
                <c:pt idx="60">
                  <c:v>315.34449042941878</c:v>
                </c:pt>
                <c:pt idx="61">
                  <c:v>332.91004220477868</c:v>
                </c:pt>
                <c:pt idx="62">
                  <c:v>350.4551698549281</c:v>
                </c:pt>
                <c:pt idx="63">
                  <c:v>367.98103949452519</c:v>
                </c:pt>
                <c:pt idx="64">
                  <c:v>385.48869711777388</c:v>
                </c:pt>
                <c:pt idx="65">
                  <c:v>402.97908597864506</c:v>
                </c:pt>
                <c:pt idx="66">
                  <c:v>420.45306079581343</c:v>
                </c:pt>
                <c:pt idx="67">
                  <c:v>437.91139947290179</c:v>
                </c:pt>
                <c:pt idx="68">
                  <c:v>378.96297985890374</c:v>
                </c:pt>
                <c:pt idx="69">
                  <c:v>396.28710635232864</c:v>
                </c:pt>
                <c:pt idx="70">
                  <c:v>413.59483010094073</c:v>
                </c:pt>
                <c:pt idx="71">
                  <c:v>430.88693386402377</c:v>
                </c:pt>
                <c:pt idx="72">
                  <c:v>448.16413247204702</c:v>
                </c:pt>
                <c:pt idx="73">
                  <c:v>465.42708116709701</c:v>
                </c:pt>
                <c:pt idx="74">
                  <c:v>482.67638264163298</c:v>
                </c:pt>
                <c:pt idx="75">
                  <c:v>499.91259301889454</c:v>
                </c:pt>
                <c:pt idx="76">
                  <c:v>439.09905464709169</c:v>
                </c:pt>
                <c:pt idx="77">
                  <c:v>456.06100860736206</c:v>
                </c:pt>
                <c:pt idx="78">
                  <c:v>473.00948917131035</c:v>
                </c:pt>
                <c:pt idx="79">
                  <c:v>489.9450468511177</c:v>
                </c:pt>
                <c:pt idx="80">
                  <c:v>506.8681910147418</c:v>
                </c:pt>
                <c:pt idx="81">
                  <c:v>523.77939426026512</c:v>
                </c:pt>
                <c:pt idx="82">
                  <c:v>540.67909619610953</c:v>
                </c:pt>
                <c:pt idx="83">
                  <c:v>557.56770672422044</c:v>
                </c:pt>
                <c:pt idx="84">
                  <c:v>484.99805347147782</c:v>
                </c:pt>
                <c:pt idx="85">
                  <c:v>501.55054199400428</c:v>
                </c:pt>
                <c:pt idx="86">
                  <c:v>518.09147358511962</c:v>
                </c:pt>
                <c:pt idx="87">
                  <c:v>534.62126898701604</c:v>
                </c:pt>
                <c:pt idx="88">
                  <c:v>551.1403208164603</c:v>
                </c:pt>
                <c:pt idx="89">
                  <c:v>567.64899624888005</c:v>
                </c:pt>
                <c:pt idx="90">
                  <c:v>584.14763937411203</c:v>
                </c:pt>
                <c:pt idx="91">
                  <c:v>600.63657327230317</c:v>
                </c:pt>
                <c:pt idx="92">
                  <c:v>617.11610185012967</c:v>
                </c:pt>
                <c:pt idx="93">
                  <c:v>633.5865114707932</c:v>
                </c:pt>
                <c:pt idx="94">
                  <c:v>529.6014571165091</c:v>
                </c:pt>
                <c:pt idx="95">
                  <c:v>545.63395342132344</c:v>
                </c:pt>
                <c:pt idx="96">
                  <c:v>561.65656694614302</c:v>
                </c:pt>
                <c:pt idx="97">
                  <c:v>577.66961917292508</c:v>
                </c:pt>
                <c:pt idx="98">
                  <c:v>593.6734123175587</c:v>
                </c:pt>
                <c:pt idx="99">
                  <c:v>609.66823098338625</c:v>
                </c:pt>
                <c:pt idx="100">
                  <c:v>625.65434363227575</c:v>
                </c:pt>
                <c:pt idx="101">
                  <c:v>641.63200389761744</c:v>
                </c:pt>
                <c:pt idx="102">
                  <c:v>657.60145175981881</c:v>
                </c:pt>
                <c:pt idx="103">
                  <c:v>673.5629146017551</c:v>
                </c:pt>
                <c:pt idx="104">
                  <c:v>568.75229866390896</c:v>
                </c:pt>
                <c:pt idx="105">
                  <c:v>584.32548802613439</c:v>
                </c:pt>
                <c:pt idx="106">
                  <c:v>599.89002960620599</c:v>
                </c:pt>
                <c:pt idx="107">
                  <c:v>615.44617925023749</c:v>
                </c:pt>
                <c:pt idx="108">
                  <c:v>630.99417882402452</c:v>
                </c:pt>
                <c:pt idx="109">
                  <c:v>646.53425730973026</c:v>
                </c:pt>
                <c:pt idx="110">
                  <c:v>662.06663179171994</c:v>
                </c:pt>
                <c:pt idx="111">
                  <c:v>677.59150834513196</c:v>
                </c:pt>
                <c:pt idx="112">
                  <c:v>693.10908283883725</c:v>
                </c:pt>
                <c:pt idx="113">
                  <c:v>708.61954166280714</c:v>
                </c:pt>
                <c:pt idx="114">
                  <c:v>602.21847114543061</c:v>
                </c:pt>
                <c:pt idx="115">
                  <c:v>617.68101189381935</c:v>
                </c:pt>
                <c:pt idx="116">
                  <c:v>633.13553239754788</c:v>
                </c:pt>
                <c:pt idx="117">
                  <c:v>648.5822558799963</c:v>
                </c:pt>
                <c:pt idx="118">
                  <c:v>664.02139407201662</c:v>
                </c:pt>
                <c:pt idx="119">
                  <c:v>679.45314806257602</c:v>
                </c:pt>
                <c:pt idx="120">
                  <c:v>694.87770906815604</c:v>
                </c:pt>
                <c:pt idx="121">
                  <c:v>710.29525913033433</c:v>
                </c:pt>
                <c:pt idx="122">
                  <c:v>725.70597174969953</c:v>
                </c:pt>
                <c:pt idx="123">
                  <c:v>741.11001246316494</c:v>
                </c:pt>
                <c:pt idx="124">
                  <c:v>386.90164919070207</c:v>
                </c:pt>
                <c:pt idx="125">
                  <c:v>395.60118651702874</c:v>
                </c:pt>
                <c:pt idx="126">
                  <c:v>274.4850370001177</c:v>
                </c:pt>
                <c:pt idx="127">
                  <c:v>280.49455518990766</c:v>
                </c:pt>
                <c:pt idx="128">
                  <c:v>201.4263837161044</c:v>
                </c:pt>
                <c:pt idx="129">
                  <c:v>205.86152954022387</c:v>
                </c:pt>
                <c:pt idx="130">
                  <c:v>210.29446655679297</c:v>
                </c:pt>
                <c:pt idx="131">
                  <c:v>5.5313716144998842E-12</c:v>
                </c:pt>
                <c:pt idx="132">
                  <c:v>5.5313716144998842E-12</c:v>
                </c:pt>
                <c:pt idx="133">
                  <c:v>5.5313716144998842E-12</c:v>
                </c:pt>
                <c:pt idx="134">
                  <c:v>5.5313716144998842E-12</c:v>
                </c:pt>
                <c:pt idx="135">
                  <c:v>5.5313716144998842E-12</c:v>
                </c:pt>
                <c:pt idx="136">
                  <c:v>5.5313716144998842E-12</c:v>
                </c:pt>
                <c:pt idx="137">
                  <c:v>5.5313716144998842E-12</c:v>
                </c:pt>
                <c:pt idx="138">
                  <c:v>5.5313716144998842E-12</c:v>
                </c:pt>
                <c:pt idx="139">
                  <c:v>5.5313716144998842E-12</c:v>
                </c:pt>
                <c:pt idx="140">
                  <c:v>5.5313716144998842E-12</c:v>
                </c:pt>
                <c:pt idx="141">
                  <c:v>5.5313716144998842E-12</c:v>
                </c:pt>
                <c:pt idx="142">
                  <c:v>5.5313716144998842E-12</c:v>
                </c:pt>
                <c:pt idx="143">
                  <c:v>5.5313716144998842E-12</c:v>
                </c:pt>
                <c:pt idx="144">
                  <c:v>5.5313716144998842E-12</c:v>
                </c:pt>
                <c:pt idx="145">
                  <c:v>5.5313716144998842E-12</c:v>
                </c:pt>
                <c:pt idx="146">
                  <c:v>5.5313716144998842E-12</c:v>
                </c:pt>
                <c:pt idx="147">
                  <c:v>5.5313716144998842E-12</c:v>
                </c:pt>
                <c:pt idx="148">
                  <c:v>5.5313716144998842E-12</c:v>
                </c:pt>
                <c:pt idx="149">
                  <c:v>5.5313716144998842E-12</c:v>
                </c:pt>
                <c:pt idx="150">
                  <c:v>5.5313716144998842E-12</c:v>
                </c:pt>
                <c:pt idx="151">
                  <c:v>5.5313716144998842E-12</c:v>
                </c:pt>
                <c:pt idx="152">
                  <c:v>5.5313716144998842E-12</c:v>
                </c:pt>
                <c:pt idx="153">
                  <c:v>5.5313716144998842E-12</c:v>
                </c:pt>
                <c:pt idx="154">
                  <c:v>5.5313716144998842E-12</c:v>
                </c:pt>
                <c:pt idx="155">
                  <c:v>5.5313716144998842E-12</c:v>
                </c:pt>
                <c:pt idx="156">
                  <c:v>5.5313716144998842E-12</c:v>
                </c:pt>
                <c:pt idx="157">
                  <c:v>5.5313716144998842E-12</c:v>
                </c:pt>
                <c:pt idx="158">
                  <c:v>5.5313716144998842E-12</c:v>
                </c:pt>
                <c:pt idx="159">
                  <c:v>5.5313716144998842E-12</c:v>
                </c:pt>
                <c:pt idx="160">
                  <c:v>5.5313716144998842E-12</c:v>
                </c:pt>
                <c:pt idx="161">
                  <c:v>5.5313716144998842E-12</c:v>
                </c:pt>
                <c:pt idx="162">
                  <c:v>5.5313716144998842E-12</c:v>
                </c:pt>
                <c:pt idx="163">
                  <c:v>5.5313716144998842E-12</c:v>
                </c:pt>
                <c:pt idx="164">
                  <c:v>5.5313716144998842E-12</c:v>
                </c:pt>
                <c:pt idx="165">
                  <c:v>5.5313716144998842E-12</c:v>
                </c:pt>
                <c:pt idx="166">
                  <c:v>5.5313716144998842E-12</c:v>
                </c:pt>
                <c:pt idx="167">
                  <c:v>5.5313716144998842E-12</c:v>
                </c:pt>
                <c:pt idx="168">
                  <c:v>5.5313716144998842E-12</c:v>
                </c:pt>
                <c:pt idx="169">
                  <c:v>5.5313716144998842E-12</c:v>
                </c:pt>
                <c:pt idx="170">
                  <c:v>5.5313716144998842E-12</c:v>
                </c:pt>
                <c:pt idx="171">
                  <c:v>5.5313716144998842E-12</c:v>
                </c:pt>
                <c:pt idx="172">
                  <c:v>5.5313716144998842E-12</c:v>
                </c:pt>
                <c:pt idx="173">
                  <c:v>5.5313716144998842E-12</c:v>
                </c:pt>
                <c:pt idx="174">
                  <c:v>5.5313716144998842E-12</c:v>
                </c:pt>
                <c:pt idx="175">
                  <c:v>5.5313716144998842E-12</c:v>
                </c:pt>
                <c:pt idx="176">
                  <c:v>5.5313716144998842E-12</c:v>
                </c:pt>
                <c:pt idx="177">
                  <c:v>5.5313716144998842E-12</c:v>
                </c:pt>
                <c:pt idx="178">
                  <c:v>5.5313716144998842E-12</c:v>
                </c:pt>
                <c:pt idx="179">
                  <c:v>5.5313716144998842E-12</c:v>
                </c:pt>
                <c:pt idx="180">
                  <c:v>5.5313716144998842E-12</c:v>
                </c:pt>
                <c:pt idx="181">
                  <c:v>5.5313716144998842E-12</c:v>
                </c:pt>
                <c:pt idx="182">
                  <c:v>5.5313716144998842E-12</c:v>
                </c:pt>
                <c:pt idx="183">
                  <c:v>5.5313716144998842E-12</c:v>
                </c:pt>
                <c:pt idx="184">
                  <c:v>5.5313716144998842E-12</c:v>
                </c:pt>
                <c:pt idx="185">
                  <c:v>5.5313716144998842E-12</c:v>
                </c:pt>
                <c:pt idx="186">
                  <c:v>5.5313716144998842E-12</c:v>
                </c:pt>
                <c:pt idx="187">
                  <c:v>5.5313716144998842E-12</c:v>
                </c:pt>
                <c:pt idx="188">
                  <c:v>5.5313716144998842E-12</c:v>
                </c:pt>
                <c:pt idx="189">
                  <c:v>5.5313716144998842E-12</c:v>
                </c:pt>
                <c:pt idx="190">
                  <c:v>5.5313716144998842E-12</c:v>
                </c:pt>
                <c:pt idx="191">
                  <c:v>5.5313716144998842E-12</c:v>
                </c:pt>
                <c:pt idx="192">
                  <c:v>5.5313716144998842E-12</c:v>
                </c:pt>
                <c:pt idx="193">
                  <c:v>5.5313716144998842E-12</c:v>
                </c:pt>
                <c:pt idx="194">
                  <c:v>5.5313716144998842E-12</c:v>
                </c:pt>
                <c:pt idx="195">
                  <c:v>5.5313716144998842E-12</c:v>
                </c:pt>
                <c:pt idx="196">
                  <c:v>5.5313716144998842E-12</c:v>
                </c:pt>
                <c:pt idx="197">
                  <c:v>5.5313716144998842E-12</c:v>
                </c:pt>
                <c:pt idx="198">
                  <c:v>5.5313716144998842E-12</c:v>
                </c:pt>
                <c:pt idx="199">
                  <c:v>5.5313716144998842E-12</c:v>
                </c:pt>
                <c:pt idx="200">
                  <c:v>5.5313716144998842E-12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1.5093008990472505</c:v>
                </c:pt>
                <c:pt idx="2">
                  <c:v>1.9102657346677294</c:v>
                </c:pt>
                <c:pt idx="3">
                  <c:v>2.4181815583182158</c:v>
                </c:pt>
                <c:pt idx="4">
                  <c:v>3.0616842499622305</c:v>
                </c:pt>
                <c:pt idx="5">
                  <c:v>3.8771041246755922</c:v>
                </c:pt>
                <c:pt idx="6">
                  <c:v>4.9105402415054797</c:v>
                </c:pt>
                <c:pt idx="7">
                  <c:v>6.220495617839382</c:v>
                </c:pt>
                <c:pt idx="8">
                  <c:v>7.8812254446353647</c:v>
                </c:pt>
                <c:pt idx="9">
                  <c:v>9.9869917449995587</c:v>
                </c:pt>
                <c:pt idx="10">
                  <c:v>12.657470531886466</c:v>
                </c:pt>
                <c:pt idx="11">
                  <c:v>16.044624476308904</c:v>
                </c:pt>
                <c:pt idx="12">
                  <c:v>20.341439313048326</c:v>
                </c:pt>
                <c:pt idx="13">
                  <c:v>25.793030676213846</c:v>
                </c:pt>
                <c:pt idx="14">
                  <c:v>32.710766127824549</c:v>
                </c:pt>
                <c:pt idx="15">
                  <c:v>41.490222915083841</c:v>
                </c:pt>
                <c:pt idx="16">
                  <c:v>52.634025780230495</c:v>
                </c:pt>
                <c:pt idx="17">
                  <c:v>66.780894091179931</c:v>
                </c:pt>
                <c:pt idx="18">
                  <c:v>84.74259040398988</c:v>
                </c:pt>
                <c:pt idx="19">
                  <c:v>107.55092464266761</c:v>
                </c:pt>
                <c:pt idx="20">
                  <c:v>136.51755657253418</c:v>
                </c:pt>
                <c:pt idx="21">
                  <c:v>154.15679349366337</c:v>
                </c:pt>
                <c:pt idx="22">
                  <c:v>176.68152779380705</c:v>
                </c:pt>
                <c:pt idx="23">
                  <c:v>199.1388306323968</c:v>
                </c:pt>
                <c:pt idx="24">
                  <c:v>221.53737985390853</c:v>
                </c:pt>
                <c:pt idx="25">
                  <c:v>243.88395184679962</c:v>
                </c:pt>
                <c:pt idx="26">
                  <c:v>207.20082715139426</c:v>
                </c:pt>
                <c:pt idx="27">
                  <c:v>232.32474820860648</c:v>
                </c:pt>
                <c:pt idx="28">
                  <c:v>257.38659362199536</c:v>
                </c:pt>
                <c:pt idx="29">
                  <c:v>282.39325603686751</c:v>
                </c:pt>
                <c:pt idx="30">
                  <c:v>307.35030678001294</c:v>
                </c:pt>
                <c:pt idx="31">
                  <c:v>271.45924852820457</c:v>
                </c:pt>
                <c:pt idx="32">
                  <c:v>297.02223266023503</c:v>
                </c:pt>
                <c:pt idx="33">
                  <c:v>322.5361740497587</c:v>
                </c:pt>
                <c:pt idx="34">
                  <c:v>348.00549483018614</c:v>
                </c:pt>
                <c:pt idx="35">
                  <c:v>373.43391710699689</c:v>
                </c:pt>
                <c:pt idx="36">
                  <c:v>336.92865492077652</c:v>
                </c:pt>
                <c:pt idx="37">
                  <c:v>361.59807630812139</c:v>
                </c:pt>
                <c:pt idx="38">
                  <c:v>386.23071170216326</c:v>
                </c:pt>
                <c:pt idx="39">
                  <c:v>410.82923504300203</c:v>
                </c:pt>
                <c:pt idx="40">
                  <c:v>435.39597412497301</c:v>
                </c:pt>
                <c:pt idx="41">
                  <c:v>397.85616269645362</c:v>
                </c:pt>
                <c:pt idx="42">
                  <c:v>421.27869468013211</c:v>
                </c:pt>
                <c:pt idx="43">
                  <c:v>444.67319409434754</c:v>
                </c:pt>
                <c:pt idx="44">
                  <c:v>468.04134184188757</c:v>
                </c:pt>
                <c:pt idx="45">
                  <c:v>491.38463741771301</c:v>
                </c:pt>
                <c:pt idx="46">
                  <c:v>452.59420012985476</c:v>
                </c:pt>
                <c:pt idx="47">
                  <c:v>474.6030648008566</c:v>
                </c:pt>
                <c:pt idx="48">
                  <c:v>496.59021928534315</c:v>
                </c:pt>
                <c:pt idx="49">
                  <c:v>518.55675921408385</c:v>
                </c:pt>
                <c:pt idx="50">
                  <c:v>540.50367990210282</c:v>
                </c:pt>
                <c:pt idx="51">
                  <c:v>500.63820532506929</c:v>
                </c:pt>
                <c:pt idx="52">
                  <c:v>521.44561244593308</c:v>
                </c:pt>
                <c:pt idx="53">
                  <c:v>542.23552329497863</c:v>
                </c:pt>
                <c:pt idx="54">
                  <c:v>563.00870251947458</c:v>
                </c:pt>
                <c:pt idx="55">
                  <c:v>583.76585378849575</c:v>
                </c:pt>
                <c:pt idx="56">
                  <c:v>545.31406945675087</c:v>
                </c:pt>
                <c:pt idx="57">
                  <c:v>564.54681065591546</c:v>
                </c:pt>
                <c:pt idx="58">
                  <c:v>583.76585378849575</c:v>
                </c:pt>
                <c:pt idx="59">
                  <c:v>602.97171294385669</c:v>
                </c:pt>
                <c:pt idx="60">
                  <c:v>622.16486681909942</c:v>
                </c:pt>
                <c:pt idx="61">
                  <c:v>589.14480208570035</c:v>
                </c:pt>
                <c:pt idx="62">
                  <c:v>607.00331375643771</c:v>
                </c:pt>
                <c:pt idx="63">
                  <c:v>624.85092027912231</c:v>
                </c:pt>
                <c:pt idx="64">
                  <c:v>642.68797675190865</c:v>
                </c:pt>
                <c:pt idx="65">
                  <c:v>660.51481697136512</c:v>
                </c:pt>
                <c:pt idx="66">
                  <c:v>630.98957529795632</c:v>
                </c:pt>
                <c:pt idx="67">
                  <c:v>647.48112872528384</c:v>
                </c:pt>
                <c:pt idx="68">
                  <c:v>663.96401997733824</c:v>
                </c:pt>
                <c:pt idx="69">
                  <c:v>680.43849421703828</c:v>
                </c:pt>
                <c:pt idx="70">
                  <c:v>696.90478377722411</c:v>
                </c:pt>
                <c:pt idx="71">
                  <c:v>668.94555178150802</c:v>
                </c:pt>
                <c:pt idx="72">
                  <c:v>684.07709187244848</c:v>
                </c:pt>
                <c:pt idx="73">
                  <c:v>699.20176751260624</c:v>
                </c:pt>
                <c:pt idx="74">
                  <c:v>714.31974800079058</c:v>
                </c:pt>
                <c:pt idx="75">
                  <c:v>729.43119489080084</c:v>
                </c:pt>
                <c:pt idx="76">
                  <c:v>702.26417231534117</c:v>
                </c:pt>
                <c:pt idx="77">
                  <c:v>716.23294728214194</c:v>
                </c:pt>
                <c:pt idx="78">
                  <c:v>730.1961604952329</c:v>
                </c:pt>
                <c:pt idx="79">
                  <c:v>744.15393322141017</c:v>
                </c:pt>
                <c:pt idx="80">
                  <c:v>758.10638181075626</c:v>
                </c:pt>
                <c:pt idx="81">
                  <c:v>1.551466483807844E-12</c:v>
                </c:pt>
                <c:pt idx="82">
                  <c:v>1.551466483807844E-12</c:v>
                </c:pt>
                <c:pt idx="83">
                  <c:v>1.551466483807844E-12</c:v>
                </c:pt>
                <c:pt idx="84">
                  <c:v>1.551466483807844E-12</c:v>
                </c:pt>
                <c:pt idx="85">
                  <c:v>1.551466483807844E-12</c:v>
                </c:pt>
                <c:pt idx="86">
                  <c:v>1.551466483807844E-12</c:v>
                </c:pt>
                <c:pt idx="87">
                  <c:v>1.551466483807844E-12</c:v>
                </c:pt>
                <c:pt idx="88">
                  <c:v>1.551466483807844E-12</c:v>
                </c:pt>
                <c:pt idx="89">
                  <c:v>1.551466483807844E-12</c:v>
                </c:pt>
                <c:pt idx="90">
                  <c:v>1.551466483807844E-12</c:v>
                </c:pt>
                <c:pt idx="91">
                  <c:v>1.551466483807844E-12</c:v>
                </c:pt>
                <c:pt idx="92">
                  <c:v>1.551466483807844E-12</c:v>
                </c:pt>
                <c:pt idx="93">
                  <c:v>1.551466483807844E-12</c:v>
                </c:pt>
                <c:pt idx="94">
                  <c:v>1.551466483807844E-12</c:v>
                </c:pt>
                <c:pt idx="95">
                  <c:v>1.551466483807844E-12</c:v>
                </c:pt>
                <c:pt idx="96">
                  <c:v>1.551466483807844E-12</c:v>
                </c:pt>
                <c:pt idx="97">
                  <c:v>1.551466483807844E-12</c:v>
                </c:pt>
                <c:pt idx="98">
                  <c:v>1.551466483807844E-12</c:v>
                </c:pt>
                <c:pt idx="99">
                  <c:v>1.551466483807844E-12</c:v>
                </c:pt>
                <c:pt idx="100">
                  <c:v>1.551466483807844E-12</c:v>
                </c:pt>
                <c:pt idx="101">
                  <c:v>1.551466483807844E-12</c:v>
                </c:pt>
                <c:pt idx="102">
                  <c:v>1.551466483807844E-12</c:v>
                </c:pt>
                <c:pt idx="103">
                  <c:v>1.551466483807844E-12</c:v>
                </c:pt>
                <c:pt idx="104">
                  <c:v>1.551466483807844E-12</c:v>
                </c:pt>
                <c:pt idx="105">
                  <c:v>1.551466483807844E-12</c:v>
                </c:pt>
                <c:pt idx="106">
                  <c:v>1.551466483807844E-12</c:v>
                </c:pt>
                <c:pt idx="107">
                  <c:v>1.551466483807844E-12</c:v>
                </c:pt>
                <c:pt idx="108">
                  <c:v>1.551466483807844E-12</c:v>
                </c:pt>
                <c:pt idx="109">
                  <c:v>1.551466483807844E-12</c:v>
                </c:pt>
                <c:pt idx="110">
                  <c:v>1.551466483807844E-12</c:v>
                </c:pt>
                <c:pt idx="111">
                  <c:v>1.551466483807844E-12</c:v>
                </c:pt>
                <c:pt idx="112">
                  <c:v>1.551466483807844E-12</c:v>
                </c:pt>
                <c:pt idx="113">
                  <c:v>1.551466483807844E-12</c:v>
                </c:pt>
                <c:pt idx="114">
                  <c:v>1.551466483807844E-12</c:v>
                </c:pt>
                <c:pt idx="115">
                  <c:v>1.551466483807844E-12</c:v>
                </c:pt>
                <c:pt idx="116">
                  <c:v>1.551466483807844E-12</c:v>
                </c:pt>
                <c:pt idx="117">
                  <c:v>1.551466483807844E-12</c:v>
                </c:pt>
                <c:pt idx="118">
                  <c:v>1.551466483807844E-12</c:v>
                </c:pt>
                <c:pt idx="119">
                  <c:v>1.551466483807844E-12</c:v>
                </c:pt>
                <c:pt idx="120">
                  <c:v>1.551466483807844E-12</c:v>
                </c:pt>
                <c:pt idx="121">
                  <c:v>1.551466483807844E-12</c:v>
                </c:pt>
                <c:pt idx="122">
                  <c:v>1.551466483807844E-12</c:v>
                </c:pt>
                <c:pt idx="123">
                  <c:v>1.551466483807844E-12</c:v>
                </c:pt>
                <c:pt idx="124">
                  <c:v>1.551466483807844E-12</c:v>
                </c:pt>
                <c:pt idx="125">
                  <c:v>1.551466483807844E-12</c:v>
                </c:pt>
                <c:pt idx="126">
                  <c:v>1.551466483807844E-12</c:v>
                </c:pt>
                <c:pt idx="127">
                  <c:v>1.551466483807844E-12</c:v>
                </c:pt>
                <c:pt idx="128">
                  <c:v>1.551466483807844E-12</c:v>
                </c:pt>
                <c:pt idx="129">
                  <c:v>1.551466483807844E-12</c:v>
                </c:pt>
                <c:pt idx="130">
                  <c:v>1.551466483807844E-12</c:v>
                </c:pt>
                <c:pt idx="131">
                  <c:v>1.551466483807844E-12</c:v>
                </c:pt>
                <c:pt idx="132">
                  <c:v>1.551466483807844E-12</c:v>
                </c:pt>
                <c:pt idx="133">
                  <c:v>1.551466483807844E-12</c:v>
                </c:pt>
                <c:pt idx="134">
                  <c:v>1.551466483807844E-12</c:v>
                </c:pt>
                <c:pt idx="135">
                  <c:v>1.551466483807844E-12</c:v>
                </c:pt>
                <c:pt idx="136">
                  <c:v>1.551466483807844E-12</c:v>
                </c:pt>
                <c:pt idx="137">
                  <c:v>1.551466483807844E-12</c:v>
                </c:pt>
                <c:pt idx="138">
                  <c:v>1.551466483807844E-12</c:v>
                </c:pt>
                <c:pt idx="139">
                  <c:v>1.551466483807844E-12</c:v>
                </c:pt>
                <c:pt idx="140">
                  <c:v>1.551466483807844E-12</c:v>
                </c:pt>
                <c:pt idx="141">
                  <c:v>1.551466483807844E-12</c:v>
                </c:pt>
                <c:pt idx="142">
                  <c:v>1.551466483807844E-12</c:v>
                </c:pt>
                <c:pt idx="143">
                  <c:v>1.551466483807844E-12</c:v>
                </c:pt>
                <c:pt idx="144">
                  <c:v>1.551466483807844E-12</c:v>
                </c:pt>
                <c:pt idx="145">
                  <c:v>1.551466483807844E-12</c:v>
                </c:pt>
                <c:pt idx="146">
                  <c:v>1.551466483807844E-12</c:v>
                </c:pt>
                <c:pt idx="147">
                  <c:v>1.551466483807844E-12</c:v>
                </c:pt>
                <c:pt idx="148">
                  <c:v>1.551466483807844E-12</c:v>
                </c:pt>
                <c:pt idx="149">
                  <c:v>1.551466483807844E-12</c:v>
                </c:pt>
                <c:pt idx="150">
                  <c:v>1.551466483807844E-12</c:v>
                </c:pt>
                <c:pt idx="151">
                  <c:v>1.551466483807844E-12</c:v>
                </c:pt>
                <c:pt idx="152">
                  <c:v>1.551466483807844E-12</c:v>
                </c:pt>
                <c:pt idx="153">
                  <c:v>1.551466483807844E-12</c:v>
                </c:pt>
                <c:pt idx="154">
                  <c:v>1.551466483807844E-12</c:v>
                </c:pt>
                <c:pt idx="155">
                  <c:v>1.551466483807844E-12</c:v>
                </c:pt>
                <c:pt idx="156">
                  <c:v>1.551466483807844E-12</c:v>
                </c:pt>
                <c:pt idx="157">
                  <c:v>1.551466483807844E-12</c:v>
                </c:pt>
                <c:pt idx="158">
                  <c:v>1.551466483807844E-12</c:v>
                </c:pt>
                <c:pt idx="159">
                  <c:v>1.551466483807844E-12</c:v>
                </c:pt>
                <c:pt idx="160">
                  <c:v>1.551466483807844E-12</c:v>
                </c:pt>
                <c:pt idx="161">
                  <c:v>1.551466483807844E-12</c:v>
                </c:pt>
                <c:pt idx="162">
                  <c:v>1.551466483807844E-12</c:v>
                </c:pt>
                <c:pt idx="163">
                  <c:v>1.551466483807844E-12</c:v>
                </c:pt>
                <c:pt idx="164">
                  <c:v>1.551466483807844E-12</c:v>
                </c:pt>
                <c:pt idx="165">
                  <c:v>1.551466483807844E-12</c:v>
                </c:pt>
                <c:pt idx="166">
                  <c:v>1.551466483807844E-12</c:v>
                </c:pt>
                <c:pt idx="167">
                  <c:v>1.551466483807844E-12</c:v>
                </c:pt>
                <c:pt idx="168">
                  <c:v>1.551466483807844E-12</c:v>
                </c:pt>
                <c:pt idx="169">
                  <c:v>1.551466483807844E-12</c:v>
                </c:pt>
                <c:pt idx="170">
                  <c:v>1.551466483807844E-12</c:v>
                </c:pt>
                <c:pt idx="171">
                  <c:v>1.551466483807844E-12</c:v>
                </c:pt>
                <c:pt idx="172">
                  <c:v>1.551466483807844E-12</c:v>
                </c:pt>
                <c:pt idx="173">
                  <c:v>1.551466483807844E-12</c:v>
                </c:pt>
                <c:pt idx="174">
                  <c:v>1.551466483807844E-12</c:v>
                </c:pt>
                <c:pt idx="175">
                  <c:v>1.551466483807844E-12</c:v>
                </c:pt>
                <c:pt idx="176">
                  <c:v>1.551466483807844E-12</c:v>
                </c:pt>
                <c:pt idx="177">
                  <c:v>1.551466483807844E-12</c:v>
                </c:pt>
                <c:pt idx="178">
                  <c:v>1.551466483807844E-12</c:v>
                </c:pt>
                <c:pt idx="179">
                  <c:v>1.551466483807844E-12</c:v>
                </c:pt>
                <c:pt idx="180">
                  <c:v>1.551466483807844E-12</c:v>
                </c:pt>
                <c:pt idx="181">
                  <c:v>1.551466483807844E-12</c:v>
                </c:pt>
                <c:pt idx="182">
                  <c:v>1.551466483807844E-12</c:v>
                </c:pt>
                <c:pt idx="183">
                  <c:v>1.551466483807844E-12</c:v>
                </c:pt>
                <c:pt idx="184">
                  <c:v>1.551466483807844E-12</c:v>
                </c:pt>
                <c:pt idx="185">
                  <c:v>1.551466483807844E-12</c:v>
                </c:pt>
                <c:pt idx="186">
                  <c:v>1.551466483807844E-12</c:v>
                </c:pt>
                <c:pt idx="187">
                  <c:v>1.551466483807844E-12</c:v>
                </c:pt>
                <c:pt idx="188">
                  <c:v>1.551466483807844E-12</c:v>
                </c:pt>
                <c:pt idx="189">
                  <c:v>1.551466483807844E-12</c:v>
                </c:pt>
                <c:pt idx="190">
                  <c:v>1.551466483807844E-12</c:v>
                </c:pt>
                <c:pt idx="191">
                  <c:v>1.551466483807844E-12</c:v>
                </c:pt>
                <c:pt idx="192">
                  <c:v>1.551466483807844E-12</c:v>
                </c:pt>
                <c:pt idx="193">
                  <c:v>1.551466483807844E-12</c:v>
                </c:pt>
                <c:pt idx="194">
                  <c:v>1.551466483807844E-12</c:v>
                </c:pt>
                <c:pt idx="195">
                  <c:v>1.551466483807844E-12</c:v>
                </c:pt>
                <c:pt idx="196">
                  <c:v>1.551466483807844E-12</c:v>
                </c:pt>
                <c:pt idx="197">
                  <c:v>1.551466483807844E-12</c:v>
                </c:pt>
                <c:pt idx="198">
                  <c:v>1.551466483807844E-12</c:v>
                </c:pt>
                <c:pt idx="199">
                  <c:v>1.551466483807844E-12</c:v>
                </c:pt>
                <c:pt idx="200">
                  <c:v>1.551466483807844E-12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86.433815414014191</c:v>
                </c:pt>
                <c:pt idx="12">
                  <c:v>99.349540078518643</c:v>
                </c:pt>
                <c:pt idx="13">
                  <c:v>112.22355692777835</c:v>
                </c:pt>
                <c:pt idx="14">
                  <c:v>125.0613334299279</c:v>
                </c:pt>
                <c:pt idx="15">
                  <c:v>137.86711899238378</c:v>
                </c:pt>
                <c:pt idx="16">
                  <c:v>150.64430700221428</c:v>
                </c:pt>
                <c:pt idx="17">
                  <c:v>110.61638527930711</c:v>
                </c:pt>
                <c:pt idx="18">
                  <c:v>123.45843862619604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187.24258760716552</c:v>
                </c:pt>
                <c:pt idx="24">
                  <c:v>199.93131520555619</c:v>
                </c:pt>
                <c:pt idx="25">
                  <c:v>212.60137864165844</c:v>
                </c:pt>
                <c:pt idx="26">
                  <c:v>158.93547642720694</c:v>
                </c:pt>
                <c:pt idx="27">
                  <c:v>170.39875516780378</c:v>
                </c:pt>
                <c:pt idx="28">
                  <c:v>181.84387743661708</c:v>
                </c:pt>
                <c:pt idx="29">
                  <c:v>193.27214793812973</c:v>
                </c:pt>
                <c:pt idx="30">
                  <c:v>204.68470429512658</c:v>
                </c:pt>
                <c:pt idx="31">
                  <c:v>216.08254677277884</c:v>
                </c:pt>
                <c:pt idx="32">
                  <c:v>227.46656139213107</c:v>
                </c:pt>
                <c:pt idx="33">
                  <c:v>238.83753816737973</c:v>
                </c:pt>
                <c:pt idx="34">
                  <c:v>250.19618568369205</c:v>
                </c:pt>
                <c:pt idx="35">
                  <c:v>261.5431428861238</c:v>
                </c:pt>
                <c:pt idx="36">
                  <c:v>272.40687661637236</c:v>
                </c:pt>
                <c:pt idx="37">
                  <c:v>283.26087051193491</c:v>
                </c:pt>
                <c:pt idx="38">
                  <c:v>294.10555059984375</c:v>
                </c:pt>
                <c:pt idx="39">
                  <c:v>304.94130890495268</c:v>
                </c:pt>
                <c:pt idx="40">
                  <c:v>315.76850730157327</c:v>
                </c:pt>
                <c:pt idx="41">
                  <c:v>326.58748080891706</c:v>
                </c:pt>
                <c:pt idx="42">
                  <c:v>337.39854042680588</c:v>
                </c:pt>
                <c:pt idx="43">
                  <c:v>348.20197558876657</c:v>
                </c:pt>
                <c:pt idx="44">
                  <c:v>358.99805629464981</c:v>
                </c:pt>
                <c:pt idx="45">
                  <c:v>369.787034973218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11.022921945714486</c:v>
                </c:pt>
                <c:pt idx="2">
                  <c:v>21.569775337000863</c:v>
                </c:pt>
                <c:pt idx="3">
                  <c:v>31.962882482353482</c:v>
                </c:pt>
                <c:pt idx="4">
                  <c:v>42.261216864432001</c:v>
                </c:pt>
                <c:pt idx="5">
                  <c:v>52.491507198856389</c:v>
                </c:pt>
                <c:pt idx="6">
                  <c:v>62.669000660971285</c:v>
                </c:pt>
                <c:pt idx="7">
                  <c:v>72.803526515180806</c:v>
                </c:pt>
                <c:pt idx="8">
                  <c:v>82.901931232201505</c:v>
                </c:pt>
                <c:pt idx="9">
                  <c:v>92.96924705510412</c:v>
                </c:pt>
                <c:pt idx="10">
                  <c:v>103.0093223469003</c:v>
                </c:pt>
                <c:pt idx="11">
                  <c:v>113.02519125910277</c:v>
                </c:pt>
                <c:pt idx="12">
                  <c:v>123.01930463768576</c:v>
                </c:pt>
                <c:pt idx="13">
                  <c:v>132.99368156136481</c:v>
                </c:pt>
                <c:pt idx="14">
                  <c:v>142.95001283572014</c:v>
                </c:pt>
                <c:pt idx="15">
                  <c:v>152.8897340356751</c:v>
                </c:pt>
                <c:pt idx="16">
                  <c:v>162.81407849721657</c:v>
                </c:pt>
                <c:pt idx="17">
                  <c:v>172.72411667578595</c:v>
                </c:pt>
                <c:pt idx="18">
                  <c:v>182.62078597667798</c:v>
                </c:pt>
                <c:pt idx="19">
                  <c:v>192.50491376641401</c:v>
                </c:pt>
                <c:pt idx="20">
                  <c:v>202.37723540141405</c:v>
                </c:pt>
                <c:pt idx="21">
                  <c:v>212.23840854846472</c:v>
                </c:pt>
                <c:pt idx="22">
                  <c:v>222.08902470019424</c:v>
                </c:pt>
                <c:pt idx="23">
                  <c:v>231.92961853763973</c:v>
                </c:pt>
                <c:pt idx="24">
                  <c:v>241.76067561859728</c:v>
                </c:pt>
                <c:pt idx="25">
                  <c:v>251.58263874847276</c:v>
                </c:pt>
                <c:pt idx="26">
                  <c:v>261.39591330310378</c:v>
                </c:pt>
                <c:pt idx="27">
                  <c:v>271.20087170965184</c:v>
                </c:pt>
                <c:pt idx="28">
                  <c:v>280.99785724499856</c:v>
                </c:pt>
                <c:pt idx="29">
                  <c:v>290.78718727626364</c:v>
                </c:pt>
                <c:pt idx="30">
                  <c:v>300.56915604179892</c:v>
                </c:pt>
                <c:pt idx="31">
                  <c:v>310.34403705096628</c:v>
                </c:pt>
                <c:pt idx="32">
                  <c:v>320.1120851655682</c:v>
                </c:pt>
                <c:pt idx="33">
                  <c:v>329.87353841379132</c:v>
                </c:pt>
                <c:pt idx="34">
                  <c:v>339.62861957809957</c:v>
                </c:pt>
                <c:pt idx="35">
                  <c:v>349.37753759106778</c:v>
                </c:pt>
                <c:pt idx="36">
                  <c:v>359.12048876720706</c:v>
                </c:pt>
                <c:pt idx="37">
                  <c:v>368.85765789407247</c:v>
                </c:pt>
                <c:pt idx="38">
                  <c:v>378.58921920209747</c:v>
                </c:pt>
                <c:pt idx="39">
                  <c:v>388.31533722946671</c:v>
                </c:pt>
                <c:pt idx="40">
                  <c:v>398.03616759578972</c:v>
                </c:pt>
                <c:pt idx="41">
                  <c:v>407.75185769622823</c:v>
                </c:pt>
                <c:pt idx="42">
                  <c:v>417.46254732599772</c:v>
                </c:pt>
                <c:pt idx="43">
                  <c:v>427.16836924371643</c:v>
                </c:pt>
                <c:pt idx="44">
                  <c:v>436.86944968087437</c:v>
                </c:pt>
                <c:pt idx="45">
                  <c:v>446.56590880368054</c:v>
                </c:pt>
                <c:pt idx="46">
                  <c:v>456.2578611326997</c:v>
                </c:pt>
                <c:pt idx="47">
                  <c:v>465.94541592496972</c:v>
                </c:pt>
                <c:pt idx="48">
                  <c:v>475.62867752268113</c:v>
                </c:pt>
                <c:pt idx="49">
                  <c:v>485.30774567197881</c:v>
                </c:pt>
                <c:pt idx="50">
                  <c:v>494.98271581500495</c:v>
                </c:pt>
                <c:pt idx="51">
                  <c:v>504.65367935791875</c:v>
                </c:pt>
                <c:pt idx="52">
                  <c:v>514.32072391729992</c:v>
                </c:pt>
                <c:pt idx="53">
                  <c:v>523.98393354706366</c:v>
                </c:pt>
                <c:pt idx="54">
                  <c:v>533.64338894776483</c:v>
                </c:pt>
                <c:pt idx="55">
                  <c:v>543.29916765995983</c:v>
                </c:pt>
                <c:pt idx="56">
                  <c:v>552.95134424310788</c:v>
                </c:pt>
                <c:pt idx="57">
                  <c:v>562.59999044133144</c:v>
                </c:pt>
                <c:pt idx="58">
                  <c:v>313.15901462446647</c:v>
                </c:pt>
                <c:pt idx="59">
                  <c:v>333.37016293478251</c:v>
                </c:pt>
                <c:pt idx="60">
                  <c:v>353.55431248111205</c:v>
                </c:pt>
                <c:pt idx="61">
                  <c:v>373.71322064496036</c:v>
                </c:pt>
                <c:pt idx="62">
                  <c:v>393.84843980378497</c:v>
                </c:pt>
                <c:pt idx="63">
                  <c:v>413.96135071964676</c:v>
                </c:pt>
                <c:pt idx="64">
                  <c:v>434.05318909906981</c:v>
                </c:pt>
                <c:pt idx="65">
                  <c:v>454.12506697846646</c:v>
                </c:pt>
                <c:pt idx="66">
                  <c:v>474.17799013187573</c:v>
                </c:pt>
                <c:pt idx="67">
                  <c:v>353.15556162606208</c:v>
                </c:pt>
                <c:pt idx="68">
                  <c:v>372.9410608652168</c:v>
                </c:pt>
                <c:pt idx="69">
                  <c:v>392.70368859796127</c:v>
                </c:pt>
                <c:pt idx="70">
                  <c:v>412.44475712652587</c:v>
                </c:pt>
                <c:pt idx="71">
                  <c:v>432.16544293806578</c:v>
                </c:pt>
                <c:pt idx="72">
                  <c:v>451.86680644393624</c:v>
                </c:pt>
                <c:pt idx="73">
                  <c:v>471.54980809722161</c:v>
                </c:pt>
                <c:pt idx="74">
                  <c:v>491.21532167944696</c:v>
                </c:pt>
                <c:pt idx="75">
                  <c:v>510.86414534931674</c:v>
                </c:pt>
                <c:pt idx="76">
                  <c:v>397.77942220736014</c:v>
                </c:pt>
                <c:pt idx="77">
                  <c:v>416.73673129165627</c:v>
                </c:pt>
                <c:pt idx="78">
                  <c:v>435.67545665291277</c:v>
                </c:pt>
                <c:pt idx="79">
                  <c:v>454.59651935340895</c:v>
                </c:pt>
                <c:pt idx="80">
                  <c:v>473.50075756936286</c:v>
                </c:pt>
                <c:pt idx="81">
                  <c:v>492.38893712893508</c:v>
                </c:pt>
                <c:pt idx="82">
                  <c:v>511.26176034949043</c:v>
                </c:pt>
                <c:pt idx="83">
                  <c:v>530.11987350248683</c:v>
                </c:pt>
                <c:pt idx="84">
                  <c:v>548.96387316130676</c:v>
                </c:pt>
                <c:pt idx="85">
                  <c:v>448.94649320784362</c:v>
                </c:pt>
                <c:pt idx="86">
                  <c:v>467.00838189349179</c:v>
                </c:pt>
                <c:pt idx="87">
                  <c:v>485.05538670764457</c:v>
                </c:pt>
                <c:pt idx="88">
                  <c:v>503.08813905548283</c:v>
                </c:pt>
                <c:pt idx="89">
                  <c:v>521.10722141246958</c:v>
                </c:pt>
                <c:pt idx="90">
                  <c:v>539.11317271151017</c:v>
                </c:pt>
                <c:pt idx="91">
                  <c:v>557.10649297326029</c:v>
                </c:pt>
                <c:pt idx="92">
                  <c:v>575.08764730740131</c:v>
                </c:pt>
                <c:pt idx="93">
                  <c:v>593.05706938772175</c:v>
                </c:pt>
                <c:pt idx="94">
                  <c:v>487.79816569346821</c:v>
                </c:pt>
                <c:pt idx="95">
                  <c:v>504.62658372968235</c:v>
                </c:pt>
                <c:pt idx="96">
                  <c:v>521.44313643080113</c:v>
                </c:pt>
                <c:pt idx="97">
                  <c:v>538.24826012898905</c:v>
                </c:pt>
                <c:pt idx="98">
                  <c:v>555.04236170359593</c:v>
                </c:pt>
                <c:pt idx="99">
                  <c:v>571.82582141856528</c:v>
                </c:pt>
                <c:pt idx="100">
                  <c:v>588.59899540955666</c:v>
                </c:pt>
                <c:pt idx="101">
                  <c:v>605.36221787297757</c:v>
                </c:pt>
                <c:pt idx="102">
                  <c:v>622.11580300007529</c:v>
                </c:pt>
                <c:pt idx="103">
                  <c:v>638.86004669198417</c:v>
                </c:pt>
                <c:pt idx="104">
                  <c:v>655.59522808574116</c:v>
                </c:pt>
                <c:pt idx="105">
                  <c:v>672.32161091649061</c:v>
                </c:pt>
                <c:pt idx="106">
                  <c:v>536.0193121811385</c:v>
                </c:pt>
                <c:pt idx="107">
                  <c:v>551.33981949005295</c:v>
                </c:pt>
                <c:pt idx="108">
                  <c:v>566.65140487060228</c:v>
                </c:pt>
                <c:pt idx="109">
                  <c:v>581.95434324031635</c:v>
                </c:pt>
                <c:pt idx="110">
                  <c:v>597.2488938870938</c:v>
                </c:pt>
                <c:pt idx="111">
                  <c:v>612.53530174353966</c:v>
                </c:pt>
                <c:pt idx="112">
                  <c:v>627.81379852754765</c:v>
                </c:pt>
                <c:pt idx="113">
                  <c:v>643.08460376614528</c:v>
                </c:pt>
                <c:pt idx="114">
                  <c:v>658.34792571708965</c:v>
                </c:pt>
                <c:pt idx="115">
                  <c:v>673.60396220061159</c:v>
                </c:pt>
                <c:pt idx="116">
                  <c:v>688.85290135193964</c:v>
                </c:pt>
                <c:pt idx="117">
                  <c:v>704.09492230377691</c:v>
                </c:pt>
                <c:pt idx="118">
                  <c:v>584.29116991114904</c:v>
                </c:pt>
                <c:pt idx="119">
                  <c:v>598.19943835010224</c:v>
                </c:pt>
                <c:pt idx="120">
                  <c:v>612.10098480775684</c:v>
                </c:pt>
                <c:pt idx="121">
                  <c:v>625.99598338533099</c:v>
                </c:pt>
                <c:pt idx="122">
                  <c:v>639.8845998288034</c:v>
                </c:pt>
                <c:pt idx="123">
                  <c:v>653.76699210630261</c:v>
                </c:pt>
                <c:pt idx="124">
                  <c:v>667.64331093392855</c:v>
                </c:pt>
                <c:pt idx="125">
                  <c:v>681.5137002556138</c:v>
                </c:pt>
                <c:pt idx="126">
                  <c:v>695.37829768191443</c:v>
                </c:pt>
                <c:pt idx="127">
                  <c:v>709.23723489200802</c:v>
                </c:pt>
                <c:pt idx="128">
                  <c:v>723.09063800265938</c:v>
                </c:pt>
                <c:pt idx="129">
                  <c:v>736.93862790746232</c:v>
                </c:pt>
                <c:pt idx="130">
                  <c:v>490.13214910831761</c:v>
                </c:pt>
                <c:pt idx="131">
                  <c:v>502.29586180590962</c:v>
                </c:pt>
                <c:pt idx="132">
                  <c:v>514.45334323804366</c:v>
                </c:pt>
                <c:pt idx="133">
                  <c:v>526.60476139435877</c:v>
                </c:pt>
                <c:pt idx="134">
                  <c:v>538.75027588067985</c:v>
                </c:pt>
                <c:pt idx="135">
                  <c:v>361.07056275163495</c:v>
                </c:pt>
                <c:pt idx="136">
                  <c:v>370.90645592232516</c:v>
                </c:pt>
                <c:pt idx="137">
                  <c:v>380.73666173818418</c:v>
                </c:pt>
                <c:pt idx="138">
                  <c:v>390.56134780867916</c:v>
                </c:pt>
                <c:pt idx="139">
                  <c:v>400.38067261909356</c:v>
                </c:pt>
                <c:pt idx="140">
                  <c:v>246.10170558957336</c:v>
                </c:pt>
                <c:pt idx="141">
                  <c:v>253.5471413853551</c:v>
                </c:pt>
                <c:pt idx="142">
                  <c:v>260.98762657708357</c:v>
                </c:pt>
                <c:pt idx="143">
                  <c:v>268.42332237956549</c:v>
                </c:pt>
                <c:pt idx="144">
                  <c:v>1.2478387515390925E-11</c:v>
                </c:pt>
                <c:pt idx="145">
                  <c:v>1.2478387515390925E-11</c:v>
                </c:pt>
                <c:pt idx="146">
                  <c:v>1.2478387515390925E-11</c:v>
                </c:pt>
                <c:pt idx="147">
                  <c:v>1.2478387515390925E-11</c:v>
                </c:pt>
                <c:pt idx="148">
                  <c:v>1.2478387515390925E-11</c:v>
                </c:pt>
                <c:pt idx="149">
                  <c:v>1.2478387515390925E-11</c:v>
                </c:pt>
                <c:pt idx="150">
                  <c:v>1.2478387515390925E-11</c:v>
                </c:pt>
                <c:pt idx="151">
                  <c:v>1.2478387515390925E-11</c:v>
                </c:pt>
                <c:pt idx="152">
                  <c:v>1.2478387515390925E-11</c:v>
                </c:pt>
                <c:pt idx="153">
                  <c:v>1.2478387515390925E-11</c:v>
                </c:pt>
                <c:pt idx="154">
                  <c:v>1.2478387515390925E-11</c:v>
                </c:pt>
                <c:pt idx="155">
                  <c:v>1.2478387515390925E-11</c:v>
                </c:pt>
                <c:pt idx="156">
                  <c:v>1.2478387515390925E-11</c:v>
                </c:pt>
                <c:pt idx="157">
                  <c:v>1.2478387515390925E-11</c:v>
                </c:pt>
                <c:pt idx="158">
                  <c:v>1.2478387515390925E-11</c:v>
                </c:pt>
                <c:pt idx="159">
                  <c:v>1.2478387515390925E-11</c:v>
                </c:pt>
                <c:pt idx="160">
                  <c:v>1.2478387515390925E-11</c:v>
                </c:pt>
                <c:pt idx="161">
                  <c:v>1.2478387515390925E-11</c:v>
                </c:pt>
                <c:pt idx="162">
                  <c:v>1.2478387515390925E-11</c:v>
                </c:pt>
                <c:pt idx="163">
                  <c:v>1.2478387515390925E-11</c:v>
                </c:pt>
                <c:pt idx="164">
                  <c:v>1.2478387515390925E-11</c:v>
                </c:pt>
                <c:pt idx="165">
                  <c:v>1.2478387515390925E-11</c:v>
                </c:pt>
                <c:pt idx="166">
                  <c:v>1.2478387515390925E-11</c:v>
                </c:pt>
                <c:pt idx="167">
                  <c:v>1.2478387515390925E-11</c:v>
                </c:pt>
                <c:pt idx="168">
                  <c:v>1.2478387515390925E-11</c:v>
                </c:pt>
                <c:pt idx="169">
                  <c:v>1.2478387515390925E-11</c:v>
                </c:pt>
                <c:pt idx="170">
                  <c:v>1.2478387515390925E-11</c:v>
                </c:pt>
                <c:pt idx="171">
                  <c:v>1.2478387515390925E-11</c:v>
                </c:pt>
                <c:pt idx="172">
                  <c:v>1.2478387515390925E-11</c:v>
                </c:pt>
                <c:pt idx="173">
                  <c:v>1.2478387515390925E-11</c:v>
                </c:pt>
                <c:pt idx="174">
                  <c:v>1.2478387515390925E-11</c:v>
                </c:pt>
                <c:pt idx="175">
                  <c:v>1.2478387515390925E-11</c:v>
                </c:pt>
                <c:pt idx="176">
                  <c:v>1.2478387515390925E-11</c:v>
                </c:pt>
                <c:pt idx="177">
                  <c:v>1.2478387515390925E-11</c:v>
                </c:pt>
                <c:pt idx="178">
                  <c:v>1.2478387515390925E-11</c:v>
                </c:pt>
                <c:pt idx="179">
                  <c:v>1.2478387515390925E-11</c:v>
                </c:pt>
                <c:pt idx="180">
                  <c:v>1.2478387515390925E-11</c:v>
                </c:pt>
                <c:pt idx="181">
                  <c:v>1.2478387515390925E-11</c:v>
                </c:pt>
                <c:pt idx="182">
                  <c:v>1.2478387515390925E-11</c:v>
                </c:pt>
                <c:pt idx="183">
                  <c:v>1.2478387515390925E-11</c:v>
                </c:pt>
                <c:pt idx="184">
                  <c:v>1.2478387515390925E-11</c:v>
                </c:pt>
                <c:pt idx="185">
                  <c:v>1.2478387515390925E-11</c:v>
                </c:pt>
                <c:pt idx="186">
                  <c:v>1.2478387515390925E-11</c:v>
                </c:pt>
                <c:pt idx="187">
                  <c:v>1.2478387515390925E-11</c:v>
                </c:pt>
                <c:pt idx="188">
                  <c:v>1.2478387515390925E-11</c:v>
                </c:pt>
                <c:pt idx="189">
                  <c:v>1.2478387515390925E-11</c:v>
                </c:pt>
                <c:pt idx="190">
                  <c:v>1.2478387515390925E-11</c:v>
                </c:pt>
                <c:pt idx="191">
                  <c:v>1.2478387515390925E-11</c:v>
                </c:pt>
                <c:pt idx="192">
                  <c:v>1.2478387515390925E-11</c:v>
                </c:pt>
                <c:pt idx="193">
                  <c:v>1.2478387515390925E-11</c:v>
                </c:pt>
                <c:pt idx="194">
                  <c:v>1.2478387515390925E-11</c:v>
                </c:pt>
                <c:pt idx="195">
                  <c:v>1.2478387515390925E-11</c:v>
                </c:pt>
                <c:pt idx="196">
                  <c:v>1.2478387515390925E-11</c:v>
                </c:pt>
                <c:pt idx="197">
                  <c:v>1.2478387515390925E-11</c:v>
                </c:pt>
                <c:pt idx="198">
                  <c:v>1.2478387515390925E-11</c:v>
                </c:pt>
                <c:pt idx="199">
                  <c:v>1.2478387515390925E-11</c:v>
                </c:pt>
                <c:pt idx="200">
                  <c:v>1.2478387515390925E-11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1" zoomScale="80" zoomScaleNormal="80" workbookViewId="0">
      <selection activeCell="B18" sqref="B18:M31"/>
    </sheetView>
  </sheetViews>
  <sheetFormatPr baseColWidth="10" defaultRowHeight="14.25" x14ac:dyDescent="0.45"/>
  <cols>
    <col min="1" max="1" width="6.5312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Normal="100" workbookViewId="0">
      <selection activeCell="J127" sqref="J127"/>
    </sheetView>
  </sheetViews>
  <sheetFormatPr baseColWidth="10" defaultColWidth="11.46484375" defaultRowHeight="14.25" x14ac:dyDescent="0.45"/>
  <cols>
    <col min="1" max="1" width="13.531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531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3.57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164</v>
      </c>
      <c r="C9" s="32">
        <v>0.09</v>
      </c>
      <c r="D9" s="33">
        <f>C9*$C$5</f>
        <v>0.32129999999999997</v>
      </c>
      <c r="E9" s="34">
        <v>101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36</v>
      </c>
      <c r="C10" s="32">
        <v>0.18</v>
      </c>
      <c r="D10" s="33">
        <f>C10*$C$5</f>
        <v>0.64259999999999995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44</v>
      </c>
      <c r="C11" s="32">
        <v>7.0000000000000007E-2</v>
      </c>
      <c r="D11" s="33">
        <f t="shared" ref="D11:D18" si="0">C11*$C$5</f>
        <v>0.24990000000000001</v>
      </c>
      <c r="E11" s="34">
        <v>45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11</v>
      </c>
      <c r="C12" s="32">
        <v>0.09</v>
      </c>
      <c r="D12" s="33">
        <f t="shared" si="0"/>
        <v>0.32129999999999997</v>
      </c>
      <c r="E12" s="34">
        <v>130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158</v>
      </c>
      <c r="C13" s="32">
        <v>0.09</v>
      </c>
      <c r="D13" s="33">
        <f t="shared" si="0"/>
        <v>0.32129999999999997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18</v>
      </c>
      <c r="C14" s="32">
        <v>0.09</v>
      </c>
      <c r="D14" s="33">
        <f t="shared" si="0"/>
        <v>0.32129999999999997</v>
      </c>
      <c r="E14" s="34">
        <v>70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8</v>
      </c>
      <c r="C15" s="32">
        <v>0.21</v>
      </c>
      <c r="D15" s="33">
        <f t="shared" si="0"/>
        <v>0.74969999999999992</v>
      </c>
      <c r="E15" s="34">
        <v>45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25</v>
      </c>
      <c r="C16" s="32">
        <v>0.06</v>
      </c>
      <c r="D16" s="33">
        <f t="shared" si="0"/>
        <v>0.21419999999999997</v>
      </c>
      <c r="E16" s="34">
        <v>143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 t="s">
        <v>14</v>
      </c>
      <c r="C17" s="32">
        <v>0.12</v>
      </c>
      <c r="D17" s="33">
        <f t="shared" si="0"/>
        <v>0.42839999999999995</v>
      </c>
      <c r="E17" s="34">
        <v>183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3.5699999999999994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Cèdre de l'Atlas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344.46</v>
      </c>
      <c r="C36" s="60">
        <v>1</v>
      </c>
      <c r="D36" s="60">
        <v>107.08999999999997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8.2014285714285702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375.69</v>
      </c>
      <c r="C37" s="60">
        <v>2</v>
      </c>
      <c r="D37" s="60">
        <v>108.07</v>
      </c>
      <c r="E37" s="51">
        <v>0.6</v>
      </c>
      <c r="F37" s="51">
        <v>0.2</v>
      </c>
      <c r="G37" s="51">
        <v>0.2</v>
      </c>
      <c r="H37" s="51">
        <v>0</v>
      </c>
      <c r="I37" s="53">
        <f t="shared" ref="I37:I55" si="1">IF(A37&lt;&gt;0,(B37-(B36-D36))/(A37-A36),"")</f>
        <v>17.29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400.11</v>
      </c>
      <c r="C38" s="60">
        <v>3</v>
      </c>
      <c r="D38" s="60">
        <v>88.54000000000002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16.561250000000001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440.2</v>
      </c>
      <c r="C39" s="60">
        <v>4</v>
      </c>
      <c r="D39" s="60">
        <v>88.899999999999977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16.078749999999999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75</v>
      </c>
      <c r="B40" s="60">
        <v>489.37</v>
      </c>
      <c r="C40" s="60">
        <v>5</v>
      </c>
      <c r="D40" s="60">
        <v>89.149999999999977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15.341111111111111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83</v>
      </c>
      <c r="B41" s="60">
        <v>516.09</v>
      </c>
      <c r="C41" s="60">
        <v>6</v>
      </c>
      <c r="D41" s="60">
        <v>91.480000000000018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14.483750000000001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91</v>
      </c>
      <c r="B42" s="60">
        <v>531.72</v>
      </c>
      <c r="C42" s="60">
        <v>7</v>
      </c>
      <c r="D42" s="60">
        <v>264.52000000000004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13.388750000000002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101</v>
      </c>
      <c r="B43" s="60">
        <v>356.43</v>
      </c>
      <c r="C43" s="60">
        <v>8</v>
      </c>
      <c r="D43" s="60">
        <v>356.43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8.9230000000000018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maritime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17</v>
      </c>
      <c r="B62" s="60">
        <v>123.63</v>
      </c>
      <c r="C62" s="60">
        <v>1</v>
      </c>
      <c r="D62" s="60">
        <v>41.179999999999993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7.2723529411764707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23</v>
      </c>
      <c r="B63" s="60">
        <v>189.21</v>
      </c>
      <c r="C63" s="60">
        <v>2</v>
      </c>
      <c r="D63" s="60">
        <v>58.370000000000005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17.793333333333333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29</v>
      </c>
      <c r="B64" s="60">
        <v>242.91</v>
      </c>
      <c r="C64" s="60">
        <v>3</v>
      </c>
      <c r="D64" s="60">
        <v>54.97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18.678333333333331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36</v>
      </c>
      <c r="B65" s="60">
        <v>312.57</v>
      </c>
      <c r="C65" s="60">
        <v>4</v>
      </c>
      <c r="D65" s="60">
        <v>76.509999999999991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17.804285714285715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44</v>
      </c>
      <c r="B66" s="60">
        <v>368.73</v>
      </c>
      <c r="C66" s="60">
        <v>5</v>
      </c>
      <c r="D66" s="60">
        <v>78.240000000000009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16.583750000000002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52</v>
      </c>
      <c r="B67" s="60">
        <v>408.01</v>
      </c>
      <c r="C67" s="60">
        <v>6</v>
      </c>
      <c r="D67" s="60">
        <v>75.70999999999998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14.689999999999998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60</v>
      </c>
      <c r="B68" s="60">
        <v>437.74</v>
      </c>
      <c r="C68" s="60">
        <v>7</v>
      </c>
      <c r="D68" s="60">
        <v>437.74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Robinier faux-acacia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10</v>
      </c>
      <c r="B88" s="60">
        <v>115</v>
      </c>
      <c r="C88" s="60">
        <v>1</v>
      </c>
      <c r="D88" s="60">
        <v>71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11.5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16</v>
      </c>
      <c r="B89" s="60">
        <v>92</v>
      </c>
      <c r="C89" s="60">
        <v>2</v>
      </c>
      <c r="D89" s="60">
        <v>33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25</v>
      </c>
      <c r="B90" s="60">
        <v>131</v>
      </c>
      <c r="C90" s="60">
        <v>3</v>
      </c>
      <c r="D90" s="60">
        <v>41</v>
      </c>
      <c r="E90" s="87">
        <v>0.1</v>
      </c>
      <c r="F90" s="87">
        <v>0.5</v>
      </c>
      <c r="G90" s="87">
        <v>0</v>
      </c>
      <c r="H90" s="87">
        <v>0.4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126</v>
      </c>
      <c r="C91" s="60">
        <v>4</v>
      </c>
      <c r="D91" s="60">
        <v>0</v>
      </c>
      <c r="E91" s="87">
        <v>0.1</v>
      </c>
      <c r="F91" s="87">
        <v>0.5</v>
      </c>
      <c r="G91" s="87">
        <v>0</v>
      </c>
      <c r="H91" s="87">
        <v>0.4</v>
      </c>
      <c r="I91" s="53">
        <f t="shared" si="3"/>
        <v>7.2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35</v>
      </c>
      <c r="B92" s="60">
        <v>162</v>
      </c>
      <c r="C92" s="60">
        <v>5</v>
      </c>
      <c r="D92" s="60">
        <v>0</v>
      </c>
      <c r="E92" s="87">
        <v>0.1</v>
      </c>
      <c r="F92" s="87">
        <v>0.5</v>
      </c>
      <c r="G92" s="87">
        <v>0</v>
      </c>
      <c r="H92" s="87">
        <v>0.4</v>
      </c>
      <c r="I92" s="53">
        <f t="shared" si="3"/>
        <v>7.2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45</v>
      </c>
      <c r="B93" s="60">
        <v>231</v>
      </c>
      <c r="C93" s="60">
        <v>6</v>
      </c>
      <c r="D93" s="60">
        <v>231</v>
      </c>
      <c r="E93" s="87">
        <v>0.1</v>
      </c>
      <c r="F93" s="87">
        <v>0.5</v>
      </c>
      <c r="G93" s="87">
        <v>0</v>
      </c>
      <c r="H93" s="87">
        <v>0.4</v>
      </c>
      <c r="I93" s="53">
        <f t="shared" si="3"/>
        <v>6.9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pédonculé</v>
      </c>
      <c r="C110" s="23" t="s">
        <v>324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38</v>
      </c>
      <c r="B114" s="60">
        <v>152.63</v>
      </c>
      <c r="C114" s="50">
        <v>1</v>
      </c>
      <c r="D114" s="60">
        <v>71.569999999999993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4.016578947368421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45</v>
      </c>
      <c r="B115" s="60">
        <v>149.75</v>
      </c>
      <c r="C115" s="50">
        <v>2</v>
      </c>
      <c r="D115" s="60">
        <v>41.69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9.8128571428571423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52</v>
      </c>
      <c r="B116" s="60">
        <v>178.07</v>
      </c>
      <c r="C116" s="50">
        <v>3</v>
      </c>
      <c r="D116" s="60">
        <v>44.400000000000006</v>
      </c>
      <c r="E116" s="51">
        <v>0.35</v>
      </c>
      <c r="F116" s="51">
        <v>0.2</v>
      </c>
      <c r="G116" s="51">
        <v>0.1</v>
      </c>
      <c r="H116" s="51">
        <v>0.35</v>
      </c>
      <c r="I116" s="53">
        <f t="shared" si="4"/>
        <v>10.001428571428571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59</v>
      </c>
      <c r="B117" s="60">
        <v>202.85</v>
      </c>
      <c r="C117" s="50">
        <v>4</v>
      </c>
      <c r="D117" s="60">
        <v>41.81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9.8828571428571443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67</v>
      </c>
      <c r="B118" s="60">
        <v>239.06</v>
      </c>
      <c r="C118" s="50">
        <v>5</v>
      </c>
      <c r="D118" s="60">
        <v>42.550000000000011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9.7525000000000013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75</v>
      </c>
      <c r="B119" s="60">
        <v>273.76</v>
      </c>
      <c r="C119" s="50">
        <v>6</v>
      </c>
      <c r="D119" s="60">
        <v>43.519999999999982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9.65625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83</v>
      </c>
      <c r="B120" s="60">
        <v>306.11</v>
      </c>
      <c r="C120" s="60">
        <v>7</v>
      </c>
      <c r="D120" s="60">
        <v>49.980000000000018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9.4837500000000006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93</v>
      </c>
      <c r="B121" s="60">
        <v>348.87</v>
      </c>
      <c r="C121" s="60">
        <v>8</v>
      </c>
      <c r="D121" s="60">
        <v>67.45999999999998</v>
      </c>
      <c r="E121" s="87">
        <v>0.5</v>
      </c>
      <c r="F121" s="87">
        <v>0.2</v>
      </c>
      <c r="G121" s="87">
        <v>0</v>
      </c>
      <c r="H121" s="87">
        <v>0.3</v>
      </c>
      <c r="I121" s="53">
        <f t="shared" si="4"/>
        <v>9.2740000000000009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103</v>
      </c>
      <c r="B122" s="60">
        <v>371.4</v>
      </c>
      <c r="C122" s="60">
        <v>9</v>
      </c>
      <c r="D122" s="60">
        <v>67.759999999999991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8.9989999999999952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113</v>
      </c>
      <c r="B123" s="60">
        <v>391.18</v>
      </c>
      <c r="C123" s="60">
        <v>10</v>
      </c>
      <c r="D123" s="60">
        <v>68.670000000000016</v>
      </c>
      <c r="E123" s="87">
        <v>0.5</v>
      </c>
      <c r="F123" s="87">
        <v>0.2</v>
      </c>
      <c r="G123" s="87">
        <v>0</v>
      </c>
      <c r="H123" s="87">
        <v>0.3</v>
      </c>
      <c r="I123" s="53">
        <f t="shared" si="4"/>
        <v>8.7540000000000013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123</v>
      </c>
      <c r="B124" s="60">
        <v>409.53</v>
      </c>
      <c r="C124" s="60">
        <v>11</v>
      </c>
      <c r="D124" s="60">
        <v>203.78999999999996</v>
      </c>
      <c r="E124" s="87">
        <v>0.45</v>
      </c>
      <c r="F124" s="87">
        <v>0.05</v>
      </c>
      <c r="G124" s="87">
        <v>0.05</v>
      </c>
      <c r="H124" s="87">
        <v>0.45</v>
      </c>
      <c r="I124" s="53">
        <f t="shared" si="4"/>
        <v>8.7019999999999982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125</v>
      </c>
      <c r="B125" s="60">
        <v>215.44</v>
      </c>
      <c r="C125" s="60">
        <v>12</v>
      </c>
      <c r="D125" s="60">
        <v>70.609999999999985</v>
      </c>
      <c r="E125" s="87">
        <v>0.45</v>
      </c>
      <c r="F125" s="87">
        <v>0.05</v>
      </c>
      <c r="G125" s="87">
        <v>0.05</v>
      </c>
      <c r="H125" s="87">
        <v>0.45</v>
      </c>
      <c r="I125" s="53">
        <f t="shared" si="4"/>
        <v>4.8499999999999943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127</v>
      </c>
      <c r="B126" s="60">
        <v>151.47999999999999</v>
      </c>
      <c r="C126" s="60">
        <v>13</v>
      </c>
      <c r="D126" s="60">
        <v>46.039999999999992</v>
      </c>
      <c r="E126" s="65">
        <v>0.45</v>
      </c>
      <c r="F126" s="65">
        <v>0.05</v>
      </c>
      <c r="G126" s="65">
        <v>0.05</v>
      </c>
      <c r="H126" s="65">
        <v>0.45</v>
      </c>
      <c r="I126" s="53">
        <f t="shared" si="4"/>
        <v>3.3249999999999886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130</v>
      </c>
      <c r="B127" s="60">
        <v>112.75</v>
      </c>
      <c r="C127" s="60">
        <v>14</v>
      </c>
      <c r="D127" s="60">
        <v>112.75</v>
      </c>
      <c r="E127" s="65">
        <v>0.45</v>
      </c>
      <c r="F127" s="65">
        <v>0.05</v>
      </c>
      <c r="G127" s="65">
        <v>0.05</v>
      </c>
      <c r="H127" s="65">
        <v>0.45</v>
      </c>
      <c r="I127" s="53">
        <f t="shared" si="4"/>
        <v>2.4366666666666674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325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Séquoia géant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20</v>
      </c>
      <c r="B140" s="60">
        <v>134</v>
      </c>
      <c r="C140" s="50">
        <v>1</v>
      </c>
      <c r="D140" s="60">
        <v>5</v>
      </c>
      <c r="E140" s="51">
        <v>0.25</v>
      </c>
      <c r="F140" s="51">
        <v>0.37</v>
      </c>
      <c r="G140" s="51">
        <v>0.38</v>
      </c>
      <c r="H140" s="51">
        <v>0</v>
      </c>
      <c r="I140" s="57">
        <f>IFERROR(B140/A140,"")</f>
        <v>6.7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25</v>
      </c>
      <c r="B141" s="60">
        <v>243</v>
      </c>
      <c r="C141" s="50">
        <v>2</v>
      </c>
      <c r="D141" s="60">
        <v>63</v>
      </c>
      <c r="E141" s="51">
        <v>0.25</v>
      </c>
      <c r="F141" s="51">
        <v>0.37</v>
      </c>
      <c r="G141" s="51">
        <v>0.38</v>
      </c>
      <c r="H141" s="51">
        <v>0</v>
      </c>
      <c r="I141" s="57">
        <f t="shared" ref="I141:I159" si="5">IF(A141&lt;&gt;0,(B141-(B140-D140))/(A141-A140),"")</f>
        <v>22.8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308</v>
      </c>
      <c r="C142" s="50">
        <v>3</v>
      </c>
      <c r="D142" s="60">
        <v>63</v>
      </c>
      <c r="E142" s="51">
        <v>0.25</v>
      </c>
      <c r="F142" s="51">
        <v>0.37</v>
      </c>
      <c r="G142" s="51">
        <v>0.38</v>
      </c>
      <c r="H142" s="51">
        <v>0</v>
      </c>
      <c r="I142" s="57">
        <f t="shared" si="5"/>
        <v>25.6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35</v>
      </c>
      <c r="B143" s="60">
        <v>376</v>
      </c>
      <c r="C143" s="50">
        <v>4</v>
      </c>
      <c r="D143" s="60">
        <v>63</v>
      </c>
      <c r="E143" s="51">
        <v>0.25</v>
      </c>
      <c r="F143" s="51">
        <v>0.37</v>
      </c>
      <c r="G143" s="51">
        <v>0.38</v>
      </c>
      <c r="H143" s="51">
        <v>0</v>
      </c>
      <c r="I143" s="57">
        <f t="shared" si="5"/>
        <v>26.2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40</v>
      </c>
      <c r="B144" s="60">
        <v>440</v>
      </c>
      <c r="C144" s="50">
        <v>5</v>
      </c>
      <c r="D144" s="60">
        <v>63</v>
      </c>
      <c r="E144" s="51">
        <v>0.25</v>
      </c>
      <c r="F144" s="51">
        <v>0.37</v>
      </c>
      <c r="G144" s="51">
        <v>0.38</v>
      </c>
      <c r="H144" s="51">
        <v>0</v>
      </c>
      <c r="I144" s="57">
        <f t="shared" si="5"/>
        <v>25.4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45</v>
      </c>
      <c r="B145" s="60">
        <v>498</v>
      </c>
      <c r="C145" s="50">
        <v>6</v>
      </c>
      <c r="D145" s="60">
        <v>63</v>
      </c>
      <c r="E145" s="51">
        <v>0.6</v>
      </c>
      <c r="F145" s="51">
        <v>0.2</v>
      </c>
      <c r="G145" s="51">
        <v>0.2</v>
      </c>
      <c r="H145" s="51">
        <v>0</v>
      </c>
      <c r="I145" s="57">
        <f t="shared" si="5"/>
        <v>24.2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50</v>
      </c>
      <c r="B146" s="60">
        <v>549</v>
      </c>
      <c r="C146" s="50">
        <v>7</v>
      </c>
      <c r="D146" s="60">
        <v>63</v>
      </c>
      <c r="E146" s="51">
        <v>0.6</v>
      </c>
      <c r="F146" s="51">
        <v>0.2</v>
      </c>
      <c r="G146" s="51">
        <v>0.2</v>
      </c>
      <c r="H146" s="51">
        <v>0</v>
      </c>
      <c r="I146" s="57">
        <f t="shared" si="5"/>
        <v>22.8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55</v>
      </c>
      <c r="B147" s="60">
        <v>594</v>
      </c>
      <c r="C147" s="50">
        <v>8</v>
      </c>
      <c r="D147" s="60">
        <v>60</v>
      </c>
      <c r="E147" s="51">
        <v>0.6</v>
      </c>
      <c r="F147" s="51">
        <v>0.2</v>
      </c>
      <c r="G147" s="51">
        <v>0.2</v>
      </c>
      <c r="H147" s="51">
        <v>0</v>
      </c>
      <c r="I147" s="57">
        <f>IF(A147&lt;&gt;0,(B147-(B146-D146))/(A147-A146),"")</f>
        <v>21.6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60</v>
      </c>
      <c r="B148" s="60">
        <v>634</v>
      </c>
      <c r="C148" s="50">
        <v>9</v>
      </c>
      <c r="D148" s="60">
        <v>53</v>
      </c>
      <c r="E148" s="51">
        <v>0.6</v>
      </c>
      <c r="F148" s="51">
        <v>0.2</v>
      </c>
      <c r="G148" s="51">
        <v>0.2</v>
      </c>
      <c r="H148" s="51">
        <v>0</v>
      </c>
      <c r="I148" s="57">
        <f t="shared" si="5"/>
        <v>20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65</v>
      </c>
      <c r="B149" s="60">
        <v>674</v>
      </c>
      <c r="C149" s="50">
        <v>10</v>
      </c>
      <c r="D149" s="60">
        <v>48</v>
      </c>
      <c r="E149" s="51">
        <v>0.6</v>
      </c>
      <c r="F149" s="51">
        <v>0.2</v>
      </c>
      <c r="G149" s="51">
        <v>0.2</v>
      </c>
      <c r="H149" s="51">
        <v>0</v>
      </c>
      <c r="I149" s="57">
        <f t="shared" si="5"/>
        <v>18.600000000000001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70</v>
      </c>
      <c r="B150" s="60">
        <v>712</v>
      </c>
      <c r="C150" s="50">
        <v>11</v>
      </c>
      <c r="D150" s="60">
        <v>45</v>
      </c>
      <c r="E150" s="51">
        <v>0.6</v>
      </c>
      <c r="F150" s="51">
        <v>0.2</v>
      </c>
      <c r="G150" s="51">
        <v>0.2</v>
      </c>
      <c r="H150" s="51">
        <v>0</v>
      </c>
      <c r="I150" s="57">
        <f t="shared" si="5"/>
        <v>17.2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75</v>
      </c>
      <c r="B151" s="60">
        <v>746</v>
      </c>
      <c r="C151" s="50">
        <v>12</v>
      </c>
      <c r="D151" s="60">
        <v>43</v>
      </c>
      <c r="E151" s="51">
        <v>0.6</v>
      </c>
      <c r="F151" s="51">
        <v>0.2</v>
      </c>
      <c r="G151" s="51">
        <v>0.2</v>
      </c>
      <c r="H151" s="51">
        <v>0</v>
      </c>
      <c r="I151" s="57">
        <f t="shared" si="5"/>
        <v>15.8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80</v>
      </c>
      <c r="B152" s="60">
        <v>776</v>
      </c>
      <c r="C152" s="50">
        <v>13</v>
      </c>
      <c r="D152" s="60">
        <v>776</v>
      </c>
      <c r="E152" s="54">
        <v>0.6</v>
      </c>
      <c r="F152" s="54">
        <v>0.2</v>
      </c>
      <c r="G152" s="54">
        <v>0.2</v>
      </c>
      <c r="H152" s="54">
        <v>0</v>
      </c>
      <c r="I152" s="57">
        <f t="shared" si="5"/>
        <v>14.6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Douglas</v>
      </c>
      <c r="C162" s="23" t="s">
        <v>324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21</v>
      </c>
      <c r="B166" s="60">
        <v>195.31</v>
      </c>
      <c r="C166" s="60">
        <v>1</v>
      </c>
      <c r="D166" s="60">
        <v>64.599999999999994</v>
      </c>
      <c r="E166" s="51">
        <v>0.25</v>
      </c>
      <c r="F166" s="51">
        <v>0.37</v>
      </c>
      <c r="G166" s="51">
        <v>0.38</v>
      </c>
      <c r="H166" s="51">
        <v>0</v>
      </c>
      <c r="I166" s="49">
        <f>IFERROR(B166/A166,"")</f>
        <v>9.300476190476191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28</v>
      </c>
      <c r="B167" s="60">
        <v>282.01</v>
      </c>
      <c r="C167" s="60">
        <v>2</v>
      </c>
      <c r="D167" s="60">
        <v>67.639999999999986</v>
      </c>
      <c r="E167" s="51">
        <v>0.25</v>
      </c>
      <c r="F167" s="51">
        <v>0.37</v>
      </c>
      <c r="G167" s="51">
        <v>0.38</v>
      </c>
      <c r="H167" s="51">
        <v>0</v>
      </c>
      <c r="I167" s="49">
        <f t="shared" ref="I167:I185" si="6">IF(A167&lt;&gt;0,(B167-(B166-D166))/(A167-A166),"")</f>
        <v>21.61428571428571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35</v>
      </c>
      <c r="B168" s="60">
        <v>377.23</v>
      </c>
      <c r="C168" s="60">
        <v>3</v>
      </c>
      <c r="D168" s="60">
        <v>86.700000000000045</v>
      </c>
      <c r="E168" s="51">
        <v>0.6</v>
      </c>
      <c r="F168" s="51">
        <v>0.2</v>
      </c>
      <c r="G168" s="51">
        <v>0.2</v>
      </c>
      <c r="H168" s="51">
        <v>0</v>
      </c>
      <c r="I168" s="49">
        <f t="shared" si="6"/>
        <v>23.265714285714289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42</v>
      </c>
      <c r="B169" s="60">
        <v>450.49</v>
      </c>
      <c r="C169" s="60">
        <v>4</v>
      </c>
      <c r="D169" s="60">
        <v>100.04000000000002</v>
      </c>
      <c r="E169" s="51">
        <v>0.6</v>
      </c>
      <c r="F169" s="51">
        <v>0.2</v>
      </c>
      <c r="G169" s="51">
        <v>0.2</v>
      </c>
      <c r="H169" s="51">
        <v>0</v>
      </c>
      <c r="I169" s="49">
        <f t="shared" si="6"/>
        <v>22.851428571428578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49</v>
      </c>
      <c r="B170" s="60">
        <v>504.24</v>
      </c>
      <c r="C170" s="60">
        <v>5</v>
      </c>
      <c r="D170" s="60">
        <v>112.69999999999999</v>
      </c>
      <c r="E170" s="51">
        <v>0.6</v>
      </c>
      <c r="F170" s="51">
        <v>0.2</v>
      </c>
      <c r="G170" s="51">
        <v>0.2</v>
      </c>
      <c r="H170" s="51">
        <v>0</v>
      </c>
      <c r="I170" s="49">
        <f t="shared" si="6"/>
        <v>21.970000000000002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56</v>
      </c>
      <c r="B171" s="60">
        <v>534.03</v>
      </c>
      <c r="C171" s="60">
        <v>6</v>
      </c>
      <c r="D171" s="60">
        <v>94.669999999999959</v>
      </c>
      <c r="E171" s="51">
        <v>0.6</v>
      </c>
      <c r="F171" s="51">
        <v>0.2</v>
      </c>
      <c r="G171" s="51">
        <v>0.2</v>
      </c>
      <c r="H171" s="51">
        <v>0</v>
      </c>
      <c r="I171" s="49">
        <f t="shared" si="6"/>
        <v>20.355714285714278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63</v>
      </c>
      <c r="B172" s="60">
        <v>569.67999999999995</v>
      </c>
      <c r="C172" s="60">
        <v>7</v>
      </c>
      <c r="D172" s="60">
        <v>99.599999999999966</v>
      </c>
      <c r="E172" s="51">
        <v>0.6</v>
      </c>
      <c r="F172" s="51">
        <v>0.2</v>
      </c>
      <c r="G172" s="51">
        <v>0.2</v>
      </c>
      <c r="H172" s="51">
        <v>0</v>
      </c>
      <c r="I172" s="49">
        <f t="shared" si="6"/>
        <v>18.617142857142849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70</v>
      </c>
      <c r="B173" s="50">
        <v>586.86</v>
      </c>
      <c r="C173" s="50">
        <v>8</v>
      </c>
      <c r="D173" s="50">
        <v>586.86</v>
      </c>
      <c r="E173" s="51">
        <v>0.6</v>
      </c>
      <c r="F173" s="51">
        <v>0.2</v>
      </c>
      <c r="G173" s="51">
        <v>0.2</v>
      </c>
      <c r="H173" s="51">
        <v>0</v>
      </c>
      <c r="I173" s="49">
        <f t="shared" si="6"/>
        <v>16.682857142857149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Châtaignier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10</v>
      </c>
      <c r="B192" s="60">
        <v>115</v>
      </c>
      <c r="C192" s="60">
        <v>1</v>
      </c>
      <c r="D192" s="60">
        <v>71</v>
      </c>
      <c r="E192" s="51">
        <v>0</v>
      </c>
      <c r="F192" s="51">
        <v>0.5</v>
      </c>
      <c r="G192" s="51">
        <v>0</v>
      </c>
      <c r="H192" s="51">
        <v>0.5</v>
      </c>
      <c r="I192" s="49">
        <f>IFERROR(B192/A192,"")</f>
        <v>11.5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16</v>
      </c>
      <c r="B193" s="60">
        <v>92</v>
      </c>
      <c r="C193" s="60">
        <v>2</v>
      </c>
      <c r="D193" s="60">
        <v>33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25</v>
      </c>
      <c r="B194" s="60">
        <v>131</v>
      </c>
      <c r="C194" s="60">
        <v>3</v>
      </c>
      <c r="D194" s="60">
        <v>41</v>
      </c>
      <c r="E194" s="51">
        <v>0.1</v>
      </c>
      <c r="F194" s="51">
        <v>0.5</v>
      </c>
      <c r="G194" s="51">
        <v>0</v>
      </c>
      <c r="H194" s="51">
        <v>0.4</v>
      </c>
      <c r="I194" s="49">
        <f t="shared" si="7"/>
        <v>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30</v>
      </c>
      <c r="B195" s="60">
        <v>126</v>
      </c>
      <c r="C195" s="60">
        <v>4</v>
      </c>
      <c r="D195" s="60">
        <v>0</v>
      </c>
      <c r="E195" s="51">
        <v>0.1</v>
      </c>
      <c r="F195" s="51">
        <v>0.5</v>
      </c>
      <c r="G195" s="51">
        <v>0</v>
      </c>
      <c r="H195" s="51">
        <v>0.4</v>
      </c>
      <c r="I195" s="49">
        <f t="shared" si="7"/>
        <v>7.2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35</v>
      </c>
      <c r="B196" s="60">
        <v>162</v>
      </c>
      <c r="C196" s="60">
        <v>5</v>
      </c>
      <c r="D196" s="60">
        <v>0</v>
      </c>
      <c r="E196" s="51">
        <v>0.1</v>
      </c>
      <c r="F196" s="51">
        <v>0.5</v>
      </c>
      <c r="G196" s="51">
        <v>0</v>
      </c>
      <c r="H196" s="51">
        <v>0.4</v>
      </c>
      <c r="I196" s="49">
        <f t="shared" si="7"/>
        <v>7.2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45</v>
      </c>
      <c r="B197" s="60">
        <v>231</v>
      </c>
      <c r="C197" s="60">
        <v>6</v>
      </c>
      <c r="D197" s="60">
        <v>231</v>
      </c>
      <c r="E197" s="51">
        <v>0.1</v>
      </c>
      <c r="F197" s="51">
        <v>0.5</v>
      </c>
      <c r="G197" s="51">
        <v>0</v>
      </c>
      <c r="H197" s="51">
        <v>0.4</v>
      </c>
      <c r="I197" s="49">
        <f t="shared" si="7"/>
        <v>6.9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Hêtre</v>
      </c>
      <c r="C214" s="23" t="s">
        <v>324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57</v>
      </c>
      <c r="B218" s="60">
        <v>303.32</v>
      </c>
      <c r="C218" s="50">
        <v>1</v>
      </c>
      <c r="D218" s="60">
        <v>147.84</v>
      </c>
      <c r="E218" s="63">
        <v>0</v>
      </c>
      <c r="F218" s="63">
        <v>0.5</v>
      </c>
      <c r="G218" s="63">
        <v>0.5</v>
      </c>
      <c r="H218" s="63">
        <v>0</v>
      </c>
      <c r="I218" s="53">
        <f>IFERROR(B218/A218,"")</f>
        <v>5.3214035087719296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66</v>
      </c>
      <c r="B219" s="60">
        <v>254.63</v>
      </c>
      <c r="C219" s="50">
        <v>2</v>
      </c>
      <c r="D219" s="60">
        <v>77.13</v>
      </c>
      <c r="E219" s="63">
        <v>0</v>
      </c>
      <c r="F219" s="63">
        <v>0.5</v>
      </c>
      <c r="G219" s="63">
        <v>0.5</v>
      </c>
      <c r="H219" s="63">
        <v>0</v>
      </c>
      <c r="I219" s="53">
        <f t="shared" ref="I219:I237" si="8">IF(A219&lt;&gt;0,(B219-(B218-D218))/(A219-A218),"")</f>
        <v>11.016666666666667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75</v>
      </c>
      <c r="B220" s="60">
        <v>274.81</v>
      </c>
      <c r="C220" s="50">
        <v>3</v>
      </c>
      <c r="D220" s="60">
        <v>72.47999999999999</v>
      </c>
      <c r="E220" s="63">
        <v>0</v>
      </c>
      <c r="F220" s="63">
        <v>0.5</v>
      </c>
      <c r="G220" s="63">
        <v>0.5</v>
      </c>
      <c r="H220" s="63">
        <v>0</v>
      </c>
      <c r="I220" s="53">
        <f t="shared" si="8"/>
        <v>10.812222222222223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84</v>
      </c>
      <c r="B221" s="55">
        <v>295.8</v>
      </c>
      <c r="C221" s="55">
        <v>4</v>
      </c>
      <c r="D221" s="55">
        <v>64.950000000000017</v>
      </c>
      <c r="E221" s="63">
        <v>0.3</v>
      </c>
      <c r="F221" s="63">
        <v>0.2</v>
      </c>
      <c r="G221" s="63">
        <v>0.2</v>
      </c>
      <c r="H221" s="63">
        <v>0.3</v>
      </c>
      <c r="I221" s="53">
        <f t="shared" si="8"/>
        <v>10.385555555555555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93</v>
      </c>
      <c r="B222" s="55">
        <v>320.13</v>
      </c>
      <c r="C222" s="55">
        <v>5</v>
      </c>
      <c r="D222" s="55">
        <v>67.269999999999982</v>
      </c>
      <c r="E222" s="63">
        <v>0.3</v>
      </c>
      <c r="F222" s="63">
        <v>0.2</v>
      </c>
      <c r="G222" s="63">
        <v>0.2</v>
      </c>
      <c r="H222" s="63">
        <v>0.3</v>
      </c>
      <c r="I222" s="53">
        <f t="shared" si="8"/>
        <v>9.92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105</v>
      </c>
      <c r="B223" s="55">
        <v>363.96</v>
      </c>
      <c r="C223" s="55">
        <v>6</v>
      </c>
      <c r="D223" s="55">
        <v>83.739999999999952</v>
      </c>
      <c r="E223" s="63">
        <v>0.3</v>
      </c>
      <c r="F223" s="63">
        <v>0.2</v>
      </c>
      <c r="G223" s="63">
        <v>0.2</v>
      </c>
      <c r="H223" s="63">
        <v>0.3</v>
      </c>
      <c r="I223" s="53">
        <f t="shared" si="8"/>
        <v>9.2583333333333311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117</v>
      </c>
      <c r="B224" s="55">
        <v>381.56</v>
      </c>
      <c r="C224" s="55">
        <v>7</v>
      </c>
      <c r="D224" s="55">
        <v>73.949999999999989</v>
      </c>
      <c r="E224" s="63">
        <v>0.3</v>
      </c>
      <c r="F224" s="63">
        <v>0.2</v>
      </c>
      <c r="G224" s="63">
        <v>0.2</v>
      </c>
      <c r="H224" s="63">
        <v>0.3</v>
      </c>
      <c r="I224" s="53">
        <f t="shared" si="8"/>
        <v>8.4449999999999985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129</v>
      </c>
      <c r="B225" s="55">
        <v>399.77</v>
      </c>
      <c r="C225" s="55">
        <v>8</v>
      </c>
      <c r="D225" s="55">
        <v>143.06</v>
      </c>
      <c r="E225" s="63">
        <v>0.45</v>
      </c>
      <c r="F225" s="63">
        <v>0.05</v>
      </c>
      <c r="G225" s="63">
        <v>0.05</v>
      </c>
      <c r="H225" s="63">
        <v>0.45</v>
      </c>
      <c r="I225" s="53">
        <f t="shared" si="8"/>
        <v>7.6799999999999971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134</v>
      </c>
      <c r="B226" s="55">
        <v>290.17</v>
      </c>
      <c r="C226" s="55">
        <v>9</v>
      </c>
      <c r="D226" s="55">
        <v>102.91000000000003</v>
      </c>
      <c r="E226" s="63">
        <v>0.45</v>
      </c>
      <c r="F226" s="63">
        <v>0.05</v>
      </c>
      <c r="G226" s="63">
        <v>0.05</v>
      </c>
      <c r="H226" s="63">
        <v>0.45</v>
      </c>
      <c r="I226" s="53">
        <f t="shared" si="8"/>
        <v>6.6920000000000073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139</v>
      </c>
      <c r="B227" s="55">
        <v>214.14</v>
      </c>
      <c r="C227" s="55">
        <v>10</v>
      </c>
      <c r="D227" s="55">
        <v>88.109999999999985</v>
      </c>
      <c r="E227" s="63">
        <v>0.45</v>
      </c>
      <c r="F227" s="63">
        <v>0.05</v>
      </c>
      <c r="G227" s="63">
        <v>0.05</v>
      </c>
      <c r="H227" s="63">
        <v>0.45</v>
      </c>
      <c r="I227" s="53">
        <f t="shared" si="8"/>
        <v>5.3759999999999994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143</v>
      </c>
      <c r="B228" s="55">
        <v>142.16999999999999</v>
      </c>
      <c r="C228" s="55">
        <v>11</v>
      </c>
      <c r="D228" s="55">
        <v>142.16999999999999</v>
      </c>
      <c r="E228" s="63">
        <v>0.45</v>
      </c>
      <c r="F228" s="63">
        <v>0.05</v>
      </c>
      <c r="G228" s="63">
        <v>0.05</v>
      </c>
      <c r="H228" s="63">
        <v>0.45</v>
      </c>
      <c r="I228" s="53">
        <f t="shared" si="8"/>
        <v>4.0349999999999966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C239" s="23" t="s">
        <v>326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>Chêne sessile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>
        <v>42</v>
      </c>
      <c r="B244" s="60">
        <v>171.96</v>
      </c>
      <c r="C244" s="60">
        <v>1</v>
      </c>
      <c r="D244" s="60">
        <v>44.510000000000005</v>
      </c>
      <c r="E244" s="51">
        <v>0</v>
      </c>
      <c r="F244" s="51">
        <v>0.8</v>
      </c>
      <c r="G244" s="51">
        <v>0.2</v>
      </c>
      <c r="H244" s="63">
        <v>0</v>
      </c>
      <c r="I244" s="53">
        <f>IFERROR(B244/A244,"")</f>
        <v>4.0942857142857143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>
        <v>50</v>
      </c>
      <c r="B245" s="60">
        <v>208.33</v>
      </c>
      <c r="C245" s="60">
        <v>2</v>
      </c>
      <c r="D245" s="60">
        <v>37.54000000000002</v>
      </c>
      <c r="E245" s="63">
        <v>0</v>
      </c>
      <c r="F245" s="63">
        <v>0.8</v>
      </c>
      <c r="G245" s="63">
        <v>0.2</v>
      </c>
      <c r="H245" s="63">
        <v>0</v>
      </c>
      <c r="I245" s="53">
        <f>IF(A245&lt;&gt;0,(B245-(B244-D244))/(A245-A244),"")</f>
        <v>10.110000000000001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>
        <v>58</v>
      </c>
      <c r="B246" s="60">
        <v>253.7</v>
      </c>
      <c r="C246" s="60">
        <v>3</v>
      </c>
      <c r="D246" s="60">
        <v>47.789999999999992</v>
      </c>
      <c r="E246" s="63">
        <v>0</v>
      </c>
      <c r="F246" s="63">
        <v>0.8</v>
      </c>
      <c r="G246" s="63">
        <v>0.2</v>
      </c>
      <c r="H246" s="63">
        <v>0</v>
      </c>
      <c r="I246" s="53">
        <f>IF(A246&lt;&gt;0,(B246-(B245-D245))/(A246-A245),"")</f>
        <v>10.36375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>
        <v>66</v>
      </c>
      <c r="B247" s="60">
        <v>286.77</v>
      </c>
      <c r="C247" s="60">
        <v>4</v>
      </c>
      <c r="D247" s="60">
        <v>53.679999999999978</v>
      </c>
      <c r="E247" s="63">
        <v>0.35</v>
      </c>
      <c r="F247" s="63">
        <v>0.2</v>
      </c>
      <c r="G247" s="63">
        <v>0.1</v>
      </c>
      <c r="H247" s="63">
        <v>0.35</v>
      </c>
      <c r="I247" s="53">
        <f t="shared" ref="I247:I263" si="9">IF(A247&lt;&gt;0,(B247-(B246-D246))/(A247-A246),"")</f>
        <v>10.107499999999998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>
        <v>74</v>
      </c>
      <c r="B248" s="60">
        <v>310.95999999999998</v>
      </c>
      <c r="C248" s="60">
        <v>5</v>
      </c>
      <c r="D248" s="60">
        <v>51.339999999999975</v>
      </c>
      <c r="E248" s="63">
        <v>0.35</v>
      </c>
      <c r="F248" s="63">
        <v>0.2</v>
      </c>
      <c r="G248" s="63">
        <v>0.1</v>
      </c>
      <c r="H248" s="63">
        <v>0.35</v>
      </c>
      <c r="I248" s="53">
        <f t="shared" si="9"/>
        <v>9.733749999999997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>
        <v>84</v>
      </c>
      <c r="B249" s="60">
        <v>355.09</v>
      </c>
      <c r="C249" s="60">
        <v>6</v>
      </c>
      <c r="D249" s="60">
        <v>66.69</v>
      </c>
      <c r="E249" s="63">
        <v>0.35</v>
      </c>
      <c r="F249" s="63">
        <v>0.2</v>
      </c>
      <c r="G249" s="63">
        <v>0.1</v>
      </c>
      <c r="H249" s="63">
        <v>0.35</v>
      </c>
      <c r="I249" s="53">
        <f t="shared" si="9"/>
        <v>9.546999999999997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>
        <v>94</v>
      </c>
      <c r="B250" s="60">
        <v>380.13</v>
      </c>
      <c r="C250" s="60">
        <v>7</v>
      </c>
      <c r="D250" s="60">
        <v>67.350000000000023</v>
      </c>
      <c r="E250" s="63">
        <v>0.35</v>
      </c>
      <c r="F250" s="63">
        <v>0.2</v>
      </c>
      <c r="G250" s="63">
        <v>0.1</v>
      </c>
      <c r="H250" s="63">
        <v>0.35</v>
      </c>
      <c r="I250" s="53">
        <f t="shared" si="9"/>
        <v>9.1730000000000018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>
        <v>104</v>
      </c>
      <c r="B251" s="55">
        <v>402.2</v>
      </c>
      <c r="C251" s="55">
        <v>8</v>
      </c>
      <c r="D251" s="55">
        <v>66.089999999999975</v>
      </c>
      <c r="E251" s="63">
        <v>0.35</v>
      </c>
      <c r="F251" s="63">
        <v>0.2</v>
      </c>
      <c r="G251" s="63">
        <v>0.1</v>
      </c>
      <c r="H251" s="63">
        <v>0.35</v>
      </c>
      <c r="I251" s="53">
        <f t="shared" si="9"/>
        <v>8.9420000000000019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>
        <v>114</v>
      </c>
      <c r="B252" s="55">
        <v>424.56</v>
      </c>
      <c r="C252" s="55">
        <v>9</v>
      </c>
      <c r="D252" s="55">
        <v>61.860000000000014</v>
      </c>
      <c r="E252" s="63">
        <v>0.35</v>
      </c>
      <c r="F252" s="63">
        <v>0.2</v>
      </c>
      <c r="G252" s="63">
        <v>0.1</v>
      </c>
      <c r="H252" s="63">
        <v>0.35</v>
      </c>
      <c r="I252" s="53">
        <f t="shared" si="9"/>
        <v>8.8449999999999989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>
        <v>124</v>
      </c>
      <c r="B253" s="55">
        <v>451.86</v>
      </c>
      <c r="C253" s="55">
        <v>10</v>
      </c>
      <c r="D253" s="55">
        <v>57.81</v>
      </c>
      <c r="E253" s="63">
        <v>0.35</v>
      </c>
      <c r="F253" s="63">
        <v>0.2</v>
      </c>
      <c r="G253" s="63">
        <v>0.1</v>
      </c>
      <c r="H253" s="63">
        <v>0.35</v>
      </c>
      <c r="I253" s="53">
        <f t="shared" si="9"/>
        <v>8.9160000000000021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>
        <v>134</v>
      </c>
      <c r="B254" s="55">
        <v>484.28</v>
      </c>
      <c r="C254" s="55">
        <v>11</v>
      </c>
      <c r="D254" s="55">
        <v>60.779999999999973</v>
      </c>
      <c r="E254" s="63">
        <v>0.5</v>
      </c>
      <c r="F254" s="63">
        <v>0.2</v>
      </c>
      <c r="G254" s="63">
        <v>0</v>
      </c>
      <c r="H254" s="63">
        <v>0.3</v>
      </c>
      <c r="I254" s="53">
        <f t="shared" si="9"/>
        <v>9.0229999999999961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>
        <v>144</v>
      </c>
      <c r="B255" s="55">
        <v>514.94000000000005</v>
      </c>
      <c r="C255" s="55">
        <v>12</v>
      </c>
      <c r="D255" s="55">
        <v>61.800000000000068</v>
      </c>
      <c r="E255" s="63">
        <v>0.5</v>
      </c>
      <c r="F255" s="63">
        <v>0.2</v>
      </c>
      <c r="G255" s="63">
        <v>0</v>
      </c>
      <c r="H255" s="63">
        <v>0.3</v>
      </c>
      <c r="I255" s="53">
        <f t="shared" si="9"/>
        <v>9.1440000000000055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>
        <v>154</v>
      </c>
      <c r="B256" s="55">
        <v>546.49</v>
      </c>
      <c r="C256" s="55">
        <v>13</v>
      </c>
      <c r="D256" s="55">
        <v>61.050000000000011</v>
      </c>
      <c r="E256" s="64">
        <v>0.5</v>
      </c>
      <c r="F256" s="64">
        <v>0.2</v>
      </c>
      <c r="G256" s="64">
        <v>0</v>
      </c>
      <c r="H256" s="64">
        <v>0.3</v>
      </c>
      <c r="I256" s="53">
        <f t="shared" si="9"/>
        <v>9.3350000000000026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>
        <v>164</v>
      </c>
      <c r="B257" s="60">
        <v>580.32000000000005</v>
      </c>
      <c r="C257" s="88">
        <v>14</v>
      </c>
      <c r="D257" s="60">
        <v>66.020000000000095</v>
      </c>
      <c r="E257" s="54">
        <v>0.5</v>
      </c>
      <c r="F257" s="54">
        <v>0.2</v>
      </c>
      <c r="G257" s="54">
        <v>0</v>
      </c>
      <c r="H257" s="54">
        <v>0.3</v>
      </c>
      <c r="I257" s="53">
        <f t="shared" si="9"/>
        <v>9.4880000000000049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>
        <v>174</v>
      </c>
      <c r="B258" s="50">
        <v>610.52</v>
      </c>
      <c r="C258" s="50">
        <v>15</v>
      </c>
      <c r="D258" s="50">
        <v>240</v>
      </c>
      <c r="E258" s="54">
        <v>0.45</v>
      </c>
      <c r="F258" s="54">
        <v>0.05</v>
      </c>
      <c r="G258" s="54">
        <v>0.05</v>
      </c>
      <c r="H258" s="54">
        <v>0.45</v>
      </c>
      <c r="I258" s="53">
        <f t="shared" si="9"/>
        <v>9.6220000000000034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>
        <v>177</v>
      </c>
      <c r="B259" s="50">
        <v>388.94</v>
      </c>
      <c r="C259" s="50">
        <v>16</v>
      </c>
      <c r="D259" s="50">
        <v>128.66000000000003</v>
      </c>
      <c r="E259" s="54">
        <v>0.45</v>
      </c>
      <c r="F259" s="54">
        <v>0.05</v>
      </c>
      <c r="G259" s="54">
        <v>0.05</v>
      </c>
      <c r="H259" s="54">
        <v>0.45</v>
      </c>
      <c r="I259" s="53">
        <f t="shared" si="9"/>
        <v>6.140000000000005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>
        <v>180</v>
      </c>
      <c r="B260" s="50">
        <v>271.56</v>
      </c>
      <c r="C260" s="50">
        <v>17</v>
      </c>
      <c r="D260" s="50">
        <v>86.97</v>
      </c>
      <c r="E260" s="54">
        <v>0.45</v>
      </c>
      <c r="F260" s="54">
        <v>0.05</v>
      </c>
      <c r="G260" s="54">
        <v>0.05</v>
      </c>
      <c r="H260" s="54">
        <v>0.45</v>
      </c>
      <c r="I260" s="53">
        <f t="shared" si="9"/>
        <v>3.76000000000001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>
        <v>183</v>
      </c>
      <c r="B261" s="50">
        <v>191.47</v>
      </c>
      <c r="C261" s="50">
        <v>18</v>
      </c>
      <c r="D261" s="50">
        <v>191.47</v>
      </c>
      <c r="E261" s="54">
        <v>0.45</v>
      </c>
      <c r="F261" s="54">
        <v>0.05</v>
      </c>
      <c r="G261" s="54">
        <v>0.05</v>
      </c>
      <c r="H261" s="54">
        <v>0.45</v>
      </c>
      <c r="I261" s="53">
        <f t="shared" si="9"/>
        <v>2.2933333333333317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80" zoomScaleNormal="80" workbookViewId="0">
      <selection activeCell="P22" sqref="P22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Cèdre de l'Atlas</v>
      </c>
      <c r="B6" s="146">
        <f>'Données projet'!D9</f>
        <v>0.32129999999999997</v>
      </c>
      <c r="C6" s="147">
        <f ca="1">IF(OR('Données projet'!B9="",'Données projet'!C9="",'Données projet'!C9=0%),0,Calculateur!S3)</f>
        <v>252.08270526008477</v>
      </c>
      <c r="D6" s="147">
        <f>IF(OR('Données projet'!B9="",'Données projet'!C9="",'Données projet'!C9=0%),0,Calculateur!T3)</f>
        <v>239.77811108960179</v>
      </c>
      <c r="E6" s="147">
        <f ca="1">MIN(C6,D6)</f>
        <v>239.77811108960179</v>
      </c>
      <c r="F6" s="147">
        <f ca="1">E6*B6</f>
        <v>77.040707093089054</v>
      </c>
      <c r="G6" s="147">
        <f ca="1">F6*(100%-'Données projet'!$C$24)*(100%-'Données projet'!$C$25)*(100%-'Données projet'!$C$26)*(100%-'Données projet'!$C$27)</f>
        <v>58.93614092621312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58.93614092621312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maritime</v>
      </c>
      <c r="B7" s="154">
        <f>'Données projet'!D10</f>
        <v>0.64259999999999995</v>
      </c>
      <c r="C7" s="147">
        <f ca="1">IF(OR('Données projet'!B10="",'Données projet'!C10="",'Données projet'!C10=0%),0,Calculateur!AN3)</f>
        <v>251.64326096359997</v>
      </c>
      <c r="D7" s="147">
        <f>IF(OR('Données projet'!B10="",'Données projet'!C10="",'Données projet'!C10=0%),0,Calculateur!AO3)</f>
        <v>256.72142151189894</v>
      </c>
      <c r="E7" s="147">
        <f t="shared" ref="E7:E15" ca="1" si="0">MIN(C7,D7)</f>
        <v>251.64326096359997</v>
      </c>
      <c r="F7" s="147">
        <f t="shared" ref="F7:F15" ca="1" si="1">E7*B7</f>
        <v>161.70595949520933</v>
      </c>
      <c r="G7" s="147">
        <f ca="1">F7*(100%-'Données projet'!$C$24)*(100%-'Données projet'!$C$25)*(100%-'Données projet'!$C$26)*(100%-'Données projet'!$C$27)</f>
        <v>123.70505901383514</v>
      </c>
      <c r="H7" s="155">
        <f>IF(OR('Données projet'!B10="",'Données projet'!C10="",'Données projet'!C10=0%),0,AVERAGE(Calculateur!$AX$3:$AX$33)*B7)</f>
        <v>6.6322366472287433</v>
      </c>
      <c r="I7" s="149">
        <f>H7*(100%-'Données projet'!$C$24)*(100%-'Données projet'!$C$25)*(100%-'Données projet'!$C$26)*(100%-'Données projet'!$C$27)</f>
        <v>5.0736610351299882</v>
      </c>
      <c r="J7" s="150">
        <f>IF(OR('Données projet'!B10="",'Données projet'!C10="",'Données projet'!C10=0%),0,SUM(Calculateur!$AQ$3:$AQ$33)*VLOOKUP('Données projet'!$B$10,Paramètres!$A$1:$I$89,9,0)*B7)</f>
        <v>58.583785679999984</v>
      </c>
      <c r="K7" s="151">
        <f>J7*(100%-'Données projet'!$C$24)*(100%-'Données projet'!$C$25)*(100%-'Données projet'!$C$26)*(100%-'Données projet'!$C$27)</f>
        <v>44.816596045199987</v>
      </c>
      <c r="L7" s="152">
        <f t="shared" ref="L7:L15" ca="1" si="2">G7+I7+K7</f>
        <v>173.59531609416513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Robinier faux-acacia</v>
      </c>
      <c r="B8" s="154">
        <f>'Données projet'!D11</f>
        <v>0.24990000000000001</v>
      </c>
      <c r="C8" s="147">
        <f ca="1">IF(OR('Données projet'!B11="",'Données projet'!C11="",'Données projet'!C11=0%),0,Calculateur!BI3)</f>
        <v>199.29783428981898</v>
      </c>
      <c r="D8" s="147">
        <f>IF(OR('Données projet'!B11="",'Données projet'!C11="",'Données projet'!C11=0%),0,Calculateur!BJ3)</f>
        <v>237.32002274562547</v>
      </c>
      <c r="E8" s="147">
        <f t="shared" ca="1" si="0"/>
        <v>199.29783428981898</v>
      </c>
      <c r="F8" s="147">
        <f t="shared" ca="1" si="1"/>
        <v>49.804528789025767</v>
      </c>
      <c r="G8" s="147">
        <f ca="1">F8*(100%-'Données projet'!$C$24)*(100%-'Données projet'!$C$25)*(100%-'Données projet'!$C$26)*(100%-'Données projet'!$C$27)</f>
        <v>38.100464523604714</v>
      </c>
      <c r="H8" s="155">
        <f>IF(OR('Données projet'!B11="",'Données projet'!C11="",'Données projet'!C11=0%),0,AVERAGE(Calculateur!$BS$3:$BS$33)*B8)</f>
        <v>2.2086974055992838</v>
      </c>
      <c r="I8" s="149">
        <f>H8*(100%-'Données projet'!$C$24)*(100%-'Données projet'!$C$25)*(100%-'Données projet'!$C$26)*(100%-'Données projet'!$C$27)</f>
        <v>1.6896535152834522</v>
      </c>
      <c r="J8" s="150">
        <f>IF(OR('Données projet'!B11="",'Données projet'!C11="",'Données projet'!C11=0%),0,SUM(Calculateur!$BL$3:$BL$33)*VLOOKUP('Données projet'!$B$11,Paramètres!$A$1:$I$89,9,0)*B8)</f>
        <v>9.0588750000000005</v>
      </c>
      <c r="K8" s="151">
        <f>J8*(100%-'Données projet'!$C$24)*(100%-'Données projet'!$C$25)*(100%-'Données projet'!$C$26)*(100%-'Données projet'!$C$27)</f>
        <v>6.9300393749999998</v>
      </c>
      <c r="L8" s="152">
        <f t="shared" ca="1" si="2"/>
        <v>46.720157413888167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pédonculé</v>
      </c>
      <c r="B9" s="154">
        <f>'Données projet'!D12</f>
        <v>0.32129999999999997</v>
      </c>
      <c r="C9" s="147">
        <f ca="1">IF(OR('Données projet'!B12="",'Données projet'!C12="",'Données projet'!C12=0%),0,Calculateur!CD3)</f>
        <v>295.59075210589327</v>
      </c>
      <c r="D9" s="147">
        <f>IF(OR('Données projet'!B12="",'Données projet'!C12="",'Données projet'!C12=0%),0,Calculateur!CE3)</f>
        <v>210.41181542059576</v>
      </c>
      <c r="E9" s="147">
        <f t="shared" ca="1" si="0"/>
        <v>210.41181542059576</v>
      </c>
      <c r="F9" s="147">
        <f t="shared" ca="1" si="1"/>
        <v>67.605316294637419</v>
      </c>
      <c r="G9" s="147">
        <f ca="1">F9*(100%-'Données projet'!$C$24)*(100%-'Données projet'!$C$25)*(100%-'Données projet'!$C$26)*(100%-'Données projet'!$C$27)</f>
        <v>51.718066965397625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51.718066965397625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Séquoia géant</v>
      </c>
      <c r="B10" s="154">
        <f>'Données projet'!D13</f>
        <v>0.32129999999999997</v>
      </c>
      <c r="C10" s="147">
        <f ca="1">IF(OR('Données projet'!B13="",'Données projet'!C13="",'Données projet'!C13=0%),0,Calculateur!CY3)</f>
        <v>338.22448697444298</v>
      </c>
      <c r="D10" s="147">
        <f>IF(OR('Données projet'!B13="",'Données projet'!C13="",'Données projet'!C13=0%),0,Calculateur!CZ3)</f>
        <v>293.3872365640849</v>
      </c>
      <c r="E10" s="147">
        <f t="shared" ca="1" si="0"/>
        <v>293.3872365640849</v>
      </c>
      <c r="F10" s="147">
        <f t="shared" ca="1" si="1"/>
        <v>94.265319108040472</v>
      </c>
      <c r="G10" s="147">
        <f ca="1">F10*(100%-'Données projet'!$C$24)*(100%-'Données projet'!$C$25)*(100%-'Données projet'!$C$26)*(100%-'Données projet'!$C$27)</f>
        <v>72.112969117650962</v>
      </c>
      <c r="H10" s="155">
        <f>IF(OR('Données projet'!B13="",'Données projet'!C13="",'Données projet'!C13=0%),0,AVERAGE(Calculateur!$DI$3:$DI$33)*B10)</f>
        <v>1.5388824223603992</v>
      </c>
      <c r="I10" s="149">
        <f>H10*(100%-'Données projet'!$C$24)*(100%-'Données projet'!$C$25)*(100%-'Données projet'!$C$26)*(100%-'Données projet'!$C$27)</f>
        <v>1.1772450531057053</v>
      </c>
      <c r="J10" s="150">
        <f>IF(OR('Données projet'!B13="",'Données projet'!C13="",'Données projet'!C13=0%),0,SUM(Calculateur!$DB$3:$DB$33)*VLOOKUP('Données projet'!$B$13,Paramètres!$A$1:$I$89,9,0)*B10)</f>
        <v>18.098828999999999</v>
      </c>
      <c r="K10" s="151">
        <f>J10*(100%-'Données projet'!$C$24)*(100%-'Données projet'!$C$25)*(100%-'Données projet'!$C$26)*(100%-'Données projet'!$C$27)</f>
        <v>13.845604184999999</v>
      </c>
      <c r="L10" s="152">
        <f t="shared" ca="1" si="2"/>
        <v>87.135818355756669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Douglas</v>
      </c>
      <c r="B11" s="154">
        <f>'Données projet'!D14</f>
        <v>0.32129999999999997</v>
      </c>
      <c r="C11" s="147">
        <f ca="1">IF(OR('Données projet'!B14="",'Données projet'!C14="",'Données projet'!C14=0%),0,Calculateur!DT3)</f>
        <v>328.15217666639006</v>
      </c>
      <c r="D11" s="147">
        <f>IF(OR('Données projet'!B14="",'Données projet'!C14="",'Données projet'!C14=0%),0,Calculateur!DU3)</f>
        <v>305.59175773326308</v>
      </c>
      <c r="E11" s="147">
        <f t="shared" ca="1" si="0"/>
        <v>305.59175773326308</v>
      </c>
      <c r="F11" s="147">
        <f t="shared" ca="1" si="1"/>
        <v>98.18663175969742</v>
      </c>
      <c r="G11" s="147">
        <f ca="1">F11*(100%-'Données projet'!$C$24)*(100%-'Données projet'!$C$25)*(100%-'Données projet'!$C$26)*(100%-'Données projet'!$C$27)</f>
        <v>75.112773296168527</v>
      </c>
      <c r="H11" s="155">
        <f>IF(OR('Données projet'!B14="",'Données projet'!C14="",'Données projet'!C14=0%),0,AVERAGE(Calculateur!$ED$3:$ED$33)*B11)</f>
        <v>2.9392588500138257</v>
      </c>
      <c r="I11" s="149">
        <f>H11*(100%-'Données projet'!$C$24)*(100%-'Données projet'!$C$25)*(100%-'Données projet'!$C$26)*(100%-'Données projet'!$C$27)</f>
        <v>2.2485330202605764</v>
      </c>
      <c r="J11" s="150">
        <f>IF(OR('Données projet'!B14="",'Données projet'!C14="",'Données projet'!C14=0%),0,SUM(Calculateur!$DW$3:$DW$33)*VLOOKUP('Données projet'!$B$14,Paramètres!$A$1:$I$89,9,0)*B11)</f>
        <v>18.270146159999996</v>
      </c>
      <c r="K11" s="151">
        <f>J11*(100%-'Données projet'!$C$24)*(100%-'Données projet'!$C$25)*(100%-'Données projet'!$C$26)*(100%-'Données projet'!$C$27)</f>
        <v>13.976661812399996</v>
      </c>
      <c r="L11" s="152">
        <f t="shared" ca="1" si="2"/>
        <v>91.337968128829104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Châtaignier</v>
      </c>
      <c r="B12" s="154">
        <f>'Données projet'!D15</f>
        <v>0.74969999999999992</v>
      </c>
      <c r="C12" s="147">
        <f ca="1">IF(OR('Données projet'!B15="",'Données projet'!C15="",'Données projet'!C15=0%),0,Calculateur!EO3)</f>
        <v>159.78276497127206</v>
      </c>
      <c r="D12" s="147">
        <f>IF(OR('Données projet'!B15="",'Données projet'!C15="",'Données projet'!C15=0%),0,Calculateur!EP3)</f>
        <v>190.72163407919857</v>
      </c>
      <c r="E12" s="147">
        <f t="shared" ca="1" si="0"/>
        <v>159.78276497127206</v>
      </c>
      <c r="F12" s="147">
        <f t="shared" ca="1" si="1"/>
        <v>119.78913889896265</v>
      </c>
      <c r="G12" s="147">
        <f ca="1">F12*(100%-'Données projet'!$C$24)*(100%-'Données projet'!$C$25)*(100%-'Données projet'!$C$26)*(100%-'Données projet'!$C$27)</f>
        <v>91.638691257706427</v>
      </c>
      <c r="H12" s="155">
        <f>IF(OR('Données projet'!B15="",'Données projet'!C15="",'Données projet'!C15=0%),0,AVERAGE(Calculateur!$EY$3:$EY$33)*B12)</f>
        <v>7.6961680288209537</v>
      </c>
      <c r="I12" s="149">
        <f>H12*(100%-'Données projet'!$C$24)*(100%-'Données projet'!$C$25)*(100%-'Données projet'!$C$26)*(100%-'Données projet'!$C$27)</f>
        <v>5.8875685420480295</v>
      </c>
      <c r="J12" s="150">
        <f>IF(OR('Données projet'!B15="",'Données projet'!C15="",'Données projet'!C15=0%),0,SUM(Calculateur!$ER$3:$ER$33)*VLOOKUP('Données projet'!$B$15,Paramètres!$A$1:$I$89,9,0)*B12)</f>
        <v>27.176624999999998</v>
      </c>
      <c r="K12" s="151">
        <f>J12*(100%-'Données projet'!$C$24)*(100%-'Données projet'!$C$25)*(100%-'Données projet'!$C$26)*(100%-'Données projet'!$C$27)</f>
        <v>20.790118124999999</v>
      </c>
      <c r="L12" s="152">
        <f t="shared" ca="1" si="2"/>
        <v>118.31637792475445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Hêtre</v>
      </c>
      <c r="B13" s="154">
        <f>'Données projet'!D16</f>
        <v>0.21419999999999997</v>
      </c>
      <c r="C13" s="147">
        <f ca="1">IF(OR('Données projet'!B16="",'Données projet'!C16="",'Données projet'!C16=0%),0,Calculateur!FJ3)</f>
        <v>337.15023592377008</v>
      </c>
      <c r="D13" s="147">
        <f>IF(OR('Données projet'!B16="",'Données projet'!C16="",'Données projet'!C16=0%),0,Calculateur!FK3)</f>
        <v>286.60608582587099</v>
      </c>
      <c r="E13" s="147">
        <f t="shared" ca="1" si="0"/>
        <v>286.60608582587099</v>
      </c>
      <c r="F13" s="147">
        <f t="shared" ca="1" si="1"/>
        <v>61.391023583901557</v>
      </c>
      <c r="G13" s="147">
        <f ca="1">F13*(100%-'Données projet'!$C$24)*(100%-'Données projet'!$C$25)*(100%-'Données projet'!$C$26)*(100%-'Données projet'!$C$27)</f>
        <v>46.96413304168469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46.96413304168469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>Chêne sessile</v>
      </c>
      <c r="B14" s="154">
        <f>'Données projet'!D17</f>
        <v>0.42839999999999995</v>
      </c>
      <c r="C14" s="147">
        <f ca="1">IF(OR('Données projet'!B17="",'Données projet'!C17="",'Données projet'!C17=0%),0,Calculateur!GE3)</f>
        <v>486.55344536255876</v>
      </c>
      <c r="D14" s="147">
        <f>IF(OR('Données projet'!B17="",'Données projet'!C17="",'Données projet'!C17=0%),0,Calculateur!GF3)</f>
        <v>231.14794884432229</v>
      </c>
      <c r="E14" s="147">
        <f t="shared" ca="1" si="0"/>
        <v>231.14794884432229</v>
      </c>
      <c r="F14" s="147">
        <f t="shared" ca="1" si="1"/>
        <v>99.023781284907656</v>
      </c>
      <c r="G14" s="147">
        <f ca="1">F14*(100%-'Données projet'!$C$24)*(100%-'Données projet'!$C$25)*(100%-'Données projet'!$C$26)*(100%-'Données projet'!$C$27)</f>
        <v>75.753192682954349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75.753192682954349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828.81240630747118</v>
      </c>
      <c r="G16" s="166">
        <f t="shared" ca="1" si="3"/>
        <v>634.04149082521553</v>
      </c>
      <c r="H16" s="167">
        <f t="shared" si="3"/>
        <v>21.015243354023205</v>
      </c>
      <c r="I16" s="167">
        <f t="shared" si="3"/>
        <v>16.076661165827751</v>
      </c>
      <c r="J16" s="168">
        <f t="shared" si="3"/>
        <v>131.18826083999997</v>
      </c>
      <c r="K16" s="168">
        <f t="shared" si="3"/>
        <v>100.35901954259998</v>
      </c>
      <c r="L16" s="169">
        <f t="shared" ca="1" si="3"/>
        <v>750.47717153364329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71" t="s">
        <v>246</v>
      </c>
      <c r="G17" s="272"/>
      <c r="H17" s="272"/>
      <c r="I17" s="272"/>
      <c r="J17" s="272"/>
      <c r="K17" s="272"/>
      <c r="L17" s="27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Robinier faux-acacia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Séquoia géant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Hêtre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>Chêne sessile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531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3125" style="4" bestFit="1" customWidth="1"/>
    <col min="25" max="25" width="14.53125" style="4" bestFit="1" customWidth="1"/>
    <col min="26" max="26" width="12.46484375" style="4" bestFit="1" customWidth="1"/>
    <col min="27" max="27" width="9.531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3125" style="4" bestFit="1" customWidth="1"/>
    <col min="46" max="46" width="8.46484375" style="4" bestFit="1" customWidth="1"/>
    <col min="47" max="47" width="9.46484375" style="4" bestFit="1" customWidth="1"/>
    <col min="48" max="48" width="9.531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3125" style="4" bestFit="1" customWidth="1"/>
    <col min="67" max="67" width="8.46484375" style="4" bestFit="1" customWidth="1"/>
    <col min="68" max="68" width="9.46484375" style="4" bestFit="1" customWidth="1"/>
    <col min="69" max="69" width="9.531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3125" style="4" bestFit="1" customWidth="1"/>
    <col min="88" max="88" width="8.46484375" style="4" bestFit="1" customWidth="1"/>
    <col min="89" max="89" width="9.46484375" style="4" bestFit="1" customWidth="1"/>
    <col min="90" max="90" width="9.531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3125" style="4" bestFit="1" customWidth="1"/>
    <col min="109" max="109" width="8.46484375" style="4" bestFit="1" customWidth="1"/>
    <col min="110" max="110" width="9.46484375" style="4" bestFit="1" customWidth="1"/>
    <col min="111" max="111" width="9.531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3125" style="4" bestFit="1" customWidth="1"/>
    <col min="130" max="130" width="8.46484375" style="4" bestFit="1" customWidth="1"/>
    <col min="131" max="131" width="9.46484375" style="4" bestFit="1" customWidth="1"/>
    <col min="132" max="132" width="9.531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3125" style="4" bestFit="1" customWidth="1"/>
    <col min="151" max="151" width="8.46484375" style="4" bestFit="1" customWidth="1"/>
    <col min="152" max="152" width="9.46484375" style="4" bestFit="1" customWidth="1"/>
    <col min="153" max="153" width="9.531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3125" style="4" bestFit="1" customWidth="1"/>
    <col min="172" max="172" width="8.1328125" style="4" bestFit="1" customWidth="1"/>
    <col min="173" max="173" width="9.46484375" style="4" bestFit="1" customWidth="1"/>
    <col min="174" max="174" width="9.531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31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3125" style="4" bestFit="1" customWidth="1"/>
    <col min="214" max="214" width="8.46484375" style="4" bestFit="1" customWidth="1"/>
    <col min="215" max="215" width="9.46484375" style="4" bestFit="1" customWidth="1"/>
    <col min="216" max="216" width="9.531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Cèdre de l'Atlas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Pin maritime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Robinier faux-acacia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Chêne pédonculé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Séquoia géant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Douglas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Châtaignier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Hêtre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>Chêne sessile</v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252.08270526008477</v>
      </c>
      <c r="T3" s="59">
        <f>IF('Données projet'!E9&gt;30,$R$33-$H$33,LOOKUP('Données projet'!$E$9,$A$3:$A$203,R3:R203)-LOOKUP('Données projet'!$E$9,$A$3:$A$203,$H$3:$H$203))</f>
        <v>239.77811108960179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251.64326096359997</v>
      </c>
      <c r="AO3" s="59">
        <f>IF('Données projet'!E10&gt;30,$AM$33-$H$33,LOOKUP('Données projet'!$E$10,$A$3:$A$203,AM3:AM203)-LOOKUP('Données projet'!$E$10,$A$3:$A$203,$H$3:$H$203))</f>
        <v>256.72142151189894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199.29783428981898</v>
      </c>
      <c r="BJ3" s="59">
        <f>IF('Données projet'!E11&gt;30,$BH$33-$H$33,LOOKUP('Données projet'!$E$11,$A$3:$A$203,BH3:BH203)-LOOKUP('Données projet'!$E$11,$A$3:$A$203,$H$3:$H$203))</f>
        <v>237.32002274562547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295.59075210589327</v>
      </c>
      <c r="CE3" s="59">
        <f>IF('Données projet'!E12&gt;30,$CC$33-$H$33,LOOKUP('Données projet'!$E$12,$A$3:$A$203,CC3:CC203)-LOOKUP('Données projet'!$E$12,$A$3:$A$203,$H$3:$H$203))</f>
        <v>210.41181542059576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338.22448697444298</v>
      </c>
      <c r="CZ3" s="59">
        <f>IF('Données projet'!E13&gt;30,$CX$33-$H$33,LOOKUP('Données projet'!$E$13,$A$3:$A$203,CX3:CX203)-LOOKUP('Données projet'!$E$13,$A$3:$A$203,$H$3:$H$203))</f>
        <v>293.3872365640849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328.15217666639006</v>
      </c>
      <c r="DU3" s="59">
        <f>IF('Données projet'!E14&gt;30,$DS$33-$H$33,LOOKUP('Données projet'!$E$14,$A$3:$A$203,DS3:DS203)-LOOKUP('Données projet'!$E$14,$A$3:$A$203,$H$3:$H$203))</f>
        <v>305.59175773326308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159.78276497127206</v>
      </c>
      <c r="EP3" s="59">
        <f>IF('Données projet'!E15&gt;30,$EN$33-$H$33,LOOKUP('Données projet'!$E$15,$A$3:$A$203,EN3:EN203)-LOOKUP('Données projet'!$E$15,$A$3:$A$203,$H$3:$H$203))</f>
        <v>190.72163407919857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337.15023592377008</v>
      </c>
      <c r="FK3" s="59">
        <f>IF('Données projet'!E16&gt;30,$FI$33-$H$33,LOOKUP('Données projet'!$E$16,$A$3:$A$203,FI3:FI203)-LOOKUP('Données projet'!$E$16,$A$3:$A$203,$H$3:$H$203))</f>
        <v>286.60608582587099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486.55344536255876</v>
      </c>
      <c r="GF3" s="59">
        <f>IF('Données projet'!E17&gt;30,$GD$33-$H$33,LOOKUP('Données projet'!$E$17,$A$3:$A$203,GD3:GD203)-LOOKUP('Données projet'!$E$17,$A$3:$A$203,$H$3:$H$203))</f>
        <v>231.14794884432229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258.55379409513478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8.2014285714285702</v>
      </c>
      <c r="N4" s="13">
        <f>IF('Données projet'!$A$36&gt;35,N3+M4-V3,IF(A4&lt;'Données projet'!$A$36,$K$205^A4,IF(A4='Données projet'!$A$36,'Données projet'!$B$36,N3+M4-V3)))</f>
        <v>8.2014285714285702</v>
      </c>
      <c r="O4" s="13">
        <f>N4*VLOOKUP('Données projet'!$B$9,Paramètres!$A$1:$I$89,3,0)*VLOOKUP('Données projet'!$B$9,Paramètres!$A$1:$I$89,5,0)</f>
        <v>3.8382685714285705</v>
      </c>
      <c r="P4" s="13">
        <f>EXP(-1.0587+0.8836*LN(O4)+0.284)</f>
        <v>1.5124954223184839</v>
      </c>
      <c r="Q4" s="20">
        <f t="shared" ref="Q4:Q34" si="2">(O4+P4)*0.475*44/12</f>
        <v>9.3192472891094518</v>
      </c>
      <c r="R4" s="59">
        <f t="shared" si="0"/>
        <v>267.20813617799831</v>
      </c>
      <c r="S4" s="59">
        <f ca="1">AVERAGE(OFFSET($R$3,0,0,'Données projet'!$E$9+1,1))-AVERAGE(OFFSET($H$3,0,0,'Données projet'!$E$9+1,1))</f>
        <v>252.08270526008477</v>
      </c>
      <c r="T4" s="59">
        <f>$T$3</f>
        <v>239.77811108960179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259.926165855899</v>
      </c>
      <c r="AN4" s="59">
        <f ca="1">AVERAGE(OFFSET($AM$3,0,0,'Données projet'!$E$10+1,1))-AVERAGE(OFFSET($H$3,0,0,'Données projet'!$E$10+1,1))</f>
        <v>251.64326096359997</v>
      </c>
      <c r="AO4" s="59">
        <f>$AO$3</f>
        <v>256.72142151189894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11.5</v>
      </c>
      <c r="BD4" s="12">
        <f>IF('Données projet'!$A$88&gt;35,BD3+BC4-BL3,IF(A4&lt;'Données projet'!$A$88,$BA$205^A4,IF(A4='Données projet'!$A$88,'Données projet'!$B$88,BD3+BC4-BL3)))</f>
        <v>1.6071994829923506</v>
      </c>
      <c r="BE4" s="13">
        <f>BD4*VLOOKUP('Données projet'!$B$11,Paramètres!$A$1:$I$89,3,0)*VLOOKUP('Données projet'!$B$11,Paramètres!$A$1:$I$89,5,0)</f>
        <v>1.4541940922114787</v>
      </c>
      <c r="BF4" s="13">
        <f>EXP(-1.0587+0.8836*LN(BE4)+0.284)</f>
        <v>0.64157169627245014</v>
      </c>
      <c r="BG4" s="20">
        <f t="shared" ref="BG4:BG67" si="7">(BE4+BF4)*0.475*44/12</f>
        <v>3.6501254149428424</v>
      </c>
      <c r="BH4" s="59">
        <f t="shared" ref="BH4:BH67" si="8">BG4+(AY4+AZ4)*44/12</f>
        <v>261.53901430383172</v>
      </c>
      <c r="BI4" s="59">
        <f ca="1">AVERAGE(OFFSET($BH$3,0,0,'Données projet'!$E$11+1,1))-AVERAGE(OFFSET($H$3,0,0,'Données projet'!$E$11+1,1))</f>
        <v>199.29783428981898</v>
      </c>
      <c r="BJ4" s="59">
        <f>$BJ$3</f>
        <v>237.32002274562547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4.016578947368421</v>
      </c>
      <c r="BY4" s="12">
        <f>IF('Données projet'!$A$114&gt;35,BY3+BX4-CG3,IF(A4&lt;'Données projet'!$A$114,$BV$205^A4,IF(A4='Données projet'!$A$114,'Données projet'!$B$114,BY3+BX4-CG3)))</f>
        <v>4.016578947368421</v>
      </c>
      <c r="BZ4" s="13">
        <f>BY4*VLOOKUP('Données projet'!$B$12,Paramètres!$A$1:$I$89,3,0)*VLOOKUP('Données projet'!$B$12,Paramètres!$A$1:$I$89,5,0)</f>
        <v>3.3835661052631578</v>
      </c>
      <c r="CA4" s="13">
        <f>EXP(-1.0587+0.8836*LN(BZ4)+0.284)</f>
        <v>1.3530302912159007</v>
      </c>
      <c r="CB4" s="20">
        <f t="shared" ref="CB4:CB67" si="10">(BZ4+CA4)*0.475*44/12</f>
        <v>8.2495720572010267</v>
      </c>
      <c r="CC4" s="59">
        <f t="shared" ref="CC4:CC67" si="11">CB4+(BT4+BU4)*44/12</f>
        <v>266.13846094608988</v>
      </c>
      <c r="CD4" s="59">
        <f ca="1">AVERAGE(OFFSET($CC$3,0,0,'Données projet'!$E$12+1,1))-AVERAGE(OFFSET($H$3,0,0,'Données projet'!$E$12+1,1))</f>
        <v>295.59075210589327</v>
      </c>
      <c r="CE4" s="59">
        <f>$CE$3</f>
        <v>210.41181542059576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6.7</v>
      </c>
      <c r="CT4" s="12">
        <f>IF('Données projet'!$A$140&gt;35,CT3+CS4-DB3,IF(A4&lt;'Données projet'!$A$140,$CQ$205^A4,IF(A4='Données projet'!$A$140,'Données projet'!$B$140,CT3+CS4-DB3)))</f>
        <v>1.277483324775911</v>
      </c>
      <c r="CU4" s="17">
        <f>CT4*VLOOKUP('Données projet'!$B$13,Paramètres!$A$1:$I$89,3,0)*VLOOKUP('Données projet'!$B$13,Paramètres!$A$1:$I$89,5,0)</f>
        <v>0.58125491277303942</v>
      </c>
      <c r="CV4" s="13">
        <f>EXP(-1.0587+0.8836*LN(CU4)+0.284)</f>
        <v>0.28532933548375516</v>
      </c>
      <c r="CW4" s="20">
        <f t="shared" ref="CW4:CW67" si="13">(CU4+CV4)*0.475*44/12</f>
        <v>1.5093008990472505</v>
      </c>
      <c r="CX4" s="59">
        <f t="shared" ref="CX4:CX67" si="14">CW4+(CO4+CP4)*44/12</f>
        <v>259.39818978793613</v>
      </c>
      <c r="CY4" s="59">
        <f ca="1">AVERAGE(OFFSET($CX$3,0,0,'Données projet'!$E$13+1,1))-AVERAGE(OFFSET($H$3,0,0,'Données projet'!$E$13+1,1))</f>
        <v>338.22448697444298</v>
      </c>
      <c r="CZ4" s="59">
        <f>$CZ$3</f>
        <v>293.3872365640849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9.300476190476191</v>
      </c>
      <c r="DO4" s="12">
        <f>IF('Données projet'!$A$166&gt;35,DO3+DN4-DW3,IF(A4&lt;'Données projet'!$A$166,$DL$205^A4,IF(A4='Données projet'!$A$166,'Données projet'!$B$166,DO3+DN4-DW3)))</f>
        <v>1.2855297099408214</v>
      </c>
      <c r="DP4" s="17">
        <f>DO4*VLOOKUP('Données projet'!$B$14,Paramètres!$A$1:$I$89,3,0)*VLOOKUP('Données projet'!$B$14,Paramètres!$A$1:$I$89,5,0)</f>
        <v>0.71861110785691917</v>
      </c>
      <c r="DQ4" s="13">
        <f>EXP(-1.0587+0.8836*LN(DP4)+0.284)</f>
        <v>0.34415184160564588</v>
      </c>
      <c r="DR4" s="20">
        <f t="shared" ref="DR4:DR67" si="16">(DP4+DQ4)*0.475*44/12</f>
        <v>1.8509788036473005</v>
      </c>
      <c r="DS4" s="59">
        <f t="shared" ref="DS4:DS67" si="17">DR4+(DJ4+DK4)*44/12</f>
        <v>259.73986769253617</v>
      </c>
      <c r="DT4" s="59">
        <f ca="1">AVERAGE(OFFSET($DS$3,0,0,'Données projet'!$E$14+1,1))-AVERAGE(OFFSET($H$3,0,0,'Données projet'!$E$14+1,1))</f>
        <v>328.15217666639006</v>
      </c>
      <c r="DU4" s="59">
        <f>$DU$3</f>
        <v>305.59175773326308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11.5</v>
      </c>
      <c r="EJ4" s="12">
        <f>IF('Données projet'!$A$192&gt;35,EJ3+EI4-ER3,IF(A4&lt;'Données projet'!$A$192,$EG$205^A4,IF(A4='Données projet'!$A$192,'Données projet'!$B$192,EJ3+EI4-ER3)))</f>
        <v>1.6071994829923506</v>
      </c>
      <c r="EK4" s="17">
        <f>EJ4*VLOOKUP('Données projet'!$B$15,Paramètres!$A$1:$I$89,3,0)*VLOOKUP('Données projet'!$B$15,Paramètres!$A$1:$I$89,5,0)</f>
        <v>1.1783986609299915</v>
      </c>
      <c r="EL4" s="13">
        <f>EXP(-1.0587+0.8836*LN(EK4)+0.284)</f>
        <v>0.53277751568396181</v>
      </c>
      <c r="EM4" s="20">
        <f t="shared" ref="EM4:EM67" si="19">(EK4+EL4)*0.475*44/12</f>
        <v>2.9802985076026349</v>
      </c>
      <c r="EN4" s="59">
        <f t="shared" ref="EN4:EN67" si="20">EM4+(EE4+EF4)*44/12</f>
        <v>260.8691873964915</v>
      </c>
      <c r="EO4" s="59">
        <f ca="1">AVERAGE(OFFSET($EN$3,0,0,'Données projet'!$E$15+1,1))-AVERAGE(OFFSET($H$3,0,0,'Données projet'!$E$15+1,1))</f>
        <v>159.78276497127206</v>
      </c>
      <c r="EP4" s="59">
        <f>$EP$3</f>
        <v>190.72163407919857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5.3214035087719296</v>
      </c>
      <c r="FE4" s="12">
        <f>IF('Données projet'!$A$218&gt;35,FE3+FD4-FM3,IF(A4&lt;'Données projet'!$A$218,$FB$205^A4,IF(A4='Données projet'!$A$218,'Données projet'!$B$218,FE3+FD4-FM3)))</f>
        <v>5.3214035087719296</v>
      </c>
      <c r="FF4" s="17">
        <f>FE4*VLOOKUP('Données projet'!$B$16,Paramètres!$A$1:$I$89,3,0)*VLOOKUP('Données projet'!$B$16,Paramètres!$A$1:$I$89,5,0)</f>
        <v>4.5657642105263161</v>
      </c>
      <c r="FG4" s="13">
        <f>EXP(-1.0587+0.8836*LN(FF4)+0.284)</f>
        <v>1.763186188926978</v>
      </c>
      <c r="FH4" s="20">
        <f t="shared" ref="FH4:FH67" si="22">(FF4+FG4)*0.475*44/12</f>
        <v>11.022921945714486</v>
      </c>
      <c r="FI4" s="59">
        <f t="shared" ref="FI4:FI67" si="23">FH4+(EZ4+FA4)*44/12</f>
        <v>268.91181083460333</v>
      </c>
      <c r="FJ4" s="59">
        <f ca="1">AVERAGE(OFFSET($FI$3,0,0,'Données projet'!$E$16+1,1))-AVERAGE(OFFSET($H$3,0,0,'Données projet'!$E$16+1,1))</f>
        <v>337.15023592377008</v>
      </c>
      <c r="FK4" s="59">
        <f>$FK$3</f>
        <v>286.60608582587099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4.0942857142857143</v>
      </c>
      <c r="FZ4" s="12">
        <f>IF('Données projet'!$A$244&gt;35,FZ3+FY4-GH3,IF(A4&lt;'Données projet'!$A$244,$FW$205^A4,IF(A4='Données projet'!$A$244,'Données projet'!$B$244,FZ3+FY4-GH3)))</f>
        <v>4.0942857142857143</v>
      </c>
      <c r="GA4" s="17">
        <f>FZ4*VLOOKUP('Données projet'!$B$17,Paramètres!$A$1:$I$89,3,0)*VLOOKUP('Données projet'!$B$17,Paramètres!$A$1:$I$89,5,0)</f>
        <v>3.704509714285714</v>
      </c>
      <c r="GB4" s="13">
        <f>EXP(-1.0587+0.8836*LN(GA4)+0.284)</f>
        <v>1.4658264193249637</v>
      </c>
      <c r="GC4" s="20">
        <f t="shared" ref="GC4:GC67" si="25">(GA4+GB4)*0.475*44/12</f>
        <v>9.0050020993719304</v>
      </c>
      <c r="GD4" s="59">
        <f t="shared" ref="GD4:GD67" si="26">GC4+(FU4+FV4)*44/12</f>
        <v>266.89389098826081</v>
      </c>
      <c r="GE4" s="59">
        <f ca="1">AVERAGE(OFFSET($GD$3,0,0,'Données projet'!$E$17+1,1))-AVERAGE(OFFSET($H$3,0,0,'Données projet'!$E$17+1,1))</f>
        <v>486.55344536255876</v>
      </c>
      <c r="GF4" s="59">
        <f>$GF$3</f>
        <v>231.14794884432229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260.34633397981264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8.2014285714285702</v>
      </c>
      <c r="N5" s="13">
        <f>IF('Données projet'!$A$36&gt;35,N4+M5-V4,IF(A5&lt;'Données projet'!$A$36,$K$205^A5,IF(A5='Données projet'!$A$36,'Données projet'!$B$36,N4+M5-V4)))</f>
        <v>16.40285714285714</v>
      </c>
      <c r="O5" s="13">
        <f>N5*VLOOKUP('Données projet'!$B$9,Paramètres!$A$1:$I$89,3,0)*VLOOKUP('Données projet'!$B$9,Paramètres!$A$1:$I$89,5,0)</f>
        <v>7.6765371428571409</v>
      </c>
      <c r="P5" s="13">
        <f t="shared" ref="P5:P68" si="33">EXP(-1.0587+0.8836*LN(O5)+0.284)</f>
        <v>2.7905137902620476</v>
      </c>
      <c r="Q5" s="20">
        <f t="shared" si="2"/>
        <v>18.230113708515919</v>
      </c>
      <c r="R5" s="59">
        <f t="shared" si="0"/>
        <v>277.34122481962709</v>
      </c>
      <c r="S5" s="59">
        <f ca="1">AVERAGE(OFFSET($R$3,0,0,'Données projet'!$E$9+1,1))-AVERAGE(OFFSET($H$3,0,0,'Données projet'!$E$9+1,1))</f>
        <v>252.08270526008477</v>
      </c>
      <c r="T5" s="59">
        <f t="shared" ref="T5:T68" si="34">$T$3</f>
        <v>239.77811108960179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261.78759731025428</v>
      </c>
      <c r="AN5" s="59">
        <f ca="1">AVERAGE(OFFSET($AM$3,0,0,'Données projet'!$E$10+1,1))-AVERAGE(OFFSET($H$3,0,0,'Données projet'!$E$10+1,1))</f>
        <v>251.64326096359997</v>
      </c>
      <c r="AO5" s="59">
        <f t="shared" ref="AO5:AO68" si="36">$AO$3</f>
        <v>256.72142151189894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11.5</v>
      </c>
      <c r="BD5" s="12">
        <f>IF('Données projet'!$A$88&gt;35,BD4+BC5-BL4,IF(A5&lt;'Données projet'!$A$88,$BA$205^A5,IF(A5='Données projet'!$A$88,'Données projet'!$B$88,BD4+BC5-BL4)))</f>
        <v>2.5830901781308793</v>
      </c>
      <c r="BE5" s="13">
        <f>BD5*VLOOKUP('Données projet'!$B$11,Paramètres!$A$1:$I$89,3,0)*VLOOKUP('Données projet'!$B$11,Paramètres!$A$1:$I$89,5,0)</f>
        <v>2.3371799931728194</v>
      </c>
      <c r="BF5" s="13">
        <f t="shared" ref="BF5:BF68" si="37">EXP(-1.0587+0.8836*LN(BE5)+0.284)</f>
        <v>0.97572730245737949</v>
      </c>
      <c r="BG5" s="20">
        <f t="shared" si="7"/>
        <v>5.7699802065559309</v>
      </c>
      <c r="BH5" s="59">
        <f t="shared" si="8"/>
        <v>264.88109131766709</v>
      </c>
      <c r="BI5" s="59">
        <f ca="1">AVERAGE(OFFSET($BH$3,0,0,'Données projet'!$E$11+1,1))-AVERAGE(OFFSET($H$3,0,0,'Données projet'!$E$11+1,1))</f>
        <v>199.29783428981898</v>
      </c>
      <c r="BJ5" s="59">
        <f t="shared" ref="BJ5:BJ68" si="38">$BJ$3</f>
        <v>237.32002274562547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4.016578947368421</v>
      </c>
      <c r="BY5" s="12">
        <f>IF('Données projet'!$A$114&gt;35,BY4+BX5-CG4,IF(A5&lt;'Données projet'!$A$114,$BV$205^A5,IF(A5='Données projet'!$A$114,'Données projet'!$B$114,BY4+BX5-CG4)))</f>
        <v>8.0331578947368421</v>
      </c>
      <c r="BZ5" s="13">
        <f>BY5*VLOOKUP('Données projet'!$B$12,Paramètres!$A$1:$I$89,3,0)*VLOOKUP('Données projet'!$B$12,Paramètres!$A$1:$I$89,5,0)</f>
        <v>6.7671322105263156</v>
      </c>
      <c r="CA5" s="13">
        <f t="shared" ref="CA5:CA68" si="39">EXP(-1.0587+0.8836*LN(BZ5)+0.284)</f>
        <v>2.4963048684753049</v>
      </c>
      <c r="CB5" s="20">
        <f t="shared" si="10"/>
        <v>16.133819579261157</v>
      </c>
      <c r="CC5" s="59">
        <f t="shared" si="11"/>
        <v>275.24493069037231</v>
      </c>
      <c r="CD5" s="59">
        <f ca="1">AVERAGE(OFFSET($CC$3,0,0,'Données projet'!$E$12+1,1))-AVERAGE(OFFSET($H$3,0,0,'Données projet'!$E$12+1,1))</f>
        <v>295.59075210589327</v>
      </c>
      <c r="CE5" s="59">
        <f t="shared" ref="CE5:CE68" si="40">$CE$3</f>
        <v>210.41181542059576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6.7</v>
      </c>
      <c r="CT5" s="12">
        <f>IF('Données projet'!$A$140&gt;35,CT4+CS5-DB4,IF(A5&lt;'Données projet'!$A$140,$CQ$205^A5,IF(A5='Données projet'!$A$140,'Données projet'!$B$140,CT4+CS5-DB4)))</f>
        <v>1.6319636450805157</v>
      </c>
      <c r="CU5" s="17">
        <f>CT5*VLOOKUP('Données projet'!$B$13,Paramètres!$A$1:$I$89,3,0)*VLOOKUP('Données projet'!$B$13,Paramètres!$A$1:$I$89,5,0)</f>
        <v>0.74254345851163472</v>
      </c>
      <c r="CV5" s="13">
        <f t="shared" ref="CV5:CV68" si="41">EXP(-1.0587+0.8836*LN(CU5)+0.284)</f>
        <v>0.35425983412055445</v>
      </c>
      <c r="CW5" s="20">
        <f t="shared" si="13"/>
        <v>1.9102657346677294</v>
      </c>
      <c r="CX5" s="59">
        <f t="shared" si="14"/>
        <v>261.02137684577889</v>
      </c>
      <c r="CY5" s="59">
        <f ca="1">AVERAGE(OFFSET($CX$3,0,0,'Données projet'!$E$13+1,1))-AVERAGE(OFFSET($H$3,0,0,'Données projet'!$E$13+1,1))</f>
        <v>338.22448697444298</v>
      </c>
      <c r="CZ5" s="59">
        <f t="shared" ref="CZ5:CZ68" si="42">$CZ$3</f>
        <v>293.3872365640849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9.300476190476191</v>
      </c>
      <c r="DO5" s="12">
        <f>IF('Données projet'!$A$166&gt;35,DO4+DN5-DW4,IF(A5&lt;'Données projet'!$A$166,$DL$205^A5,IF(A5='Données projet'!$A$166,'Données projet'!$B$166,DO4+DN5-DW4)))</f>
        <v>1.6525866351405323</v>
      </c>
      <c r="DP5" s="17">
        <f>DO5*VLOOKUP('Données projet'!$B$14,Paramètres!$A$1:$I$89,3,0)*VLOOKUP('Données projet'!$B$14,Paramètres!$A$1:$I$89,5,0)</f>
        <v>0.92379592904355756</v>
      </c>
      <c r="DQ5" s="13">
        <f t="shared" ref="DQ5:DQ68" si="43">EXP(-1.0587+0.8836*LN(DP5)+0.284)</f>
        <v>0.42967002528896309</v>
      </c>
      <c r="DR5" s="20">
        <f t="shared" si="16"/>
        <v>2.35728653712914</v>
      </c>
      <c r="DS5" s="59">
        <f t="shared" si="17"/>
        <v>261.46839764824028</v>
      </c>
      <c r="DT5" s="59">
        <f ca="1">AVERAGE(OFFSET($DS$3,0,0,'Données projet'!$E$14+1,1))-AVERAGE(OFFSET($H$3,0,0,'Données projet'!$E$14+1,1))</f>
        <v>328.15217666639006</v>
      </c>
      <c r="DU5" s="59">
        <f t="shared" ref="DU5:DU68" si="44">$DU$3</f>
        <v>305.59175773326308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11.5</v>
      </c>
      <c r="EJ5" s="12">
        <f>IF('Données projet'!$A$192&gt;35,EJ4+EI5-ER4,IF(A5&lt;'Données projet'!$A$192,$EG$205^A5,IF(A5='Données projet'!$A$192,'Données projet'!$B$192,EJ4+EI5-ER4)))</f>
        <v>2.5830901781308793</v>
      </c>
      <c r="EK5" s="17">
        <f>EJ5*VLOOKUP('Données projet'!$B$15,Paramètres!$A$1:$I$89,3,0)*VLOOKUP('Données projet'!$B$15,Paramètres!$A$1:$I$89,5,0)</f>
        <v>1.8939217186055606</v>
      </c>
      <c r="EL5" s="13">
        <f t="shared" ref="EL5:EL68" si="45">EXP(-1.0587+0.8836*LN(EK5)+0.284)</f>
        <v>0.81026886193479808</v>
      </c>
      <c r="EM5" s="20">
        <f t="shared" si="19"/>
        <v>4.709798594441124</v>
      </c>
      <c r="EN5" s="59">
        <f t="shared" si="20"/>
        <v>263.82090970555225</v>
      </c>
      <c r="EO5" s="59">
        <f ca="1">AVERAGE(OFFSET($EN$3,0,0,'Données projet'!$E$15+1,1))-AVERAGE(OFFSET($H$3,0,0,'Données projet'!$E$15+1,1))</f>
        <v>159.78276497127206</v>
      </c>
      <c r="EP5" s="59">
        <f t="shared" ref="EP5:EP68" si="46">$EP$3</f>
        <v>190.72163407919857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5.3214035087719296</v>
      </c>
      <c r="FE5" s="12">
        <f>IF('Données projet'!$A$218&gt;35,FE4+FD5-FM4,IF(A5&lt;'Données projet'!$A$218,$FB$205^A5,IF(A5='Données projet'!$A$218,'Données projet'!$B$218,FE4+FD5-FM4)))</f>
        <v>10.642807017543859</v>
      </c>
      <c r="FF5" s="17">
        <f>FE5*VLOOKUP('Données projet'!$B$16,Paramètres!$A$1:$I$89,3,0)*VLOOKUP('Données projet'!$B$16,Paramètres!$A$1:$I$89,5,0)</f>
        <v>9.1315284210526322</v>
      </c>
      <c r="FG5" s="13">
        <f t="shared" ref="FG5:FG68" si="47">EXP(-1.0587+0.8836*LN(FF5)+0.284)</f>
        <v>3.2530315810531278</v>
      </c>
      <c r="FH5" s="20">
        <f t="shared" si="22"/>
        <v>21.569775337000863</v>
      </c>
      <c r="FI5" s="59">
        <f t="shared" si="23"/>
        <v>280.68088644811201</v>
      </c>
      <c r="FJ5" s="59">
        <f ca="1">AVERAGE(OFFSET($FI$3,0,0,'Données projet'!$E$16+1,1))-AVERAGE(OFFSET($H$3,0,0,'Données projet'!$E$16+1,1))</f>
        <v>337.15023592377008</v>
      </c>
      <c r="FK5" s="59">
        <f t="shared" ref="FK5:FK68" si="48">$FK$3</f>
        <v>286.60608582587099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4.0942857142857143</v>
      </c>
      <c r="FZ5" s="12">
        <f>IF('Données projet'!$A$244&gt;35,FZ4+FY5-GH4,IF(A5&lt;'Données projet'!$A$244,$FW$205^A5,IF(A5='Données projet'!$A$244,'Données projet'!$B$244,FZ4+FY5-GH4)))</f>
        <v>8.1885714285714286</v>
      </c>
      <c r="GA5" s="17">
        <f>FZ5*VLOOKUP('Données projet'!$B$17,Paramètres!$A$1:$I$89,3,0)*VLOOKUP('Données projet'!$B$17,Paramètres!$A$1:$I$89,5,0)</f>
        <v>7.4090194285714279</v>
      </c>
      <c r="GB5" s="13">
        <f t="shared" ref="GB5:GB68" si="49">EXP(-1.0587+0.8836*LN(GA5)+0.284)</f>
        <v>2.7044107221075859</v>
      </c>
      <c r="GC5" s="20">
        <f t="shared" si="25"/>
        <v>17.614224179099281</v>
      </c>
      <c r="GD5" s="59">
        <f t="shared" si="26"/>
        <v>276.72533529021041</v>
      </c>
      <c r="GE5" s="59">
        <f ca="1">AVERAGE(OFFSET($GD$3,0,0,'Données projet'!$E$17+1,1))-AVERAGE(OFFSET($H$3,0,0,'Données projet'!$E$17+1,1))</f>
        <v>486.55344536255876</v>
      </c>
      <c r="GF5" s="59">
        <f t="shared" ref="GF5:GF68" si="50">$GF$3</f>
        <v>231.14794884432229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262.10832683584391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8.2014285714285702</v>
      </c>
      <c r="N6" s="13">
        <f>IF('Données projet'!$A$36&gt;35,N5+M6-V5,IF(A6&lt;'Données projet'!$A$36,$K$205^A6,IF(A6='Données projet'!$A$36,'Données projet'!$B$36,N5+M6-V5)))</f>
        <v>24.604285714285709</v>
      </c>
      <c r="O6" s="13">
        <f>N6*VLOOKUP('Données projet'!$B$9,Paramètres!$A$1:$I$89,3,0)*VLOOKUP('Données projet'!$B$9,Paramètres!$A$1:$I$89,5,0)</f>
        <v>11.514805714285712</v>
      </c>
      <c r="P6" s="13">
        <f t="shared" si="33"/>
        <v>3.992807839654354</v>
      </c>
      <c r="Q6" s="20">
        <f t="shared" si="2"/>
        <v>27.009093606445614</v>
      </c>
      <c r="R6" s="59">
        <f t="shared" si="0"/>
        <v>287.34242693977893</v>
      </c>
      <c r="S6" s="59">
        <f ca="1">AVERAGE(OFFSET($R$3,0,0,'Données projet'!$E$9+1,1))-AVERAGE(OFFSET($H$3,0,0,'Données projet'!$E$9+1,1))</f>
        <v>252.08270526008477</v>
      </c>
      <c r="T6" s="59">
        <f t="shared" si="34"/>
        <v>239.77811108960179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263.85040924107284</v>
      </c>
      <c r="AN6" s="59">
        <f ca="1">AVERAGE(OFFSET($AM$3,0,0,'Données projet'!$E$10+1,1))-AVERAGE(OFFSET($H$3,0,0,'Données projet'!$E$10+1,1))</f>
        <v>251.64326096359997</v>
      </c>
      <c r="AO6" s="59">
        <f t="shared" si="36"/>
        <v>256.72142151189894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11.5</v>
      </c>
      <c r="BD6" s="12">
        <f>IF('Données projet'!$A$88&gt;35,BD5+BC6-BL5,IF(A6&lt;'Données projet'!$A$88,$BA$205^A6,IF(A6='Données projet'!$A$88,'Données projet'!$B$88,BD5+BC6-BL5)))</f>
        <v>4.1515411988145683</v>
      </c>
      <c r="BE6" s="13">
        <f>BD6*VLOOKUP('Données projet'!$B$11,Paramètres!$A$1:$I$89,3,0)*VLOOKUP('Données projet'!$B$11,Paramètres!$A$1:$I$89,5,0)</f>
        <v>3.7563144766874212</v>
      </c>
      <c r="BF6" s="13">
        <f t="shared" si="37"/>
        <v>1.4839242040946568</v>
      </c>
      <c r="BG6" s="20">
        <f t="shared" si="7"/>
        <v>9.1267490356954522</v>
      </c>
      <c r="BH6" s="59">
        <f t="shared" si="8"/>
        <v>269.46008236902878</v>
      </c>
      <c r="BI6" s="59">
        <f ca="1">AVERAGE(OFFSET($BH$3,0,0,'Données projet'!$E$11+1,1))-AVERAGE(OFFSET($H$3,0,0,'Données projet'!$E$11+1,1))</f>
        <v>199.29783428981898</v>
      </c>
      <c r="BJ6" s="59">
        <f t="shared" si="38"/>
        <v>237.32002274562547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4.016578947368421</v>
      </c>
      <c r="BY6" s="12">
        <f>IF('Données projet'!$A$114&gt;35,BY5+BX6-CG5,IF(A6&lt;'Données projet'!$A$114,$BV$205^A6,IF(A6='Données projet'!$A$114,'Données projet'!$B$114,BY5+BX6-CG5)))</f>
        <v>12.049736842105263</v>
      </c>
      <c r="BZ6" s="13">
        <f>BY6*VLOOKUP('Données projet'!$B$12,Paramètres!$A$1:$I$89,3,0)*VLOOKUP('Données projet'!$B$12,Paramètres!$A$1:$I$89,5,0)</f>
        <v>10.150698315789475</v>
      </c>
      <c r="CA6" s="13">
        <f t="shared" si="39"/>
        <v>3.5718388792049445</v>
      </c>
      <c r="CB6" s="20">
        <f t="shared" si="10"/>
        <v>23.900085614615278</v>
      </c>
      <c r="CC6" s="59">
        <f t="shared" si="11"/>
        <v>284.23341894794862</v>
      </c>
      <c r="CD6" s="59">
        <f ca="1">AVERAGE(OFFSET($CC$3,0,0,'Données projet'!$E$12+1,1))-AVERAGE(OFFSET($H$3,0,0,'Données projet'!$E$12+1,1))</f>
        <v>295.59075210589327</v>
      </c>
      <c r="CE6" s="59">
        <f t="shared" si="40"/>
        <v>210.41181542059576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6.7</v>
      </c>
      <c r="CT6" s="12">
        <f>IF('Données projet'!$A$140&gt;35,CT5+CS6-DB5,IF(A6&lt;'Données projet'!$A$140,$CQ$205^A6,IF(A6='Données projet'!$A$140,'Données projet'!$B$140,CT5+CS6-DB5)))</f>
        <v>2.0848063432308721</v>
      </c>
      <c r="CU6" s="17">
        <f>CT6*VLOOKUP('Données projet'!$B$13,Paramètres!$A$1:$I$89,3,0)*VLOOKUP('Données projet'!$B$13,Paramètres!$A$1:$I$89,5,0)</f>
        <v>0.94858688617004683</v>
      </c>
      <c r="CV6" s="13">
        <f t="shared" si="41"/>
        <v>0.43984271669208663</v>
      </c>
      <c r="CW6" s="20">
        <f t="shared" si="13"/>
        <v>2.4181815583182158</v>
      </c>
      <c r="CX6" s="59">
        <f t="shared" si="14"/>
        <v>262.75151489165154</v>
      </c>
      <c r="CY6" s="59">
        <f ca="1">AVERAGE(OFFSET($CX$3,0,0,'Données projet'!$E$13+1,1))-AVERAGE(OFFSET($H$3,0,0,'Données projet'!$E$13+1,1))</f>
        <v>338.22448697444298</v>
      </c>
      <c r="CZ6" s="59">
        <f t="shared" si="42"/>
        <v>293.3872365640849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9.300476190476191</v>
      </c>
      <c r="DO6" s="12">
        <f>IF('Données projet'!$A$166&gt;35,DO5+DN6-DW5,IF(A6&lt;'Données projet'!$A$166,$DL$205^A6,IF(A6='Données projet'!$A$166,'Données projet'!$B$166,DO5+DN6-DW5)))</f>
        <v>2.1244492177242864</v>
      </c>
      <c r="DP6" s="17">
        <f>DO6*VLOOKUP('Données projet'!$B$14,Paramètres!$A$1:$I$89,3,0)*VLOOKUP('Données projet'!$B$14,Paramètres!$A$1:$I$89,5,0)</f>
        <v>1.1875671127078762</v>
      </c>
      <c r="DQ6" s="13">
        <f t="shared" si="43"/>
        <v>0.53643859573869412</v>
      </c>
      <c r="DR6" s="20">
        <f t="shared" si="16"/>
        <v>3.0026432755444432</v>
      </c>
      <c r="DS6" s="59">
        <f t="shared" si="17"/>
        <v>263.33597660887779</v>
      </c>
      <c r="DT6" s="59">
        <f ca="1">AVERAGE(OFFSET($DS$3,0,0,'Données projet'!$E$14+1,1))-AVERAGE(OFFSET($H$3,0,0,'Données projet'!$E$14+1,1))</f>
        <v>328.15217666639006</v>
      </c>
      <c r="DU6" s="59">
        <f t="shared" si="44"/>
        <v>305.59175773326308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11.5</v>
      </c>
      <c r="EJ6" s="12">
        <f>IF('Données projet'!$A$192&gt;35,EJ5+EI6-ER5,IF(A6&lt;'Données projet'!$A$192,$EG$205^A6,IF(A6='Données projet'!$A$192,'Données projet'!$B$192,EJ5+EI6-ER5)))</f>
        <v>4.1515411988145683</v>
      </c>
      <c r="EK6" s="17">
        <f>EJ6*VLOOKUP('Données projet'!$B$15,Paramètres!$A$1:$I$89,3,0)*VLOOKUP('Données projet'!$B$15,Paramètres!$A$1:$I$89,5,0)</f>
        <v>3.0439100069708416</v>
      </c>
      <c r="EL6" s="13">
        <f t="shared" si="45"/>
        <v>1.2322885431422059</v>
      </c>
      <c r="EM6" s="20">
        <f t="shared" si="19"/>
        <v>7.447712474780225</v>
      </c>
      <c r="EN6" s="59">
        <f t="shared" si="20"/>
        <v>267.78104580811356</v>
      </c>
      <c r="EO6" s="59">
        <f ca="1">AVERAGE(OFFSET($EN$3,0,0,'Données projet'!$E$15+1,1))-AVERAGE(OFFSET($H$3,0,0,'Données projet'!$E$15+1,1))</f>
        <v>159.78276497127206</v>
      </c>
      <c r="EP6" s="59">
        <f t="shared" si="46"/>
        <v>190.72163407919857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5.3214035087719296</v>
      </c>
      <c r="FE6" s="12">
        <f>IF('Données projet'!$A$218&gt;35,FE5+FD6-FM5,IF(A6&lt;'Données projet'!$A$218,$FB$205^A6,IF(A6='Données projet'!$A$218,'Données projet'!$B$218,FE5+FD6-FM5)))</f>
        <v>15.964210526315789</v>
      </c>
      <c r="FF6" s="17">
        <f>FE6*VLOOKUP('Données projet'!$B$16,Paramètres!$A$1:$I$89,3,0)*VLOOKUP('Données projet'!$B$16,Paramètres!$A$1:$I$89,5,0)</f>
        <v>13.697292631578948</v>
      </c>
      <c r="FG6" s="13">
        <f t="shared" si="47"/>
        <v>4.6546016166622852</v>
      </c>
      <c r="FH6" s="20">
        <f t="shared" si="22"/>
        <v>31.962882482353482</v>
      </c>
      <c r="FI6" s="59">
        <f t="shared" si="23"/>
        <v>292.29621581568682</v>
      </c>
      <c r="FJ6" s="59">
        <f ca="1">AVERAGE(OFFSET($FI$3,0,0,'Données projet'!$E$16+1,1))-AVERAGE(OFFSET($H$3,0,0,'Données projet'!$E$16+1,1))</f>
        <v>337.15023592377008</v>
      </c>
      <c r="FK6" s="59">
        <f t="shared" si="48"/>
        <v>286.60608582587099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4.0942857142857143</v>
      </c>
      <c r="FZ6" s="12">
        <f>IF('Données projet'!$A$244&gt;35,FZ5+FY6-GH5,IF(A6&lt;'Données projet'!$A$244,$FW$205^A6,IF(A6='Données projet'!$A$244,'Données projet'!$B$244,FZ5+FY6-GH5)))</f>
        <v>12.282857142857143</v>
      </c>
      <c r="GA6" s="17">
        <f>FZ6*VLOOKUP('Données projet'!$B$17,Paramètres!$A$1:$I$89,3,0)*VLOOKUP('Données projet'!$B$17,Paramètres!$A$1:$I$89,5,0)</f>
        <v>11.113529142857143</v>
      </c>
      <c r="GB6" s="13">
        <f t="shared" si="49"/>
        <v>3.8696072280877138</v>
      </c>
      <c r="GC6" s="20">
        <f t="shared" si="25"/>
        <v>26.095629179395626</v>
      </c>
      <c r="GD6" s="59">
        <f t="shared" si="26"/>
        <v>286.42896251272896</v>
      </c>
      <c r="GE6" s="59">
        <f ca="1">AVERAGE(OFFSET($GD$3,0,0,'Données projet'!$E$17+1,1))-AVERAGE(OFFSET($H$3,0,0,'Données projet'!$E$17+1,1))</f>
        <v>486.55344536255876</v>
      </c>
      <c r="GF6" s="59">
        <f t="shared" si="50"/>
        <v>231.14794884432229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263.85148979266654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8.2014285714285702</v>
      </c>
      <c r="N7" s="13">
        <f>IF('Données projet'!$A$36&gt;35,N6+M7-V6,IF(A7&lt;'Données projet'!$A$36,$K$205^A7,IF(A7='Données projet'!$A$36,'Données projet'!$B$36,N6+M7-V6)))</f>
        <v>32.805714285714281</v>
      </c>
      <c r="O7" s="13">
        <f>N7*VLOOKUP('Données projet'!$B$9,Paramètres!$A$1:$I$89,3,0)*VLOOKUP('Données projet'!$B$9,Paramètres!$A$1:$I$89,5,0)</f>
        <v>15.353074285714282</v>
      </c>
      <c r="P7" s="13">
        <f t="shared" si="33"/>
        <v>5.1484236571811355</v>
      </c>
      <c r="Q7" s="20">
        <f t="shared" si="2"/>
        <v>35.706775583876187</v>
      </c>
      <c r="R7" s="59">
        <f t="shared" si="0"/>
        <v>297.26233113943175</v>
      </c>
      <c r="S7" s="59">
        <f ca="1">AVERAGE(OFFSET($R$3,0,0,'Données projet'!$E$9+1,1))-AVERAGE(OFFSET($H$3,0,0,'Données projet'!$E$9+1,1))</f>
        <v>252.08270526008477</v>
      </c>
      <c r="T7" s="59">
        <f t="shared" si="34"/>
        <v>239.77811108960179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266.17829069502017</v>
      </c>
      <c r="AN7" s="59">
        <f ca="1">AVERAGE(OFFSET($AM$3,0,0,'Données projet'!$E$10+1,1))-AVERAGE(OFFSET($H$3,0,0,'Données projet'!$E$10+1,1))</f>
        <v>251.64326096359997</v>
      </c>
      <c r="AO7" s="59">
        <f t="shared" si="36"/>
        <v>256.72142151189894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11.5</v>
      </c>
      <c r="BD7" s="12">
        <f>IF('Données projet'!$A$88&gt;35,BD6+BC7-BL6,IF(A7&lt;'Données projet'!$A$88,$BA$205^A7,IF(A7='Données projet'!$A$88,'Données projet'!$B$88,BD6+BC7-BL6)))</f>
        <v>6.6723548683562175</v>
      </c>
      <c r="BE7" s="13">
        <f>BD7*VLOOKUP('Données projet'!$B$11,Paramètres!$A$1:$I$89,3,0)*VLOOKUP('Données projet'!$B$11,Paramètres!$A$1:$I$89,5,0)</f>
        <v>6.0371466848887048</v>
      </c>
      <c r="BF7" s="13">
        <f t="shared" si="37"/>
        <v>2.256809907801208</v>
      </c>
      <c r="BG7" s="20">
        <f t="shared" si="7"/>
        <v>14.445307732268263</v>
      </c>
      <c r="BH7" s="59">
        <f t="shared" si="8"/>
        <v>276.00086328782379</v>
      </c>
      <c r="BI7" s="59">
        <f ca="1">AVERAGE(OFFSET($BH$3,0,0,'Données projet'!$E$11+1,1))-AVERAGE(OFFSET($H$3,0,0,'Données projet'!$E$11+1,1))</f>
        <v>199.29783428981898</v>
      </c>
      <c r="BJ7" s="59">
        <f t="shared" si="38"/>
        <v>237.32002274562547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4.016578947368421</v>
      </c>
      <c r="BY7" s="12">
        <f>IF('Données projet'!$A$114&gt;35,BY6+BX7-CG6,IF(A7&lt;'Données projet'!$A$114,$BV$205^A7,IF(A7='Données projet'!$A$114,'Données projet'!$B$114,BY6+BX7-CG6)))</f>
        <v>16.066315789473684</v>
      </c>
      <c r="BZ7" s="13">
        <f>BY7*VLOOKUP('Données projet'!$B$12,Paramètres!$A$1:$I$89,3,0)*VLOOKUP('Données projet'!$B$12,Paramètres!$A$1:$I$89,5,0)</f>
        <v>13.534264421052631</v>
      </c>
      <c r="CA7" s="13">
        <f t="shared" si="39"/>
        <v>4.6056160285765202</v>
      </c>
      <c r="CB7" s="20">
        <f t="shared" si="10"/>
        <v>31.593625116437437</v>
      </c>
      <c r="CC7" s="59">
        <f t="shared" si="11"/>
        <v>293.14918067199301</v>
      </c>
      <c r="CD7" s="59">
        <f ca="1">AVERAGE(OFFSET($CC$3,0,0,'Données projet'!$E$12+1,1))-AVERAGE(OFFSET($H$3,0,0,'Données projet'!$E$12+1,1))</f>
        <v>295.59075210589327</v>
      </c>
      <c r="CE7" s="59">
        <f t="shared" si="40"/>
        <v>210.41181542059576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6.7</v>
      </c>
      <c r="CT7" s="12">
        <f>IF('Données projet'!$A$140&gt;35,CT6+CS7-DB6,IF(A7&lt;'Données projet'!$A$140,$CQ$205^A7,IF(A7='Données projet'!$A$140,'Données projet'!$B$140,CT6+CS7-DB6)))</f>
        <v>2.6633053388644834</v>
      </c>
      <c r="CU7" s="17">
        <f>CT7*VLOOKUP('Données projet'!$B$13,Paramètres!$A$1:$I$89,3,0)*VLOOKUP('Données projet'!$B$13,Paramètres!$A$1:$I$89,5,0)</f>
        <v>1.2118039291833398</v>
      </c>
      <c r="CV7" s="13">
        <f t="shared" si="41"/>
        <v>0.54610090333085937</v>
      </c>
      <c r="CW7" s="20">
        <f t="shared" si="13"/>
        <v>3.0616842499622305</v>
      </c>
      <c r="CX7" s="59">
        <f t="shared" si="14"/>
        <v>264.61723980551778</v>
      </c>
      <c r="CY7" s="59">
        <f ca="1">AVERAGE(OFFSET($CX$3,0,0,'Données projet'!$E$13+1,1))-AVERAGE(OFFSET($H$3,0,0,'Données projet'!$E$13+1,1))</f>
        <v>338.22448697444298</v>
      </c>
      <c r="CZ7" s="59">
        <f t="shared" si="42"/>
        <v>293.3872365640849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9.300476190476191</v>
      </c>
      <c r="DO7" s="12">
        <f>IF('Données projet'!$A$166&gt;35,DO6+DN7-DW6,IF(A7&lt;'Données projet'!$A$166,$DL$205^A7,IF(A7='Données projet'!$A$166,'Données projet'!$B$166,DO6+DN7-DW6)))</f>
        <v>2.7310425866451067</v>
      </c>
      <c r="DP7" s="17">
        <f>DO7*VLOOKUP('Données projet'!$B$14,Paramètres!$A$1:$I$89,3,0)*VLOOKUP('Données projet'!$B$14,Paramètres!$A$1:$I$89,5,0)</f>
        <v>1.5266528059346147</v>
      </c>
      <c r="DQ7" s="13">
        <f t="shared" si="43"/>
        <v>0.66973805492848271</v>
      </c>
      <c r="DR7" s="20">
        <f t="shared" si="16"/>
        <v>3.8253807493365612</v>
      </c>
      <c r="DS7" s="59">
        <f t="shared" si="17"/>
        <v>265.38093630489209</v>
      </c>
      <c r="DT7" s="59">
        <f ca="1">AVERAGE(OFFSET($DS$3,0,0,'Données projet'!$E$14+1,1))-AVERAGE(OFFSET($H$3,0,0,'Données projet'!$E$14+1,1))</f>
        <v>328.15217666639006</v>
      </c>
      <c r="DU7" s="59">
        <f t="shared" si="44"/>
        <v>305.59175773326308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11.5</v>
      </c>
      <c r="EJ7" s="12">
        <f>IF('Données projet'!$A$192&gt;35,EJ6+EI7-ER6,IF(A7&lt;'Données projet'!$A$192,$EG$205^A7,IF(A7='Données projet'!$A$192,'Données projet'!$B$192,EJ6+EI7-ER6)))</f>
        <v>6.6723548683562175</v>
      </c>
      <c r="EK7" s="17">
        <f>EJ7*VLOOKUP('Données projet'!$B$15,Paramètres!$A$1:$I$89,3,0)*VLOOKUP('Données projet'!$B$15,Paramètres!$A$1:$I$89,5,0)</f>
        <v>4.8921705894787788</v>
      </c>
      <c r="EL7" s="13">
        <f t="shared" si="45"/>
        <v>1.8741125629997808</v>
      </c>
      <c r="EM7" s="20">
        <f t="shared" si="19"/>
        <v>11.784609823900155</v>
      </c>
      <c r="EN7" s="59">
        <f t="shared" si="20"/>
        <v>273.3401653794557</v>
      </c>
      <c r="EO7" s="59">
        <f ca="1">AVERAGE(OFFSET($EN$3,0,0,'Données projet'!$E$15+1,1))-AVERAGE(OFFSET($H$3,0,0,'Données projet'!$E$15+1,1))</f>
        <v>159.78276497127206</v>
      </c>
      <c r="EP7" s="59">
        <f t="shared" si="46"/>
        <v>190.72163407919857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5.3214035087719296</v>
      </c>
      <c r="FE7" s="12">
        <f>IF('Données projet'!$A$218&gt;35,FE6+FD7-FM6,IF(A7&lt;'Données projet'!$A$218,$FB$205^A7,IF(A7='Données projet'!$A$218,'Données projet'!$B$218,FE6+FD7-FM6)))</f>
        <v>21.285614035087718</v>
      </c>
      <c r="FF7" s="17">
        <f>FE7*VLOOKUP('Données projet'!$B$16,Paramètres!$A$1:$I$89,3,0)*VLOOKUP('Données projet'!$B$16,Paramètres!$A$1:$I$89,5,0)</f>
        <v>18.263056842105264</v>
      </c>
      <c r="FG7" s="13">
        <f t="shared" si="47"/>
        <v>6.0017566685733996</v>
      </c>
      <c r="FH7" s="20">
        <f t="shared" si="22"/>
        <v>42.261216864432001</v>
      </c>
      <c r="FI7" s="59">
        <f t="shared" si="23"/>
        <v>303.81677241998756</v>
      </c>
      <c r="FJ7" s="59">
        <f ca="1">AVERAGE(OFFSET($FI$3,0,0,'Données projet'!$E$16+1,1))-AVERAGE(OFFSET($H$3,0,0,'Données projet'!$E$16+1,1))</f>
        <v>337.15023592377008</v>
      </c>
      <c r="FK7" s="59">
        <f t="shared" si="48"/>
        <v>286.60608582587099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4.0942857142857143</v>
      </c>
      <c r="FZ7" s="12">
        <f>IF('Données projet'!$A$244&gt;35,FZ6+FY7-GH6,IF(A7&lt;'Données projet'!$A$244,$FW$205^A7,IF(A7='Données projet'!$A$244,'Données projet'!$B$244,FZ6+FY7-GH6)))</f>
        <v>16.377142857142857</v>
      </c>
      <c r="GA7" s="17">
        <f>FZ7*VLOOKUP('Données projet'!$B$17,Paramètres!$A$1:$I$89,3,0)*VLOOKUP('Données projet'!$B$17,Paramètres!$A$1:$I$89,5,0)</f>
        <v>14.818038857142856</v>
      </c>
      <c r="GB7" s="13">
        <f t="shared" si="49"/>
        <v>4.9895657885731195</v>
      </c>
      <c r="GC7" s="20">
        <f t="shared" si="25"/>
        <v>34.49824475795532</v>
      </c>
      <c r="GD7" s="59">
        <f t="shared" si="26"/>
        <v>296.05380031351086</v>
      </c>
      <c r="GE7" s="59">
        <f ca="1">AVERAGE(OFFSET($GD$3,0,0,'Données projet'!$E$17+1,1))-AVERAGE(OFFSET($H$3,0,0,'Données projet'!$E$17+1,1))</f>
        <v>486.55344536255876</v>
      </c>
      <c r="GF7" s="59">
        <f t="shared" si="50"/>
        <v>231.14794884432229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265.58113343745458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8.2014285714285702</v>
      </c>
      <c r="N8" s="13">
        <f>IF('Données projet'!$A$36&gt;35,N7+M8-V7,IF(A8&lt;'Données projet'!$A$36,$K$205^A8,IF(A8='Données projet'!$A$36,'Données projet'!$B$36,N7+M8-V7)))</f>
        <v>41.007142857142853</v>
      </c>
      <c r="O8" s="13">
        <f>N8*VLOOKUP('Données projet'!$B$9,Paramètres!$A$1:$I$89,3,0)*VLOOKUP('Données projet'!$B$9,Paramètres!$A$1:$I$89,5,0)</f>
        <v>19.191342857142857</v>
      </c>
      <c r="P8" s="13">
        <f t="shared" si="33"/>
        <v>6.2705258815220457</v>
      </c>
      <c r="Q8" s="20">
        <f t="shared" si="2"/>
        <v>44.346088053174704</v>
      </c>
      <c r="R8" s="59">
        <f t="shared" si="0"/>
        <v>307.12386583095247</v>
      </c>
      <c r="S8" s="59">
        <f ca="1">AVERAGE(OFFSET($R$3,0,0,'Données projet'!$E$9+1,1))-AVERAGE(OFFSET($H$3,0,0,'Données projet'!$E$9+1,1))</f>
        <v>252.08270526008477</v>
      </c>
      <c r="T8" s="59">
        <f t="shared" si="34"/>
        <v>239.77811108960179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268.85514561063974</v>
      </c>
      <c r="AN8" s="59">
        <f ca="1">AVERAGE(OFFSET($AM$3,0,0,'Données projet'!$E$10+1,1))-AVERAGE(OFFSET($H$3,0,0,'Données projet'!$E$10+1,1))</f>
        <v>251.64326096359997</v>
      </c>
      <c r="AO8" s="59">
        <f t="shared" si="36"/>
        <v>256.72142151189894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11.5</v>
      </c>
      <c r="BD8" s="12">
        <f>IF('Données projet'!$A$88&gt;35,BD7+BC8-BL7,IF(A8&lt;'Données projet'!$A$88,$BA$205^A8,IF(A8='Données projet'!$A$88,'Données projet'!$B$88,BD7+BC8-BL7)))</f>
        <v>10.723805294763606</v>
      </c>
      <c r="BE8" s="13">
        <f>BD8*VLOOKUP('Données projet'!$B$11,Paramètres!$A$1:$I$89,3,0)*VLOOKUP('Données projet'!$B$11,Paramètres!$A$1:$I$89,5,0)</f>
        <v>9.7028990307021097</v>
      </c>
      <c r="BF8" s="13">
        <f t="shared" si="37"/>
        <v>3.4322446833172715</v>
      </c>
      <c r="BG8" s="20">
        <f t="shared" si="7"/>
        <v>22.877041968583754</v>
      </c>
      <c r="BH8" s="59">
        <f t="shared" si="8"/>
        <v>285.65481974636151</v>
      </c>
      <c r="BI8" s="59">
        <f ca="1">AVERAGE(OFFSET($BH$3,0,0,'Données projet'!$E$11+1,1))-AVERAGE(OFFSET($H$3,0,0,'Données projet'!$E$11+1,1))</f>
        <v>199.29783428981898</v>
      </c>
      <c r="BJ8" s="59">
        <f t="shared" si="38"/>
        <v>237.32002274562547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4.016578947368421</v>
      </c>
      <c r="BY8" s="12">
        <f>IF('Données projet'!$A$114&gt;35,BY7+BX8-CG7,IF(A8&lt;'Données projet'!$A$114,$BV$205^A8,IF(A8='Données projet'!$A$114,'Données projet'!$B$114,BY7+BX8-CG7)))</f>
        <v>20.082894736842107</v>
      </c>
      <c r="BZ8" s="13">
        <f>BY8*VLOOKUP('Données projet'!$B$12,Paramètres!$A$1:$I$89,3,0)*VLOOKUP('Données projet'!$B$12,Paramètres!$A$1:$I$89,5,0)</f>
        <v>16.917830526315793</v>
      </c>
      <c r="CA8" s="13">
        <f t="shared" si="39"/>
        <v>5.609412983576032</v>
      </c>
      <c r="CB8" s="20">
        <f t="shared" si="10"/>
        <v>39.234949113061596</v>
      </c>
      <c r="CC8" s="59">
        <f t="shared" si="11"/>
        <v>302.01272689083936</v>
      </c>
      <c r="CD8" s="59">
        <f ca="1">AVERAGE(OFFSET($CC$3,0,0,'Données projet'!$E$12+1,1))-AVERAGE(OFFSET($H$3,0,0,'Données projet'!$E$12+1,1))</f>
        <v>295.59075210589327</v>
      </c>
      <c r="CE8" s="59">
        <f t="shared" si="40"/>
        <v>210.41181542059576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6.7</v>
      </c>
      <c r="CT8" s="12">
        <f>IF('Données projet'!$A$140&gt;35,CT7+CS8-DB7,IF(A8&lt;'Données projet'!$A$140,$CQ$205^A8,IF(A8='Données projet'!$A$140,'Données projet'!$B$140,CT7+CS8-DB7)))</f>
        <v>3.4023281591860344</v>
      </c>
      <c r="CU8" s="17">
        <f>CT8*VLOOKUP('Données projet'!$B$13,Paramètres!$A$1:$I$89,3,0)*VLOOKUP('Données projet'!$B$13,Paramètres!$A$1:$I$89,5,0)</f>
        <v>1.5480593124296456</v>
      </c>
      <c r="CV8" s="13">
        <f t="shared" si="41"/>
        <v>0.67802918020705794</v>
      </c>
      <c r="CW8" s="20">
        <f t="shared" si="13"/>
        <v>3.8771041246755922</v>
      </c>
      <c r="CX8" s="59">
        <f t="shared" si="14"/>
        <v>266.65488190245338</v>
      </c>
      <c r="CY8" s="59">
        <f ca="1">AVERAGE(OFFSET($CX$3,0,0,'Données projet'!$E$13+1,1))-AVERAGE(OFFSET($H$3,0,0,'Données projet'!$E$13+1,1))</f>
        <v>338.22448697444298</v>
      </c>
      <c r="CZ8" s="59">
        <f t="shared" si="42"/>
        <v>293.3872365640849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9.300476190476191</v>
      </c>
      <c r="DO8" s="12">
        <f>IF('Données projet'!$A$166&gt;35,DO7+DN8-DW7,IF(A8&lt;'Données projet'!$A$166,$DL$205^A8,IF(A8='Données projet'!$A$166,'Données projet'!$B$166,DO7+DN8-DW7)))</f>
        <v>3.5108363842459145</v>
      </c>
      <c r="DP8" s="17">
        <f>DO8*VLOOKUP('Données projet'!$B$14,Paramètres!$A$1:$I$89,3,0)*VLOOKUP('Données projet'!$B$14,Paramètres!$A$1:$I$89,5,0)</f>
        <v>1.9625575387934662</v>
      </c>
      <c r="DQ8" s="13">
        <f t="shared" si="43"/>
        <v>0.83616105511893679</v>
      </c>
      <c r="DR8" s="20">
        <f t="shared" si="16"/>
        <v>4.8744348843974343</v>
      </c>
      <c r="DS8" s="59">
        <f t="shared" si="17"/>
        <v>267.6522126621752</v>
      </c>
      <c r="DT8" s="59">
        <f ca="1">AVERAGE(OFFSET($DS$3,0,0,'Données projet'!$E$14+1,1))-AVERAGE(OFFSET($H$3,0,0,'Données projet'!$E$14+1,1))</f>
        <v>328.15217666639006</v>
      </c>
      <c r="DU8" s="59">
        <f t="shared" si="44"/>
        <v>305.59175773326308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11.5</v>
      </c>
      <c r="EJ8" s="12">
        <f>IF('Données projet'!$A$192&gt;35,EJ7+EI8-ER7,IF(A8&lt;'Données projet'!$A$192,$EG$205^A8,IF(A8='Données projet'!$A$192,'Données projet'!$B$192,EJ7+EI8-ER7)))</f>
        <v>10.723805294763606</v>
      </c>
      <c r="EK8" s="17">
        <f>EJ8*VLOOKUP('Données projet'!$B$15,Paramètres!$A$1:$I$89,3,0)*VLOOKUP('Données projet'!$B$15,Paramètres!$A$1:$I$89,5,0)</f>
        <v>7.8626940421206752</v>
      </c>
      <c r="EL8" s="13">
        <f t="shared" si="45"/>
        <v>2.8502236090239195</v>
      </c>
      <c r="EM8" s="20">
        <f t="shared" si="19"/>
        <v>18.658331575743503</v>
      </c>
      <c r="EN8" s="59">
        <f t="shared" si="20"/>
        <v>281.43610935352126</v>
      </c>
      <c r="EO8" s="59">
        <f ca="1">AVERAGE(OFFSET($EN$3,0,0,'Données projet'!$E$15+1,1))-AVERAGE(OFFSET($H$3,0,0,'Données projet'!$E$15+1,1))</f>
        <v>159.78276497127206</v>
      </c>
      <c r="EP8" s="59">
        <f t="shared" si="46"/>
        <v>190.72163407919857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5.3214035087719296</v>
      </c>
      <c r="FE8" s="12">
        <f>IF('Données projet'!$A$218&gt;35,FE7+FD8-FM7,IF(A8&lt;'Données projet'!$A$218,$FB$205^A8,IF(A8='Données projet'!$A$218,'Données projet'!$B$218,FE7+FD8-FM7)))</f>
        <v>26.607017543859648</v>
      </c>
      <c r="FF8" s="17">
        <f>FE8*VLOOKUP('Données projet'!$B$16,Paramètres!$A$1:$I$89,3,0)*VLOOKUP('Données projet'!$B$16,Paramètres!$A$1:$I$89,5,0)</f>
        <v>22.828821052631582</v>
      </c>
      <c r="FG8" s="13">
        <f t="shared" si="47"/>
        <v>7.309843367764433</v>
      </c>
      <c r="FH8" s="20">
        <f t="shared" si="22"/>
        <v>52.491507198856389</v>
      </c>
      <c r="FI8" s="59">
        <f t="shared" si="23"/>
        <v>315.26928497663414</v>
      </c>
      <c r="FJ8" s="59">
        <f ca="1">AVERAGE(OFFSET($FI$3,0,0,'Données projet'!$E$16+1,1))-AVERAGE(OFFSET($H$3,0,0,'Données projet'!$E$16+1,1))</f>
        <v>337.15023592377008</v>
      </c>
      <c r="FK8" s="59">
        <f t="shared" si="48"/>
        <v>286.60608582587099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4.0942857142857143</v>
      </c>
      <c r="FZ8" s="12">
        <f>IF('Données projet'!$A$244&gt;35,FZ7+FY8-GH7,IF(A8&lt;'Données projet'!$A$244,$FW$205^A8,IF(A8='Données projet'!$A$244,'Données projet'!$B$244,FZ7+FY8-GH7)))</f>
        <v>20.471428571428572</v>
      </c>
      <c r="GA8" s="17">
        <f>FZ8*VLOOKUP('Données projet'!$B$17,Paramètres!$A$1:$I$89,3,0)*VLOOKUP('Données projet'!$B$17,Paramètres!$A$1:$I$89,5,0)</f>
        <v>18.522548571428572</v>
      </c>
      <c r="GB8" s="13">
        <f t="shared" si="49"/>
        <v>6.0770448389896208</v>
      </c>
      <c r="GC8" s="20">
        <f t="shared" si="25"/>
        <v>42.84429185647835</v>
      </c>
      <c r="GD8" s="59">
        <f t="shared" si="26"/>
        <v>305.62206963425615</v>
      </c>
      <c r="GE8" s="59">
        <f ca="1">AVERAGE(OFFSET($GD$3,0,0,'Données projet'!$E$17+1,1))-AVERAGE(OFFSET($H$3,0,0,'Données projet'!$E$17+1,1))</f>
        <v>486.55344536255876</v>
      </c>
      <c r="GF8" s="59">
        <f t="shared" si="50"/>
        <v>231.14794884432229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267.30028715085541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8.2014285714285702</v>
      </c>
      <c r="N9" s="13">
        <f>IF('Données projet'!$A$36&gt;35,N8+M9-V8,IF(A9&lt;'Données projet'!$A$36,$K$205^A9,IF(A9='Données projet'!$A$36,'Données projet'!$B$36,N8+M9-V8)))</f>
        <v>49.208571428571425</v>
      </c>
      <c r="O9" s="13">
        <f>N9*VLOOKUP('Données projet'!$B$9,Paramètres!$A$1:$I$89,3,0)*VLOOKUP('Données projet'!$B$9,Paramètres!$A$1:$I$89,5,0)</f>
        <v>23.029611428571428</v>
      </c>
      <c r="P9" s="13">
        <f t="shared" si="33"/>
        <v>7.3666241722189723</v>
      </c>
      <c r="Q9" s="20">
        <f t="shared" si="2"/>
        <v>52.940110338043276</v>
      </c>
      <c r="R9" s="59">
        <f t="shared" si="0"/>
        <v>316.94011033804327</v>
      </c>
      <c r="S9" s="59">
        <f ca="1">AVERAGE(OFFSET($R$3,0,0,'Données projet'!$E$9+1,1))-AVERAGE(OFFSET($H$3,0,0,'Données projet'!$E$9+1,1))</f>
        <v>252.08270526008477</v>
      </c>
      <c r="T9" s="59">
        <f t="shared" si="34"/>
        <v>239.77811108960179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271.99153037349578</v>
      </c>
      <c r="AN9" s="59">
        <f ca="1">AVERAGE(OFFSET($AM$3,0,0,'Données projet'!$E$10+1,1))-AVERAGE(OFFSET($H$3,0,0,'Données projet'!$E$10+1,1))</f>
        <v>251.64326096359997</v>
      </c>
      <c r="AO9" s="59">
        <f t="shared" si="36"/>
        <v>256.72142151189894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11.5</v>
      </c>
      <c r="BD9" s="12">
        <f>IF('Données projet'!$A$88&gt;35,BD8+BC9-BL8,IF(A9&lt;'Données projet'!$A$88,$BA$205^A9,IF(A9='Données projet'!$A$88,'Données projet'!$B$88,BD8+BC9-BL8)))</f>
        <v>17.235294325454703</v>
      </c>
      <c r="BE9" s="13">
        <f>BD9*VLOOKUP('Données projet'!$B$11,Paramètres!$A$1:$I$89,3,0)*VLOOKUP('Données projet'!$B$11,Paramètres!$A$1:$I$89,5,0)</f>
        <v>15.594494305671414</v>
      </c>
      <c r="BF9" s="13">
        <f t="shared" si="37"/>
        <v>5.219891815184881</v>
      </c>
      <c r="BG9" s="20">
        <f t="shared" si="7"/>
        <v>36.251722493824708</v>
      </c>
      <c r="BH9" s="59">
        <f t="shared" si="8"/>
        <v>300.25172249382473</v>
      </c>
      <c r="BI9" s="59">
        <f ca="1">AVERAGE(OFFSET($BH$3,0,0,'Données projet'!$E$11+1,1))-AVERAGE(OFFSET($H$3,0,0,'Données projet'!$E$11+1,1))</f>
        <v>199.29783428981898</v>
      </c>
      <c r="BJ9" s="59">
        <f t="shared" si="38"/>
        <v>237.32002274562547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4.016578947368421</v>
      </c>
      <c r="BY9" s="12">
        <f>IF('Données projet'!$A$114&gt;35,BY8+BX9-CG8,IF(A9&lt;'Données projet'!$A$114,$BV$205^A9,IF(A9='Données projet'!$A$114,'Données projet'!$B$114,BY8+BX9-CG8)))</f>
        <v>24.09947368421053</v>
      </c>
      <c r="BZ9" s="13">
        <f>BY9*VLOOKUP('Données projet'!$B$12,Paramètres!$A$1:$I$89,3,0)*VLOOKUP('Données projet'!$B$12,Paramètres!$A$1:$I$89,5,0)</f>
        <v>20.301396631578953</v>
      </c>
      <c r="CA9" s="13">
        <f t="shared" si="39"/>
        <v>6.589947646741865</v>
      </c>
      <c r="CB9" s="20">
        <f t="shared" si="10"/>
        <v>46.835757951408759</v>
      </c>
      <c r="CC9" s="59">
        <f t="shared" si="11"/>
        <v>310.83575795140877</v>
      </c>
      <c r="CD9" s="59">
        <f ca="1">AVERAGE(OFFSET($CC$3,0,0,'Données projet'!$E$12+1,1))-AVERAGE(OFFSET($H$3,0,0,'Données projet'!$E$12+1,1))</f>
        <v>295.59075210589327</v>
      </c>
      <c r="CE9" s="59">
        <f t="shared" si="40"/>
        <v>210.41181542059576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6.7</v>
      </c>
      <c r="CT9" s="12">
        <f>IF('Données projet'!$A$140&gt;35,CT8+CS9-DB8,IF(A9&lt;'Données projet'!$A$140,$CQ$205^A9,IF(A9='Données projet'!$A$140,'Données projet'!$B$140,CT8+CS9-DB8)))</f>
        <v>4.3464174887756801</v>
      </c>
      <c r="CU9" s="17">
        <f>CT9*VLOOKUP('Données projet'!$B$13,Paramètres!$A$1:$I$89,3,0)*VLOOKUP('Données projet'!$B$13,Paramètres!$A$1:$I$89,5,0)</f>
        <v>1.9776199573929345</v>
      </c>
      <c r="CV9" s="13">
        <f t="shared" si="41"/>
        <v>0.8418289850982501</v>
      </c>
      <c r="CW9" s="20">
        <f t="shared" si="13"/>
        <v>4.9105402415054797</v>
      </c>
      <c r="CX9" s="59">
        <f t="shared" si="14"/>
        <v>268.91054024150549</v>
      </c>
      <c r="CY9" s="59">
        <f ca="1">AVERAGE(OFFSET($CX$3,0,0,'Données projet'!$E$13+1,1))-AVERAGE(OFFSET($H$3,0,0,'Données projet'!$E$13+1,1))</f>
        <v>338.22448697444298</v>
      </c>
      <c r="CZ9" s="59">
        <f t="shared" si="42"/>
        <v>293.3872365640849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9.300476190476191</v>
      </c>
      <c r="DO9" s="12">
        <f>IF('Données projet'!$A$166&gt;35,DO8+DN9-DW8,IF(A9&lt;'Données projet'!$A$166,$DL$205^A9,IF(A9='Données projet'!$A$166,'Données projet'!$B$166,DO8+DN9-DW8)))</f>
        <v>4.5132844786893322</v>
      </c>
      <c r="DP9" s="17">
        <f>DO9*VLOOKUP('Données projet'!$B$14,Paramètres!$A$1:$I$89,3,0)*VLOOKUP('Données projet'!$B$14,Paramètres!$A$1:$I$89,5,0)</f>
        <v>2.5229260235873365</v>
      </c>
      <c r="DQ9" s="13">
        <f t="shared" si="43"/>
        <v>1.0439384546728099</v>
      </c>
      <c r="DR9" s="20">
        <f t="shared" si="16"/>
        <v>6.2122889663030882</v>
      </c>
      <c r="DS9" s="59">
        <f t="shared" si="17"/>
        <v>270.21228896630311</v>
      </c>
      <c r="DT9" s="59">
        <f ca="1">AVERAGE(OFFSET($DS$3,0,0,'Données projet'!$E$14+1,1))-AVERAGE(OFFSET($H$3,0,0,'Données projet'!$E$14+1,1))</f>
        <v>328.15217666639006</v>
      </c>
      <c r="DU9" s="59">
        <f t="shared" si="44"/>
        <v>305.59175773326308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11.5</v>
      </c>
      <c r="EJ9" s="12">
        <f>IF('Données projet'!$A$192&gt;35,EJ8+EI9-ER8,IF(A9&lt;'Données projet'!$A$192,$EG$205^A9,IF(A9='Données projet'!$A$192,'Données projet'!$B$192,EJ8+EI9-ER8)))</f>
        <v>17.235294325454703</v>
      </c>
      <c r="EK9" s="17">
        <f>EJ9*VLOOKUP('Données projet'!$B$15,Paramètres!$A$1:$I$89,3,0)*VLOOKUP('Données projet'!$B$15,Paramètres!$A$1:$I$89,5,0)</f>
        <v>12.636917799423388</v>
      </c>
      <c r="EL9" s="13">
        <f t="shared" si="45"/>
        <v>4.3347314253281013</v>
      </c>
      <c r="EM9" s="20">
        <f t="shared" si="19"/>
        <v>29.558955733108835</v>
      </c>
      <c r="EN9" s="59">
        <f t="shared" si="20"/>
        <v>293.55895573310886</v>
      </c>
      <c r="EO9" s="59">
        <f ca="1">AVERAGE(OFFSET($EN$3,0,0,'Données projet'!$E$15+1,1))-AVERAGE(OFFSET($H$3,0,0,'Données projet'!$E$15+1,1))</f>
        <v>159.78276497127206</v>
      </c>
      <c r="EP9" s="59">
        <f t="shared" si="46"/>
        <v>190.72163407919857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5.3214035087719296</v>
      </c>
      <c r="FE9" s="12">
        <f>IF('Données projet'!$A$218&gt;35,FE8+FD9-FM8,IF(A9&lt;'Données projet'!$A$218,$FB$205^A9,IF(A9='Données projet'!$A$218,'Données projet'!$B$218,FE8+FD9-FM8)))</f>
        <v>31.928421052631577</v>
      </c>
      <c r="FF9" s="17">
        <f>FE9*VLOOKUP('Données projet'!$B$16,Paramètres!$A$1:$I$89,3,0)*VLOOKUP('Données projet'!$B$16,Paramètres!$A$1:$I$89,5,0)</f>
        <v>27.394585263157897</v>
      </c>
      <c r="FG9" s="13">
        <f t="shared" si="47"/>
        <v>8.5876160732849502</v>
      </c>
      <c r="FH9" s="20">
        <f t="shared" si="22"/>
        <v>62.669000660971285</v>
      </c>
      <c r="FI9" s="59">
        <f t="shared" si="23"/>
        <v>326.66900066097128</v>
      </c>
      <c r="FJ9" s="59">
        <f ca="1">AVERAGE(OFFSET($FI$3,0,0,'Données projet'!$E$16+1,1))-AVERAGE(OFFSET($H$3,0,0,'Données projet'!$E$16+1,1))</f>
        <v>337.15023592377008</v>
      </c>
      <c r="FK9" s="59">
        <f t="shared" si="48"/>
        <v>286.60608582587099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4.0942857142857143</v>
      </c>
      <c r="FZ9" s="12">
        <f>IF('Données projet'!$A$244&gt;35,FZ8+FY9-GH8,IF(A9&lt;'Données projet'!$A$244,$FW$205^A9,IF(A9='Données projet'!$A$244,'Données projet'!$B$244,FZ8+FY9-GH8)))</f>
        <v>24.565714285714286</v>
      </c>
      <c r="GA9" s="17">
        <f>FZ9*VLOOKUP('Données projet'!$B$17,Paramètres!$A$1:$I$89,3,0)*VLOOKUP('Données projet'!$B$17,Paramètres!$A$1:$I$89,5,0)</f>
        <v>22.227058285714286</v>
      </c>
      <c r="GB9" s="13">
        <f t="shared" si="49"/>
        <v>7.1393223235836674</v>
      </c>
      <c r="GC9" s="20">
        <f t="shared" si="25"/>
        <v>51.146446227860601</v>
      </c>
      <c r="GD9" s="59">
        <f t="shared" si="26"/>
        <v>315.14644622786062</v>
      </c>
      <c r="GE9" s="59">
        <f ca="1">AVERAGE(OFFSET($GD$3,0,0,'Données projet'!$E$17+1,1))-AVERAGE(OFFSET($H$3,0,0,'Données projet'!$E$17+1,1))</f>
        <v>486.55344536255876</v>
      </c>
      <c r="GF9" s="59">
        <f t="shared" si="50"/>
        <v>231.14794884432229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269.01090385743964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8.2014285714285702</v>
      </c>
      <c r="N10" s="13">
        <f>IF('Données projet'!$A$36&gt;35,N9+M10-V9,IF(A10&lt;'Données projet'!$A$36,$K$205^A10,IF(A10='Données projet'!$A$36,'Données projet'!$B$36,N9+M10-V9)))</f>
        <v>57.41</v>
      </c>
      <c r="O10" s="13">
        <f>N10*VLOOKUP('Données projet'!$B$9,Paramètres!$A$1:$I$89,3,0)*VLOOKUP('Données projet'!$B$9,Paramètres!$A$1:$I$89,5,0)</f>
        <v>26.867879999999996</v>
      </c>
      <c r="P10" s="13">
        <f t="shared" si="33"/>
        <v>8.441559716413364</v>
      </c>
      <c r="Q10" s="20">
        <f t="shared" si="2"/>
        <v>61.497274172753265</v>
      </c>
      <c r="R10" s="59">
        <f t="shared" si="0"/>
        <v>326.71949639497552</v>
      </c>
      <c r="S10" s="59">
        <f ca="1">AVERAGE(OFFSET($R$3,0,0,'Données projet'!$E$9+1,1))-AVERAGE(OFFSET($H$3,0,0,'Données projet'!$E$9+1,1))</f>
        <v>252.08270526008477</v>
      </c>
      <c r="T10" s="59">
        <f t="shared" si="34"/>
        <v>239.77811108960179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275.73314772015908</v>
      </c>
      <c r="AN10" s="59">
        <f ca="1">AVERAGE(OFFSET($AM$3,0,0,'Données projet'!$E$10+1,1))-AVERAGE(OFFSET($H$3,0,0,'Données projet'!$E$10+1,1))</f>
        <v>251.64326096359997</v>
      </c>
      <c r="AO10" s="59">
        <f t="shared" si="36"/>
        <v>256.72142151189894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11.5</v>
      </c>
      <c r="BD10" s="12">
        <f>IF('Données projet'!$A$88&gt;35,BD9+BC10-BL9,IF(A10&lt;'Données projet'!$A$88,$BA$205^A10,IF(A10='Données projet'!$A$88,'Données projet'!$B$88,BD9+BC10-BL9)))</f>
        <v>27.700556129091794</v>
      </c>
      <c r="BE10" s="13">
        <f>BD10*VLOOKUP('Données projet'!$B$11,Paramètres!$A$1:$I$89,3,0)*VLOOKUP('Données projet'!$B$11,Paramètres!$A$1:$I$89,5,0)</f>
        <v>25.063463185602252</v>
      </c>
      <c r="BF10" s="13">
        <f t="shared" si="37"/>
        <v>7.9386154182631232</v>
      </c>
      <c r="BG10" s="20">
        <f t="shared" si="7"/>
        <v>57.478620235065527</v>
      </c>
      <c r="BH10" s="59">
        <f t="shared" si="8"/>
        <v>322.70084245728776</v>
      </c>
      <c r="BI10" s="59">
        <f ca="1">AVERAGE(OFFSET($BH$3,0,0,'Données projet'!$E$11+1,1))-AVERAGE(OFFSET($H$3,0,0,'Données projet'!$E$11+1,1))</f>
        <v>199.29783428981898</v>
      </c>
      <c r="BJ10" s="59">
        <f t="shared" si="38"/>
        <v>237.32002274562547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4.016578947368421</v>
      </c>
      <c r="BY10" s="12">
        <f>IF('Données projet'!$A$114&gt;35,BY9+BX10-CG9,IF(A10&lt;'Données projet'!$A$114,$BV$205^A10,IF(A10='Données projet'!$A$114,'Données projet'!$B$114,BY9+BX10-CG9)))</f>
        <v>28.116052631578953</v>
      </c>
      <c r="BZ10" s="13">
        <f>BY10*VLOOKUP('Données projet'!$B$12,Paramètres!$A$1:$I$89,3,0)*VLOOKUP('Données projet'!$B$12,Paramètres!$A$1:$I$89,5,0)</f>
        <v>23.684962736842113</v>
      </c>
      <c r="CA10" s="13">
        <f t="shared" si="39"/>
        <v>7.5515507900890286</v>
      </c>
      <c r="CB10" s="20">
        <f t="shared" si="10"/>
        <v>54.403594392738398</v>
      </c>
      <c r="CC10" s="59">
        <f t="shared" si="11"/>
        <v>319.62581661496063</v>
      </c>
      <c r="CD10" s="59">
        <f ca="1">AVERAGE(OFFSET($CC$3,0,0,'Données projet'!$E$12+1,1))-AVERAGE(OFFSET($H$3,0,0,'Données projet'!$E$12+1,1))</f>
        <v>295.59075210589327</v>
      </c>
      <c r="CE10" s="59">
        <f t="shared" si="40"/>
        <v>210.41181542059576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6.7</v>
      </c>
      <c r="CT10" s="12">
        <f>IF('Données projet'!$A$140&gt;35,CT9+CS10-DB9,IF(A10&lt;'Données projet'!$A$140,$CQ$205^A10,IF(A10='Données projet'!$A$140,'Données projet'!$B$140,CT9+CS10-DB9)))</f>
        <v>5.5524758644253227</v>
      </c>
      <c r="CU10" s="17">
        <f>CT10*VLOOKUP('Données projet'!$B$13,Paramètres!$A$1:$I$89,3,0)*VLOOKUP('Données projet'!$B$13,Paramètres!$A$1:$I$89,5,0)</f>
        <v>2.5263765183135218</v>
      </c>
      <c r="CV10" s="13">
        <f t="shared" si="41"/>
        <v>1.0451999129818175</v>
      </c>
      <c r="CW10" s="20">
        <f t="shared" si="13"/>
        <v>6.220495617839382</v>
      </c>
      <c r="CX10" s="59">
        <f t="shared" si="14"/>
        <v>271.44271784006162</v>
      </c>
      <c r="CY10" s="59">
        <f ca="1">AVERAGE(OFFSET($CX$3,0,0,'Données projet'!$E$13+1,1))-AVERAGE(OFFSET($H$3,0,0,'Données projet'!$E$13+1,1))</f>
        <v>338.22448697444298</v>
      </c>
      <c r="CZ10" s="59">
        <f t="shared" si="42"/>
        <v>293.3872365640849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9.300476190476191</v>
      </c>
      <c r="DO10" s="12">
        <f>IF('Données projet'!$A$166&gt;35,DO9+DN10-DW9,IF(A10&lt;'Données projet'!$A$166,$DL$205^A10,IF(A10='Données projet'!$A$166,'Données projet'!$B$166,DO9+DN10-DW9)))</f>
        <v>5.8019612867699086</v>
      </c>
      <c r="DP10" s="17">
        <f>DO10*VLOOKUP('Données projet'!$B$14,Paramètres!$A$1:$I$89,3,0)*VLOOKUP('Données projet'!$B$14,Paramètres!$A$1:$I$89,5,0)</f>
        <v>3.2432963593043791</v>
      </c>
      <c r="DQ10" s="13">
        <f t="shared" si="43"/>
        <v>1.3033463953779079</v>
      </c>
      <c r="DR10" s="20">
        <f t="shared" si="16"/>
        <v>7.9187361310716495</v>
      </c>
      <c r="DS10" s="59">
        <f t="shared" si="17"/>
        <v>273.14095835329385</v>
      </c>
      <c r="DT10" s="59">
        <f ca="1">AVERAGE(OFFSET($DS$3,0,0,'Données projet'!$E$14+1,1))-AVERAGE(OFFSET($H$3,0,0,'Données projet'!$E$14+1,1))</f>
        <v>328.15217666639006</v>
      </c>
      <c r="DU10" s="59">
        <f t="shared" si="44"/>
        <v>305.59175773326308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11.5</v>
      </c>
      <c r="EJ10" s="12">
        <f>IF('Données projet'!$A$192&gt;35,EJ9+EI10-ER9,IF(A10&lt;'Données projet'!$A$192,$EG$205^A10,IF(A10='Données projet'!$A$192,'Données projet'!$B$192,EJ9+EI10-ER9)))</f>
        <v>27.700556129091794</v>
      </c>
      <c r="EK10" s="17">
        <f>EJ10*VLOOKUP('Données projet'!$B$15,Paramètres!$A$1:$I$89,3,0)*VLOOKUP('Données projet'!$B$15,Paramètres!$A$1:$I$89,5,0)</f>
        <v>20.310047753850103</v>
      </c>
      <c r="EL10" s="13">
        <f t="shared" si="45"/>
        <v>6.5924289133797958</v>
      </c>
      <c r="EM10" s="20">
        <f t="shared" si="19"/>
        <v>46.855146862092077</v>
      </c>
      <c r="EN10" s="59">
        <f t="shared" si="20"/>
        <v>312.07736908431428</v>
      </c>
      <c r="EO10" s="59">
        <f ca="1">AVERAGE(OFFSET($EN$3,0,0,'Données projet'!$E$15+1,1))-AVERAGE(OFFSET($H$3,0,0,'Données projet'!$E$15+1,1))</f>
        <v>159.78276497127206</v>
      </c>
      <c r="EP10" s="59">
        <f t="shared" si="46"/>
        <v>190.72163407919857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5.3214035087719296</v>
      </c>
      <c r="FE10" s="12">
        <f>IF('Données projet'!$A$218&gt;35,FE9+FD10-FM9,IF(A10&lt;'Données projet'!$A$218,$FB$205^A10,IF(A10='Données projet'!$A$218,'Données projet'!$B$218,FE9+FD10-FM9)))</f>
        <v>37.249824561403507</v>
      </c>
      <c r="FF10" s="17">
        <f>FE10*VLOOKUP('Données projet'!$B$16,Paramètres!$A$1:$I$89,3,0)*VLOOKUP('Données projet'!$B$16,Paramètres!$A$1:$I$89,5,0)</f>
        <v>31.960349473684211</v>
      </c>
      <c r="FG10" s="13">
        <f t="shared" si="47"/>
        <v>9.8407183819219952</v>
      </c>
      <c r="FH10" s="20">
        <f t="shared" si="22"/>
        <v>72.803526515180806</v>
      </c>
      <c r="FI10" s="59">
        <f t="shared" si="23"/>
        <v>338.02574873740303</v>
      </c>
      <c r="FJ10" s="59">
        <f ca="1">AVERAGE(OFFSET($FI$3,0,0,'Données projet'!$E$16+1,1))-AVERAGE(OFFSET($H$3,0,0,'Données projet'!$E$16+1,1))</f>
        <v>337.15023592377008</v>
      </c>
      <c r="FK10" s="59">
        <f t="shared" si="48"/>
        <v>286.60608582587099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4.0942857142857143</v>
      </c>
      <c r="FZ10" s="12">
        <f>IF('Données projet'!$A$244&gt;35,FZ9+FY10-GH9,IF(A10&lt;'Données projet'!$A$244,$FW$205^A10,IF(A10='Données projet'!$A$244,'Données projet'!$B$244,FZ9+FY10-GH9)))</f>
        <v>28.66</v>
      </c>
      <c r="GA10" s="17">
        <f>FZ10*VLOOKUP('Données projet'!$B$17,Paramètres!$A$1:$I$89,3,0)*VLOOKUP('Données projet'!$B$17,Paramètres!$A$1:$I$89,5,0)</f>
        <v>25.931567999999999</v>
      </c>
      <c r="GB10" s="13">
        <f t="shared" si="49"/>
        <v>8.1810900516051337</v>
      </c>
      <c r="GC10" s="20">
        <f t="shared" si="25"/>
        <v>59.412879439878935</v>
      </c>
      <c r="GD10" s="59">
        <f t="shared" si="26"/>
        <v>324.63510166210119</v>
      </c>
      <c r="GE10" s="59">
        <f ca="1">AVERAGE(OFFSET($GD$3,0,0,'Données projet'!$E$17+1,1))-AVERAGE(OFFSET($H$3,0,0,'Données projet'!$E$17+1,1))</f>
        <v>486.55344536255876</v>
      </c>
      <c r="GF10" s="59">
        <f t="shared" si="50"/>
        <v>231.14794884432229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270.71434384627219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8.2014285714285702</v>
      </c>
      <c r="N11" s="13">
        <f>IF('Données projet'!$A$36&gt;35,N10+M11-V10,IF(A11&lt;'Données projet'!$A$36,$K$205^A11,IF(A11='Données projet'!$A$36,'Données projet'!$B$36,N10+M11-V10)))</f>
        <v>65.611428571428561</v>
      </c>
      <c r="O11" s="13">
        <f>N11*VLOOKUP('Données projet'!$B$9,Paramètres!$A$1:$I$89,3,0)*VLOOKUP('Données projet'!$B$9,Paramètres!$A$1:$I$89,5,0)</f>
        <v>30.706148571428564</v>
      </c>
      <c r="P11" s="13">
        <f t="shared" si="33"/>
        <v>9.4987045920791768</v>
      </c>
      <c r="Q11" s="20">
        <f t="shared" si="2"/>
        <v>70.023452593109326</v>
      </c>
      <c r="R11" s="59">
        <f t="shared" si="0"/>
        <v>336.46789703755377</v>
      </c>
      <c r="S11" s="59">
        <f ca="1">AVERAGE(OFFSET($R$3,0,0,'Données projet'!$E$9+1,1))-AVERAGE(OFFSET($H$3,0,0,'Données projet'!$E$9+1,1))</f>
        <v>252.08270526008477</v>
      </c>
      <c r="T11" s="59">
        <f t="shared" si="34"/>
        <v>239.77811108960179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280.27205568597856</v>
      </c>
      <c r="AN11" s="59">
        <f ca="1">AVERAGE(OFFSET($AM$3,0,0,'Données projet'!$E$10+1,1))-AVERAGE(OFFSET($H$3,0,0,'Données projet'!$E$10+1,1))</f>
        <v>251.64326096359997</v>
      </c>
      <c r="AO11" s="59">
        <f t="shared" si="36"/>
        <v>256.72142151189894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11.5</v>
      </c>
      <c r="BD11" s="12">
        <f>IF('Données projet'!$A$88&gt;35,BD10+BC11-BL10,IF(A11&lt;'Données projet'!$A$88,$BA$205^A11,IF(A11='Données projet'!$A$88,'Données projet'!$B$88,BD10+BC11-BL10)))</f>
        <v>44.520319489276915</v>
      </c>
      <c r="BE11" s="13">
        <f>BD11*VLOOKUP('Données projet'!$B$11,Paramètres!$A$1:$I$89,3,0)*VLOOKUP('Données projet'!$B$11,Paramètres!$A$1:$I$89,5,0)</f>
        <v>40.281985073897751</v>
      </c>
      <c r="BF11" s="13">
        <f t="shared" si="37"/>
        <v>12.073356496729009</v>
      </c>
      <c r="BG11" s="20">
        <f t="shared" si="7"/>
        <v>91.185553235508266</v>
      </c>
      <c r="BH11" s="59">
        <f t="shared" si="8"/>
        <v>357.62999767995274</v>
      </c>
      <c r="BI11" s="59">
        <f ca="1">AVERAGE(OFFSET($BH$3,0,0,'Données projet'!$E$11+1,1))-AVERAGE(OFFSET($H$3,0,0,'Données projet'!$E$11+1,1))</f>
        <v>199.29783428981898</v>
      </c>
      <c r="BJ11" s="59">
        <f t="shared" si="38"/>
        <v>237.32002274562547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4.016578947368421</v>
      </c>
      <c r="BY11" s="12">
        <f>IF('Données projet'!$A$114&gt;35,BY10+BX11-CG10,IF(A11&lt;'Données projet'!$A$114,$BV$205^A11,IF(A11='Données projet'!$A$114,'Données projet'!$B$114,BY10+BX11-CG10)))</f>
        <v>32.132631578947375</v>
      </c>
      <c r="BZ11" s="13">
        <f>BY11*VLOOKUP('Données projet'!$B$12,Paramètres!$A$1:$I$89,3,0)*VLOOKUP('Données projet'!$B$12,Paramètres!$A$1:$I$89,5,0)</f>
        <v>27.06852884210527</v>
      </c>
      <c r="CA11" s="13">
        <f t="shared" si="39"/>
        <v>8.4972389673047672</v>
      </c>
      <c r="CB11" s="20">
        <f t="shared" si="10"/>
        <v>61.943712268055812</v>
      </c>
      <c r="CC11" s="59">
        <f t="shared" si="11"/>
        <v>328.38815671250029</v>
      </c>
      <c r="CD11" s="59">
        <f ca="1">AVERAGE(OFFSET($CC$3,0,0,'Données projet'!$E$12+1,1))-AVERAGE(OFFSET($H$3,0,0,'Données projet'!$E$12+1,1))</f>
        <v>295.59075210589327</v>
      </c>
      <c r="CE11" s="59">
        <f t="shared" si="40"/>
        <v>210.41181542059576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6.7</v>
      </c>
      <c r="CT11" s="12">
        <f>IF('Données projet'!$A$140&gt;35,CT10+CS11-DB10,IF(A11&lt;'Données projet'!$A$140,$CQ$205^A11,IF(A11='Données projet'!$A$140,'Données projet'!$B$140,CT10+CS11-DB10)))</f>
        <v>7.0931953280240609</v>
      </c>
      <c r="CU11" s="17">
        <f>CT11*VLOOKUP('Données projet'!$B$13,Paramètres!$A$1:$I$89,3,0)*VLOOKUP('Données projet'!$B$13,Paramètres!$A$1:$I$89,5,0)</f>
        <v>3.2274038742509479</v>
      </c>
      <c r="CV11" s="13">
        <f t="shared" si="41"/>
        <v>1.2977016441999787</v>
      </c>
      <c r="CW11" s="20">
        <f t="shared" si="13"/>
        <v>7.8812254446353647</v>
      </c>
      <c r="CX11" s="59">
        <f t="shared" si="14"/>
        <v>274.32566988907985</v>
      </c>
      <c r="CY11" s="59">
        <f ca="1">AVERAGE(OFFSET($CX$3,0,0,'Données projet'!$E$13+1,1))-AVERAGE(OFFSET($H$3,0,0,'Données projet'!$E$13+1,1))</f>
        <v>338.22448697444298</v>
      </c>
      <c r="CZ11" s="59">
        <f t="shared" si="42"/>
        <v>293.3872365640849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9.300476190476191</v>
      </c>
      <c r="DO11" s="12">
        <f>IF('Données projet'!$A$166&gt;35,DO10+DN11-DW10,IF(A11&lt;'Données projet'!$A$166,$DL$205^A11,IF(A11='Données projet'!$A$166,'Données projet'!$B$166,DO10+DN11-DW10)))</f>
        <v>7.4585936100691947</v>
      </c>
      <c r="DP11" s="17">
        <f>DO11*VLOOKUP('Données projet'!$B$14,Paramètres!$A$1:$I$89,3,0)*VLOOKUP('Données projet'!$B$14,Paramètres!$A$1:$I$89,5,0)</f>
        <v>4.1693538280286795</v>
      </c>
      <c r="DQ11" s="13">
        <f t="shared" si="43"/>
        <v>1.6272145342868833</v>
      </c>
      <c r="DR11" s="20">
        <f t="shared" si="16"/>
        <v>10.095689897699605</v>
      </c>
      <c r="DS11" s="59">
        <f t="shared" si="17"/>
        <v>276.54013434214409</v>
      </c>
      <c r="DT11" s="59">
        <f ca="1">AVERAGE(OFFSET($DS$3,0,0,'Données projet'!$E$14+1,1))-AVERAGE(OFFSET($H$3,0,0,'Données projet'!$E$14+1,1))</f>
        <v>328.15217666639006</v>
      </c>
      <c r="DU11" s="59">
        <f t="shared" si="44"/>
        <v>305.59175773326308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11.5</v>
      </c>
      <c r="EJ11" s="12">
        <f>IF('Données projet'!$A$192&gt;35,EJ10+EI11-ER10,IF(A11&lt;'Données projet'!$A$192,$EG$205^A11,IF(A11='Données projet'!$A$192,'Données projet'!$B$192,EJ10+EI11-ER10)))</f>
        <v>44.520319489276915</v>
      </c>
      <c r="EK11" s="17">
        <f>EJ11*VLOOKUP('Données projet'!$B$15,Paramètres!$A$1:$I$89,3,0)*VLOOKUP('Données projet'!$B$15,Paramètres!$A$1:$I$89,5,0)</f>
        <v>32.642298249537831</v>
      </c>
      <c r="EL11" s="13">
        <f t="shared" si="45"/>
        <v>10.026023463420534</v>
      </c>
      <c r="EM11" s="20">
        <f t="shared" si="19"/>
        <v>74.31399365006915</v>
      </c>
      <c r="EN11" s="59">
        <f t="shared" si="20"/>
        <v>340.75843809451362</v>
      </c>
      <c r="EO11" s="59">
        <f ca="1">AVERAGE(OFFSET($EN$3,0,0,'Données projet'!$E$15+1,1))-AVERAGE(OFFSET($H$3,0,0,'Données projet'!$E$15+1,1))</f>
        <v>159.78276497127206</v>
      </c>
      <c r="EP11" s="59">
        <f t="shared" si="46"/>
        <v>190.72163407919857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5.3214035087719296</v>
      </c>
      <c r="FE11" s="12">
        <f>IF('Données projet'!$A$218&gt;35,FE10+FD11-FM10,IF(A11&lt;'Données projet'!$A$218,$FB$205^A11,IF(A11='Données projet'!$A$218,'Données projet'!$B$218,FE10+FD11-FM10)))</f>
        <v>42.571228070175437</v>
      </c>
      <c r="FF11" s="17">
        <f>FE11*VLOOKUP('Données projet'!$B$16,Paramètres!$A$1:$I$89,3,0)*VLOOKUP('Données projet'!$B$16,Paramètres!$A$1:$I$89,5,0)</f>
        <v>36.526113684210529</v>
      </c>
      <c r="FG11" s="13">
        <f t="shared" si="47"/>
        <v>11.073081281646795</v>
      </c>
      <c r="FH11" s="20">
        <f t="shared" si="22"/>
        <v>82.901931232201505</v>
      </c>
      <c r="FI11" s="59">
        <f t="shared" si="23"/>
        <v>349.34637567664595</v>
      </c>
      <c r="FJ11" s="59">
        <f ca="1">AVERAGE(OFFSET($FI$3,0,0,'Données projet'!$E$16+1,1))-AVERAGE(OFFSET($H$3,0,0,'Données projet'!$E$16+1,1))</f>
        <v>337.15023592377008</v>
      </c>
      <c r="FK11" s="59">
        <f t="shared" si="48"/>
        <v>286.60608582587099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4.0942857142857143</v>
      </c>
      <c r="FZ11" s="12">
        <f>IF('Données projet'!$A$244&gt;35,FZ10+FY11-GH10,IF(A11&lt;'Données projet'!$A$244,$FW$205^A11,IF(A11='Données projet'!$A$244,'Données projet'!$B$244,FZ10+FY11-GH10)))</f>
        <v>32.754285714285714</v>
      </c>
      <c r="GA11" s="17">
        <f>FZ11*VLOOKUP('Données projet'!$B$17,Paramètres!$A$1:$I$89,3,0)*VLOOKUP('Données projet'!$B$17,Paramètres!$A$1:$I$89,5,0)</f>
        <v>29.636077714285712</v>
      </c>
      <c r="GB11" s="13">
        <f t="shared" si="49"/>
        <v>9.205616053429063</v>
      </c>
      <c r="GC11" s="20">
        <f t="shared" si="25"/>
        <v>67.649283312103222</v>
      </c>
      <c r="GD11" s="59">
        <f t="shared" si="26"/>
        <v>334.09372775654765</v>
      </c>
      <c r="GE11" s="59">
        <f ca="1">AVERAGE(OFFSET($GD$3,0,0,'Données projet'!$E$17+1,1))-AVERAGE(OFFSET($H$3,0,0,'Données projet'!$E$17+1,1))</f>
        <v>486.55344536255876</v>
      </c>
      <c r="GF11" s="59">
        <f t="shared" si="50"/>
        <v>231.14794884432229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272.41160694711994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8.2014285714285702</v>
      </c>
      <c r="N12" s="13">
        <f>IF('Données projet'!$A$36&gt;35,N11+M12-V11,IF(A12&lt;'Données projet'!$A$36,$K$205^A12,IF(A12='Données projet'!$A$36,'Données projet'!$B$36,N11+M12-V11)))</f>
        <v>73.812857142857126</v>
      </c>
      <c r="O12" s="13">
        <f>N12*VLOOKUP('Données projet'!$B$9,Paramètres!$A$1:$I$89,3,0)*VLOOKUP('Données projet'!$B$9,Paramètres!$A$1:$I$89,5,0)</f>
        <v>34.544417142857135</v>
      </c>
      <c r="P12" s="13">
        <f t="shared" si="33"/>
        <v>10.540537319423553</v>
      </c>
      <c r="Q12" s="20">
        <f t="shared" si="2"/>
        <v>78.522962355138873</v>
      </c>
      <c r="R12" s="59">
        <f t="shared" si="0"/>
        <v>346.18962902180556</v>
      </c>
      <c r="S12" s="59">
        <f ca="1">AVERAGE(OFFSET($R$3,0,0,'Données projet'!$E$9+1,1))-AVERAGE(OFFSET($H$3,0,0,'Données projet'!$E$9+1,1))</f>
        <v>252.08270526008477</v>
      </c>
      <c r="T12" s="59">
        <f t="shared" si="34"/>
        <v>239.77811108960179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285.86146182194716</v>
      </c>
      <c r="AN12" s="59">
        <f ca="1">AVERAGE(OFFSET($AM$3,0,0,'Données projet'!$E$10+1,1))-AVERAGE(OFFSET($H$3,0,0,'Données projet'!$E$10+1,1))</f>
        <v>251.64326096359997</v>
      </c>
      <c r="AO12" s="59">
        <f t="shared" si="36"/>
        <v>256.72142151189894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11.5</v>
      </c>
      <c r="BD12" s="12">
        <f>IF('Données projet'!$A$88&gt;35,BD11+BC12-BL11,IF(A12&lt;'Données projet'!$A$88,$BA$205^A12,IF(A12='Données projet'!$A$88,'Données projet'!$B$88,BD11+BC12-BL11)))</f>
        <v>71.553034465820133</v>
      </c>
      <c r="BE12" s="13">
        <f>BD12*VLOOKUP('Données projet'!$B$11,Paramètres!$A$1:$I$89,3,0)*VLOOKUP('Données projet'!$B$11,Paramètres!$A$1:$I$89,5,0)</f>
        <v>64.741185584674056</v>
      </c>
      <c r="BF12" s="13">
        <f t="shared" si="37"/>
        <v>18.361632276803309</v>
      </c>
      <c r="BG12" s="20">
        <f t="shared" si="7"/>
        <v>144.73740777540638</v>
      </c>
      <c r="BH12" s="59">
        <f t="shared" si="8"/>
        <v>412.40407444207307</v>
      </c>
      <c r="BI12" s="59">
        <f ca="1">AVERAGE(OFFSET($BH$3,0,0,'Données projet'!$E$11+1,1))-AVERAGE(OFFSET($H$3,0,0,'Données projet'!$E$11+1,1))</f>
        <v>199.29783428981898</v>
      </c>
      <c r="BJ12" s="59">
        <f t="shared" si="38"/>
        <v>237.32002274562547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4.016578947368421</v>
      </c>
      <c r="BY12" s="12">
        <f>IF('Données projet'!$A$114&gt;35,BY11+BX12-CG11,IF(A12&lt;'Données projet'!$A$114,$BV$205^A12,IF(A12='Données projet'!$A$114,'Données projet'!$B$114,BY11+BX12-CG11)))</f>
        <v>36.149210526315798</v>
      </c>
      <c r="BZ12" s="13">
        <f>BY12*VLOOKUP('Données projet'!$B$12,Paramètres!$A$1:$I$89,3,0)*VLOOKUP('Données projet'!$B$12,Paramètres!$A$1:$I$89,5,0)</f>
        <v>30.452094947368433</v>
      </c>
      <c r="CA12" s="13">
        <f t="shared" si="39"/>
        <v>9.429229383722836</v>
      </c>
      <c r="CB12" s="20">
        <f t="shared" si="10"/>
        <v>69.459973209983957</v>
      </c>
      <c r="CC12" s="59">
        <f t="shared" si="11"/>
        <v>337.12663987665064</v>
      </c>
      <c r="CD12" s="59">
        <f ca="1">AVERAGE(OFFSET($CC$3,0,0,'Données projet'!$E$12+1,1))-AVERAGE(OFFSET($H$3,0,0,'Données projet'!$E$12+1,1))</f>
        <v>295.59075210589327</v>
      </c>
      <c r="CE12" s="59">
        <f t="shared" si="40"/>
        <v>210.41181542059576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6.7</v>
      </c>
      <c r="CT12" s="12">
        <f>IF('Données projet'!$A$140&gt;35,CT11+CS12-DB11,IF(A12&lt;'Données projet'!$A$140,$CQ$205^A12,IF(A12='Données projet'!$A$140,'Données projet'!$B$140,CT11+CS12-DB11)))</f>
        <v>9.0614387509291365</v>
      </c>
      <c r="CU12" s="17">
        <f>CT12*VLOOKUP('Données projet'!$B$13,Paramètres!$A$1:$I$89,3,0)*VLOOKUP('Données projet'!$B$13,Paramètres!$A$1:$I$89,5,0)</f>
        <v>4.1229546316727568</v>
      </c>
      <c r="CV12" s="13">
        <f t="shared" si="41"/>
        <v>1.6112033080399077</v>
      </c>
      <c r="CW12" s="20">
        <f t="shared" si="13"/>
        <v>9.9869917449995587</v>
      </c>
      <c r="CX12" s="59">
        <f t="shared" si="14"/>
        <v>277.65365841166624</v>
      </c>
      <c r="CY12" s="59">
        <f ca="1">AVERAGE(OFFSET($CX$3,0,0,'Données projet'!$E$13+1,1))-AVERAGE(OFFSET($H$3,0,0,'Données projet'!$E$13+1,1))</f>
        <v>338.22448697444298</v>
      </c>
      <c r="CZ12" s="59">
        <f t="shared" si="42"/>
        <v>293.3872365640849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9.300476190476191</v>
      </c>
      <c r="DO12" s="12">
        <f>IF('Données projet'!$A$166&gt;35,DO11+DN12-DW11,IF(A12&lt;'Données projet'!$A$166,$DL$205^A12,IF(A12='Données projet'!$A$166,'Données projet'!$B$166,DO11+DN12-DW11)))</f>
        <v>9.5882436801187154</v>
      </c>
      <c r="DP12" s="17">
        <f>DO12*VLOOKUP('Données projet'!$B$14,Paramètres!$A$1:$I$89,3,0)*VLOOKUP('Données projet'!$B$14,Paramètres!$A$1:$I$89,5,0)</f>
        <v>5.3598282171863616</v>
      </c>
      <c r="DQ12" s="13">
        <f t="shared" si="43"/>
        <v>2.0315605659282445</v>
      </c>
      <c r="DR12" s="20">
        <f t="shared" si="16"/>
        <v>12.873335463924604</v>
      </c>
      <c r="DS12" s="59">
        <f t="shared" si="17"/>
        <v>280.54000213059129</v>
      </c>
      <c r="DT12" s="59">
        <f ca="1">AVERAGE(OFFSET($DS$3,0,0,'Données projet'!$E$14+1,1))-AVERAGE(OFFSET($H$3,0,0,'Données projet'!$E$14+1,1))</f>
        <v>328.15217666639006</v>
      </c>
      <c r="DU12" s="59">
        <f t="shared" si="44"/>
        <v>305.59175773326308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11.5</v>
      </c>
      <c r="EJ12" s="12">
        <f>IF('Données projet'!$A$192&gt;35,EJ11+EI12-ER11,IF(A12&lt;'Données projet'!$A$192,$EG$205^A12,IF(A12='Données projet'!$A$192,'Données projet'!$B$192,EJ11+EI12-ER11)))</f>
        <v>71.553034465820133</v>
      </c>
      <c r="EK12" s="17">
        <f>EJ12*VLOOKUP('Données projet'!$B$15,Paramètres!$A$1:$I$89,3,0)*VLOOKUP('Données projet'!$B$15,Paramètres!$A$1:$I$89,5,0)</f>
        <v>52.462684870339316</v>
      </c>
      <c r="EL12" s="13">
        <f t="shared" si="45"/>
        <v>15.247968208658939</v>
      </c>
      <c r="EM12" s="20">
        <f t="shared" si="19"/>
        <v>117.92938744592196</v>
      </c>
      <c r="EN12" s="59">
        <f t="shared" si="20"/>
        <v>385.59605411258866</v>
      </c>
      <c r="EO12" s="59">
        <f ca="1">AVERAGE(OFFSET($EN$3,0,0,'Données projet'!$E$15+1,1))-AVERAGE(OFFSET($H$3,0,0,'Données projet'!$E$15+1,1))</f>
        <v>159.78276497127206</v>
      </c>
      <c r="EP12" s="59">
        <f t="shared" si="46"/>
        <v>190.72163407919857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5.3214035087719296</v>
      </c>
      <c r="FE12" s="12">
        <f>IF('Données projet'!$A$218&gt;35,FE11+FD12-FM11,IF(A12&lt;'Données projet'!$A$218,$FB$205^A12,IF(A12='Données projet'!$A$218,'Données projet'!$B$218,FE11+FD12-FM11)))</f>
        <v>47.892631578947366</v>
      </c>
      <c r="FF12" s="17">
        <f>FE12*VLOOKUP('Données projet'!$B$16,Paramètres!$A$1:$I$89,3,0)*VLOOKUP('Données projet'!$B$16,Paramètres!$A$1:$I$89,5,0)</f>
        <v>41.091877894736839</v>
      </c>
      <c r="FG12" s="13">
        <f t="shared" si="47"/>
        <v>12.287594098624385</v>
      </c>
      <c r="FH12" s="20">
        <f t="shared" si="22"/>
        <v>92.96924705510412</v>
      </c>
      <c r="FI12" s="59">
        <f t="shared" si="23"/>
        <v>360.63591372177081</v>
      </c>
      <c r="FJ12" s="59">
        <f ca="1">AVERAGE(OFFSET($FI$3,0,0,'Données projet'!$E$16+1,1))-AVERAGE(OFFSET($H$3,0,0,'Données projet'!$E$16+1,1))</f>
        <v>337.15023592377008</v>
      </c>
      <c r="FK12" s="59">
        <f t="shared" si="48"/>
        <v>286.60608582587099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4.0942857142857143</v>
      </c>
      <c r="FZ12" s="12">
        <f>IF('Données projet'!$A$244&gt;35,FZ11+FY12-GH11,IF(A12&lt;'Données projet'!$A$244,$FW$205^A12,IF(A12='Données projet'!$A$244,'Données projet'!$B$244,FZ11+FY12-GH11)))</f>
        <v>36.848571428571432</v>
      </c>
      <c r="GA12" s="17">
        <f>FZ12*VLOOKUP('Données projet'!$B$17,Paramètres!$A$1:$I$89,3,0)*VLOOKUP('Données projet'!$B$17,Paramètres!$A$1:$I$89,5,0)</f>
        <v>33.340587428571432</v>
      </c>
      <c r="GB12" s="13">
        <f t="shared" si="49"/>
        <v>10.215302372953809</v>
      </c>
      <c r="GC12" s="20">
        <f t="shared" si="25"/>
        <v>75.85984140432312</v>
      </c>
      <c r="GD12" s="59">
        <f t="shared" si="26"/>
        <v>343.52650807098979</v>
      </c>
      <c r="GE12" s="59">
        <f ca="1">AVERAGE(OFFSET($GD$3,0,0,'Données projet'!$E$17+1,1))-AVERAGE(OFFSET($H$3,0,0,'Données projet'!$E$17+1,1))</f>
        <v>486.55344536255876</v>
      </c>
      <c r="GF12" s="59">
        <f t="shared" si="50"/>
        <v>231.14794884432229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274.10345777088082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8.2014285714285702</v>
      </c>
      <c r="N13" s="13">
        <f>IF('Données projet'!$A$36&gt;35,N12+M13-V12,IF(A13&lt;'Données projet'!$A$36,$K$205^A13,IF(A13='Données projet'!$A$36,'Données projet'!$B$36,N12+M13-V12)))</f>
        <v>82.014285714285691</v>
      </c>
      <c r="O13" s="13">
        <f>N13*VLOOKUP('Données projet'!$B$9,Paramètres!$A$1:$I$89,3,0)*VLOOKUP('Données projet'!$B$9,Paramètres!$A$1:$I$89,5,0)</f>
        <v>38.382685714285699</v>
      </c>
      <c r="P13" s="13">
        <f t="shared" si="33"/>
        <v>11.568953324671821</v>
      </c>
      <c r="Q13" s="20">
        <f t="shared" si="2"/>
        <v>86.999104659517684</v>
      </c>
      <c r="R13" s="59">
        <f t="shared" si="0"/>
        <v>355.88799354840654</v>
      </c>
      <c r="S13" s="59">
        <f ca="1">AVERAGE(OFFSET($R$3,0,0,'Données projet'!$E$9+1,1))-AVERAGE(OFFSET($H$3,0,0,'Données projet'!$E$9+1,1))</f>
        <v>252.08270526008477</v>
      </c>
      <c r="T13" s="59">
        <f t="shared" si="34"/>
        <v>239.77811108960179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292.8352525220854</v>
      </c>
      <c r="AN13" s="59">
        <f ca="1">AVERAGE(OFFSET($AM$3,0,0,'Données projet'!$E$10+1,1))-AVERAGE(OFFSET($H$3,0,0,'Données projet'!$E$10+1,1))</f>
        <v>251.64326096359997</v>
      </c>
      <c r="AO13" s="59">
        <f t="shared" si="36"/>
        <v>256.72142151189894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115</v>
      </c>
      <c r="BB13" s="12">
        <f>VLOOKUP(A13,'Données projet'!$A$87:$I$107,9,0)</f>
        <v>11.5</v>
      </c>
      <c r="BC13" s="12">
        <f t="array" ref="BC13">INDEX(BB:BB,MIN(IF(ISNUMBER(BB13:BB209),ROW(BB13:BB209),"")))</f>
        <v>11.5</v>
      </c>
      <c r="BD13" s="12">
        <f>IF('Données projet'!$A$88&gt;35,BD12+BC13-BL12,IF(A13&lt;'Données projet'!$A$88,$BA$205^A13,IF(A13='Données projet'!$A$88,'Données projet'!$B$88,BD12+BC13-BL12)))</f>
        <v>115</v>
      </c>
      <c r="BE13" s="13">
        <f>BD13*VLOOKUP('Données projet'!$B$11,Paramètres!$A$1:$I$89,3,0)*VLOOKUP('Données projet'!$B$11,Paramètres!$A$1:$I$89,5,0)</f>
        <v>104.05199999999999</v>
      </c>
      <c r="BF13" s="13">
        <f t="shared" si="37"/>
        <v>27.925087771564417</v>
      </c>
      <c r="BG13" s="20">
        <f t="shared" si="7"/>
        <v>229.86009453547467</v>
      </c>
      <c r="BH13" s="59">
        <f t="shared" si="8"/>
        <v>498.74898342436353</v>
      </c>
      <c r="BI13" s="59">
        <f ca="1">AVERAGE(OFFSET($BH$3,0,0,'Données projet'!$E$11+1,1))-AVERAGE(OFFSET($H$3,0,0,'Données projet'!$E$11+1,1))</f>
        <v>199.29783428981898</v>
      </c>
      <c r="BJ13" s="59">
        <f t="shared" si="38"/>
        <v>237.32002274562547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71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0.15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10.610502497840422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10.610502497840422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4.016578947368421</v>
      </c>
      <c r="BY13" s="12">
        <f>IF('Données projet'!$A$114&gt;35,BY12+BX13-CG12,IF(A13&lt;'Données projet'!$A$114,$BV$205^A13,IF(A13='Données projet'!$A$114,'Données projet'!$B$114,BY12+BX13-CG12)))</f>
        <v>40.165789473684221</v>
      </c>
      <c r="BZ13" s="13">
        <f>BY13*VLOOKUP('Données projet'!$B$12,Paramètres!$A$1:$I$89,3,0)*VLOOKUP('Données projet'!$B$12,Paramètres!$A$1:$I$89,5,0)</f>
        <v>33.835661052631593</v>
      </c>
      <c r="CA13" s="13">
        <f t="shared" si="39"/>
        <v>10.349217627349503</v>
      </c>
      <c r="CB13" s="20">
        <f t="shared" si="10"/>
        <v>76.955330367633749</v>
      </c>
      <c r="CC13" s="59">
        <f t="shared" si="11"/>
        <v>345.84421925652259</v>
      </c>
      <c r="CD13" s="59">
        <f ca="1">AVERAGE(OFFSET($CC$3,0,0,'Données projet'!$E$12+1,1))-AVERAGE(OFFSET($H$3,0,0,'Données projet'!$E$12+1,1))</f>
        <v>295.59075210589327</v>
      </c>
      <c r="CE13" s="59">
        <f t="shared" si="40"/>
        <v>210.41181542059576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6.7</v>
      </c>
      <c r="CT13" s="12">
        <f>IF('Données projet'!$A$140&gt;35,CT12+CS13-DB12,IF(A13&lt;'Données projet'!$A$140,$CQ$205^A13,IF(A13='Données projet'!$A$140,'Données projet'!$B$140,CT12+CS13-DB12)))</f>
        <v>11.575836902790231</v>
      </c>
      <c r="CU13" s="17">
        <f>CT13*VLOOKUP('Données projet'!$B$13,Paramètres!$A$1:$I$89,3,0)*VLOOKUP('Données projet'!$B$13,Paramètres!$A$1:$I$89,5,0)</f>
        <v>5.2670057907695549</v>
      </c>
      <c r="CV13" s="13">
        <f t="shared" si="41"/>
        <v>2.0004414045719563</v>
      </c>
      <c r="CW13" s="20">
        <f t="shared" si="13"/>
        <v>12.657470531886466</v>
      </c>
      <c r="CX13" s="59">
        <f t="shared" si="14"/>
        <v>281.54635942077533</v>
      </c>
      <c r="CY13" s="59">
        <f ca="1">AVERAGE(OFFSET($CX$3,0,0,'Données projet'!$E$13+1,1))-AVERAGE(OFFSET($H$3,0,0,'Données projet'!$E$13+1,1))</f>
        <v>338.22448697444298</v>
      </c>
      <c r="CZ13" s="59">
        <f t="shared" si="42"/>
        <v>293.3872365640849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9.300476190476191</v>
      </c>
      <c r="DO13" s="12">
        <f>IF('Données projet'!$A$166&gt;35,DO12+DN13-DW12,IF(A13&lt;'Données projet'!$A$166,$DL$205^A13,IF(A13='Données projet'!$A$166,'Données projet'!$B$166,DO12+DN13-DW12)))</f>
        <v>12.325972116944925</v>
      </c>
      <c r="DP13" s="17">
        <f>DO13*VLOOKUP('Données projet'!$B$14,Paramètres!$A$1:$I$89,3,0)*VLOOKUP('Données projet'!$B$14,Paramètres!$A$1:$I$89,5,0)</f>
        <v>6.8902184133722137</v>
      </c>
      <c r="DQ13" s="13">
        <f t="shared" si="43"/>
        <v>2.5363824167434852</v>
      </c>
      <c r="DR13" s="20">
        <f t="shared" si="16"/>
        <v>16.417996445784841</v>
      </c>
      <c r="DS13" s="59">
        <f t="shared" si="17"/>
        <v>285.30688533467372</v>
      </c>
      <c r="DT13" s="59">
        <f ca="1">AVERAGE(OFFSET($DS$3,0,0,'Données projet'!$E$14+1,1))-AVERAGE(OFFSET($H$3,0,0,'Données projet'!$E$14+1,1))</f>
        <v>328.15217666639006</v>
      </c>
      <c r="DU13" s="59">
        <f t="shared" si="44"/>
        <v>305.59175773326308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115</v>
      </c>
      <c r="EH13" s="12">
        <f>VLOOKUP(A13,'Données projet'!$A$191:$I$211,9,0)</f>
        <v>11.5</v>
      </c>
      <c r="EI13" s="12">
        <f t="array" ref="EI13">INDEX(EH:EH,MIN(IF(ISNUMBER(EH13:EH209),ROW(EH13:EH209),"")))</f>
        <v>11.5</v>
      </c>
      <c r="EJ13" s="12">
        <f>IF('Données projet'!$A$192&gt;35,EJ12+EI13-ER12,IF(A13&lt;'Données projet'!$A$192,$EG$205^A13,IF(A13='Données projet'!$A$192,'Données projet'!$B$192,EJ12+EI13-ER12)))</f>
        <v>115</v>
      </c>
      <c r="EK13" s="17">
        <f>EJ13*VLOOKUP('Données projet'!$B$15,Paramètres!$A$1:$I$89,3,0)*VLOOKUP('Données projet'!$B$15,Paramètres!$A$1:$I$89,5,0)</f>
        <v>84.317999999999998</v>
      </c>
      <c r="EL13" s="13">
        <f t="shared" si="45"/>
        <v>23.189705803157239</v>
      </c>
      <c r="EM13" s="20">
        <f t="shared" si="19"/>
        <v>187.24258760716552</v>
      </c>
      <c r="EN13" s="59">
        <f t="shared" si="20"/>
        <v>456.13147649605435</v>
      </c>
      <c r="EO13" s="59">
        <f ca="1">AVERAGE(OFFSET($EN$3,0,0,'Données projet'!$E$15+1,1))-AVERAGE(OFFSET($H$3,0,0,'Données projet'!$E$15+1,1))</f>
        <v>159.78276497127206</v>
      </c>
      <c r="EP13" s="59">
        <f t="shared" si="46"/>
        <v>190.72163407919857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71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0.215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12.324037671342237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12.324037671342237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5.3214035087719296</v>
      </c>
      <c r="FE13" s="12">
        <f>IF('Données projet'!$A$218&gt;35,FE12+FD13-FM12,IF(A13&lt;'Données projet'!$A$218,$FB$205^A13,IF(A13='Données projet'!$A$218,'Données projet'!$B$218,FE12+FD13-FM12)))</f>
        <v>53.214035087719296</v>
      </c>
      <c r="FF13" s="17">
        <f>FE13*VLOOKUP('Données projet'!$B$16,Paramètres!$A$1:$I$89,3,0)*VLOOKUP('Données projet'!$B$16,Paramètres!$A$1:$I$89,5,0)</f>
        <v>45.657642105263164</v>
      </c>
      <c r="FG13" s="13">
        <f t="shared" si="47"/>
        <v>13.486466419272896</v>
      </c>
      <c r="FH13" s="20">
        <f t="shared" si="22"/>
        <v>103.0093223469003</v>
      </c>
      <c r="FI13" s="59">
        <f t="shared" si="23"/>
        <v>371.89821123578918</v>
      </c>
      <c r="FJ13" s="59">
        <f ca="1">AVERAGE(OFFSET($FI$3,0,0,'Données projet'!$E$16+1,1))-AVERAGE(OFFSET($H$3,0,0,'Données projet'!$E$16+1,1))</f>
        <v>337.15023592377008</v>
      </c>
      <c r="FK13" s="59">
        <f t="shared" si="48"/>
        <v>286.60608582587099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4.0942857142857143</v>
      </c>
      <c r="FZ13" s="12">
        <f>IF('Données projet'!$A$244&gt;35,FZ12+FY13-GH12,IF(A13&lt;'Données projet'!$A$244,$FW$205^A13,IF(A13='Données projet'!$A$244,'Données projet'!$B$244,FZ12+FY13-GH12)))</f>
        <v>40.94285714285715</v>
      </c>
      <c r="GA13" s="17">
        <f>FZ13*VLOOKUP('Données projet'!$B$17,Paramètres!$A$1:$I$89,3,0)*VLOOKUP('Données projet'!$B$17,Paramètres!$A$1:$I$89,5,0)</f>
        <v>37.045097142857145</v>
      </c>
      <c r="GB13" s="13">
        <f t="shared" si="49"/>
        <v>11.211985951829543</v>
      </c>
      <c r="GC13" s="20">
        <f t="shared" si="25"/>
        <v>84.04775305657931</v>
      </c>
      <c r="GD13" s="59">
        <f t="shared" si="26"/>
        <v>352.93664194546818</v>
      </c>
      <c r="GE13" s="59">
        <f ca="1">AVERAGE(OFFSET($GD$3,0,0,'Données projet'!$E$17+1,1))-AVERAGE(OFFSET($H$3,0,0,'Données projet'!$E$17+1,1))</f>
        <v>486.55344536255876</v>
      </c>
      <c r="GF13" s="59">
        <f t="shared" si="50"/>
        <v>231.14794884432229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275.79049915707532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8.2014285714285702</v>
      </c>
      <c r="N14" s="13">
        <f>IF('Données projet'!$A$36&gt;35,N13+M14-V13,IF(A14&lt;'Données projet'!$A$36,$K$205^A14,IF(A14='Données projet'!$A$36,'Données projet'!$B$36,N13+M14-V13)))</f>
        <v>90.215714285714256</v>
      </c>
      <c r="O14" s="13">
        <f>N14*VLOOKUP('Données projet'!$B$9,Paramètres!$A$1:$I$89,3,0)*VLOOKUP('Données projet'!$B$9,Paramètres!$A$1:$I$89,5,0)</f>
        <v>42.220954285714278</v>
      </c>
      <c r="P14" s="13">
        <f t="shared" si="33"/>
        <v>12.585447012154276</v>
      </c>
      <c r="Q14" s="20">
        <f t="shared" si="2"/>
        <v>95.454482260454384</v>
      </c>
      <c r="R14" s="59">
        <f t="shared" si="0"/>
        <v>365.56559337156551</v>
      </c>
      <c r="S14" s="59">
        <f ca="1">AVERAGE(OFFSET($R$3,0,0,'Données projet'!$E$9+1,1))-AVERAGE(OFFSET($H$3,0,0,'Données projet'!$E$9+1,1))</f>
        <v>252.08270526008477</v>
      </c>
      <c r="T14" s="59">
        <f t="shared" si="34"/>
        <v>239.77811108960179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301.63377696476778</v>
      </c>
      <c r="AN14" s="59">
        <f ca="1">AVERAGE(OFFSET($AM$3,0,0,'Données projet'!$E$10+1,1))-AVERAGE(OFFSET($H$3,0,0,'Données projet'!$E$10+1,1))</f>
        <v>251.64326096359997</v>
      </c>
      <c r="AO14" s="59">
        <f t="shared" si="36"/>
        <v>256.72142151189894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</v>
      </c>
      <c r="BD14" s="12">
        <f>IF('Données projet'!$A$88&gt;35,BD13+BC14-BL13,IF(A14&lt;'Données projet'!$A$88,$BA$205^A14,IF(A14='Données projet'!$A$88,'Données projet'!$B$88,BD13+BC14-BL13)))</f>
        <v>52</v>
      </c>
      <c r="BE14" s="13">
        <f>BD14*VLOOKUP('Données projet'!$B$11,Paramètres!$A$1:$I$89,3,0)*VLOOKUP('Données projet'!$B$11,Paramètres!$A$1:$I$89,5,0)</f>
        <v>47.049599999999998</v>
      </c>
      <c r="BF14" s="13">
        <f t="shared" si="37"/>
        <v>13.849129922569936</v>
      </c>
      <c r="BG14" s="20">
        <f t="shared" si="7"/>
        <v>106.06528794847596</v>
      </c>
      <c r="BH14" s="59">
        <f t="shared" si="8"/>
        <v>376.17639905958708</v>
      </c>
      <c r="BI14" s="59">
        <f ca="1">AVERAGE(OFFSET($BH$3,0,0,'Données projet'!$E$11+1,1))-AVERAGE(OFFSET($H$3,0,0,'Données projet'!$E$11+1,1))</f>
        <v>199.29783428981898</v>
      </c>
      <c r="BJ14" s="59">
        <f t="shared" si="38"/>
        <v>237.32002274562547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10.320357749054899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10.320357749054899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4.016578947368421</v>
      </c>
      <c r="BY14" s="12">
        <f>IF('Données projet'!$A$114&gt;35,BY13+BX14-CG13,IF(A14&lt;'Données projet'!$A$114,$BV$205^A14,IF(A14='Données projet'!$A$114,'Données projet'!$B$114,BY13+BX14-CG13)))</f>
        <v>44.182368421052644</v>
      </c>
      <c r="BZ14" s="13">
        <f>BY14*VLOOKUP('Données projet'!$B$12,Paramètres!$A$1:$I$89,3,0)*VLOOKUP('Données projet'!$B$12,Paramètres!$A$1:$I$89,5,0)</f>
        <v>37.21922715789475</v>
      </c>
      <c r="CA14" s="13">
        <f t="shared" si="39"/>
        <v>11.258540544760557</v>
      </c>
      <c r="CB14" s="20">
        <f t="shared" si="10"/>
        <v>84.432112082124647</v>
      </c>
      <c r="CC14" s="59">
        <f t="shared" si="11"/>
        <v>354.5432231932358</v>
      </c>
      <c r="CD14" s="59">
        <f ca="1">AVERAGE(OFFSET($CC$3,0,0,'Données projet'!$E$12+1,1))-AVERAGE(OFFSET($H$3,0,0,'Données projet'!$E$12+1,1))</f>
        <v>295.59075210589327</v>
      </c>
      <c r="CE14" s="59">
        <f t="shared" si="40"/>
        <v>210.41181542059576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6.7</v>
      </c>
      <c r="CT14" s="12">
        <f>IF('Données projet'!$A$140&gt;35,CT13+CS14-DB13,IF(A14&lt;'Données projet'!$A$140,$CQ$205^A14,IF(A14='Données projet'!$A$140,'Données projet'!$B$140,CT13+CS14-DB13)))</f>
        <v>14.787938613640149</v>
      </c>
      <c r="CU14" s="17">
        <f>CT14*VLOOKUP('Données projet'!$B$13,Paramètres!$A$1:$I$89,3,0)*VLOOKUP('Données projet'!$B$13,Paramètres!$A$1:$I$89,5,0)</f>
        <v>6.7285120692062677</v>
      </c>
      <c r="CV14" s="13">
        <f t="shared" si="41"/>
        <v>2.4837125104926243</v>
      </c>
      <c r="CW14" s="20">
        <f t="shared" si="13"/>
        <v>16.044624476308904</v>
      </c>
      <c r="CX14" s="59">
        <f t="shared" si="14"/>
        <v>286.15573558742005</v>
      </c>
      <c r="CY14" s="59">
        <f ca="1">AVERAGE(OFFSET($CX$3,0,0,'Données projet'!$E$13+1,1))-AVERAGE(OFFSET($H$3,0,0,'Données projet'!$E$13+1,1))</f>
        <v>338.22448697444298</v>
      </c>
      <c r="CZ14" s="59">
        <f t="shared" si="42"/>
        <v>293.3872365640849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9.300476190476191</v>
      </c>
      <c r="DO14" s="12">
        <f>IF('Données projet'!$A$166&gt;35,DO13+DN14-DW13,IF(A14&lt;'Données projet'!$A$166,$DL$205^A14,IF(A14='Données projet'!$A$166,'Données projet'!$B$166,DO13+DN14-DW13)))</f>
        <v>15.845403360234862</v>
      </c>
      <c r="DP14" s="17">
        <f>DO14*VLOOKUP('Données projet'!$B$14,Paramètres!$A$1:$I$89,3,0)*VLOOKUP('Données projet'!$B$14,Paramètres!$A$1:$I$89,5,0)</f>
        <v>8.8575804783712879</v>
      </c>
      <c r="DQ14" s="13">
        <f t="shared" si="43"/>
        <v>3.1666472916725947</v>
      </c>
      <c r="DR14" s="20">
        <f t="shared" si="16"/>
        <v>20.942196699493092</v>
      </c>
      <c r="DS14" s="59">
        <f t="shared" si="17"/>
        <v>291.05330781060422</v>
      </c>
      <c r="DT14" s="59">
        <f ca="1">AVERAGE(OFFSET($DS$3,0,0,'Données projet'!$E$14+1,1))-AVERAGE(OFFSET($H$3,0,0,'Données projet'!$E$14+1,1))</f>
        <v>328.15217666639006</v>
      </c>
      <c r="DU14" s="59">
        <f t="shared" si="44"/>
        <v>305.59175773326308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</v>
      </c>
      <c r="EJ14" s="12">
        <f>IF('Données projet'!$A$192&gt;35,EJ13+EI14-ER13,IF(A14&lt;'Données projet'!$A$192,$EG$205^A14,IF(A14='Données projet'!$A$192,'Données projet'!$B$192,EJ13+EI14-ER13)))</f>
        <v>52</v>
      </c>
      <c r="EK14" s="17">
        <f>EJ14*VLOOKUP('Données projet'!$B$15,Paramètres!$A$1:$I$89,3,0)*VLOOKUP('Données projet'!$B$15,Paramètres!$A$1:$I$89,5,0)</f>
        <v>38.126399999999997</v>
      </c>
      <c r="EL14" s="13">
        <f t="shared" si="45"/>
        <v>11.500671051108634</v>
      </c>
      <c r="EM14" s="20">
        <f t="shared" si="19"/>
        <v>86.433815414014191</v>
      </c>
      <c r="EN14" s="59">
        <f t="shared" si="20"/>
        <v>356.54492652512533</v>
      </c>
      <c r="EO14" s="59">
        <f ca="1">AVERAGE(OFFSET($EN$3,0,0,'Données projet'!$E$15+1,1))-AVERAGE(OFFSET($H$3,0,0,'Données projet'!$E$15+1,1))</f>
        <v>159.78276497127206</v>
      </c>
      <c r="EP14" s="59">
        <f t="shared" si="46"/>
        <v>190.72163407919857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11.987036213126411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11.987036213126411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5.3214035087719296</v>
      </c>
      <c r="FE14" s="12">
        <f>IF('Données projet'!$A$218&gt;35,FE13+FD14-FM13,IF(A14&lt;'Données projet'!$A$218,$FB$205^A14,IF(A14='Données projet'!$A$218,'Données projet'!$B$218,FE13+FD14-FM13)))</f>
        <v>58.535438596491225</v>
      </c>
      <c r="FF14" s="17">
        <f>FE14*VLOOKUP('Données projet'!$B$16,Paramètres!$A$1:$I$89,3,0)*VLOOKUP('Données projet'!$B$16,Paramètres!$A$1:$I$89,5,0)</f>
        <v>50.223406315789475</v>
      </c>
      <c r="FG14" s="13">
        <f t="shared" si="47"/>
        <v>14.6714403401547</v>
      </c>
      <c r="FH14" s="20">
        <f t="shared" si="22"/>
        <v>113.02519125910277</v>
      </c>
      <c r="FI14" s="59">
        <f t="shared" si="23"/>
        <v>383.13630237021391</v>
      </c>
      <c r="FJ14" s="59">
        <f ca="1">AVERAGE(OFFSET($FI$3,0,0,'Données projet'!$E$16+1,1))-AVERAGE(OFFSET($H$3,0,0,'Données projet'!$E$16+1,1))</f>
        <v>337.15023592377008</v>
      </c>
      <c r="FK14" s="59">
        <f t="shared" si="48"/>
        <v>286.60608582587099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4.0942857142857143</v>
      </c>
      <c r="FZ14" s="12">
        <f>IF('Données projet'!$A$244&gt;35,FZ13+FY14-GH13,IF(A14&lt;'Données projet'!$A$244,$FW$205^A14,IF(A14='Données projet'!$A$244,'Données projet'!$B$244,FZ13+FY14-GH13)))</f>
        <v>45.037142857142868</v>
      </c>
      <c r="GA14" s="17">
        <f>FZ14*VLOOKUP('Données projet'!$B$17,Paramètres!$A$1:$I$89,3,0)*VLOOKUP('Données projet'!$B$17,Paramètres!$A$1:$I$89,5,0)</f>
        <v>40.749606857142865</v>
      </c>
      <c r="GB14" s="13">
        <f t="shared" si="49"/>
        <v>12.197115083595657</v>
      </c>
      <c r="GC14" s="20">
        <f t="shared" si="25"/>
        <v>92.215540713452924</v>
      </c>
      <c r="GD14" s="59">
        <f t="shared" si="26"/>
        <v>362.32665182456407</v>
      </c>
      <c r="GE14" s="59">
        <f ca="1">AVERAGE(OFFSET($GD$3,0,0,'Données projet'!$E$17+1,1))-AVERAGE(OFFSET($H$3,0,0,'Données projet'!$E$17+1,1))</f>
        <v>486.55344536255876</v>
      </c>
      <c r="GF14" s="59">
        <f t="shared" si="50"/>
        <v>231.14794884432229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277.47321805133089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8.2014285714285702</v>
      </c>
      <c r="N15" s="13">
        <f>IF('Données projet'!$A$36&gt;35,N14+M15-V14,IF(A15&lt;'Données projet'!$A$36,$K$205^A15,IF(A15='Données projet'!$A$36,'Données projet'!$B$36,N14+M15-V14)))</f>
        <v>98.417142857142821</v>
      </c>
      <c r="O15" s="13">
        <f>N15*VLOOKUP('Données projet'!$B$9,Paramètres!$A$1:$I$89,3,0)*VLOOKUP('Données projet'!$B$9,Paramètres!$A$1:$I$89,5,0)</f>
        <v>46.059222857142835</v>
      </c>
      <c r="P15" s="13">
        <f t="shared" si="33"/>
        <v>13.591225491938175</v>
      </c>
      <c r="Q15" s="20">
        <f t="shared" si="2"/>
        <v>103.89119754131609</v>
      </c>
      <c r="R15" s="59">
        <f t="shared" si="0"/>
        <v>375.22453087464942</v>
      </c>
      <c r="S15" s="59">
        <f ca="1">AVERAGE(OFFSET($R$3,0,0,'Données projet'!$E$9+1,1))-AVERAGE(OFFSET($H$3,0,0,'Données projet'!$E$9+1,1))</f>
        <v>252.08270526008477</v>
      </c>
      <c r="T15" s="59">
        <f t="shared" si="34"/>
        <v>239.77811108960179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312.83789393547681</v>
      </c>
      <c r="AN15" s="59">
        <f ca="1">AVERAGE(OFFSET($AM$3,0,0,'Données projet'!$E$10+1,1))-AVERAGE(OFFSET($H$3,0,0,'Données projet'!$E$10+1,1))</f>
        <v>251.64326096359997</v>
      </c>
      <c r="AO15" s="59">
        <f t="shared" si="36"/>
        <v>256.72142151189894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</v>
      </c>
      <c r="BD15" s="12">
        <f>IF('Données projet'!$A$88&gt;35,BD14+BC15-BL14,IF(A15&lt;'Données projet'!$A$88,$BA$205^A15,IF(A15='Données projet'!$A$88,'Données projet'!$B$88,BD14+BC15-BL14)))</f>
        <v>60</v>
      </c>
      <c r="BE15" s="13">
        <f>BD15*VLOOKUP('Données projet'!$B$11,Paramètres!$A$1:$I$89,3,0)*VLOOKUP('Données projet'!$B$11,Paramètres!$A$1:$I$89,5,0)</f>
        <v>54.287999999999997</v>
      </c>
      <c r="BF15" s="13">
        <f t="shared" si="37"/>
        <v>15.715795896526746</v>
      </c>
      <c r="BG15" s="20">
        <f t="shared" si="7"/>
        <v>121.9232778531174</v>
      </c>
      <c r="BH15" s="59">
        <f t="shared" si="8"/>
        <v>393.2566111864507</v>
      </c>
      <c r="BI15" s="59">
        <f ca="1">AVERAGE(OFFSET($BH$3,0,0,'Données projet'!$E$11+1,1))-AVERAGE(OFFSET($H$3,0,0,'Données projet'!$E$11+1,1))</f>
        <v>199.29783428981898</v>
      </c>
      <c r="BJ15" s="59">
        <f t="shared" si="38"/>
        <v>237.32002274562547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10.038147023682967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10.038147023682967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4.016578947368421</v>
      </c>
      <c r="BY15" s="12">
        <f>IF('Données projet'!$A$114&gt;35,BY14+BX15-CG14,IF(A15&lt;'Données projet'!$A$114,$BV$205^A15,IF(A15='Données projet'!$A$114,'Données projet'!$B$114,BY14+BX15-CG14)))</f>
        <v>48.198947368421067</v>
      </c>
      <c r="BZ15" s="13">
        <f>BY15*VLOOKUP('Données projet'!$B$12,Paramètres!$A$1:$I$89,3,0)*VLOOKUP('Données projet'!$B$12,Paramètres!$A$1:$I$89,5,0)</f>
        <v>40.602793263157913</v>
      </c>
      <c r="CA15" s="13">
        <f t="shared" si="39"/>
        <v>12.158277978223115</v>
      </c>
      <c r="CB15" s="20">
        <f t="shared" si="10"/>
        <v>91.892199078738614</v>
      </c>
      <c r="CC15" s="59">
        <f t="shared" si="11"/>
        <v>363.22553241207191</v>
      </c>
      <c r="CD15" s="59">
        <f ca="1">AVERAGE(OFFSET($CC$3,0,0,'Données projet'!$E$12+1,1))-AVERAGE(OFFSET($H$3,0,0,'Données projet'!$E$12+1,1))</f>
        <v>295.59075210589327</v>
      </c>
      <c r="CE15" s="59">
        <f t="shared" si="40"/>
        <v>210.41181542059576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6.7</v>
      </c>
      <c r="CT15" s="12">
        <f>IF('Données projet'!$A$140&gt;35,CT14+CS15-DB14,IF(A15&lt;'Données projet'!$A$140,$CQ$205^A15,IF(A15='Données projet'!$A$140,'Données projet'!$B$140,CT14+CS15-DB14)))</f>
        <v>18.891344986735092</v>
      </c>
      <c r="CU15" s="17">
        <f>CT15*VLOOKUP('Données projet'!$B$13,Paramètres!$A$1:$I$89,3,0)*VLOOKUP('Données projet'!$B$13,Paramètres!$A$1:$I$89,5,0)</f>
        <v>8.5955619689644678</v>
      </c>
      <c r="CV15" s="13">
        <f t="shared" si="41"/>
        <v>3.0837333303934233</v>
      </c>
      <c r="CW15" s="20">
        <f t="shared" si="13"/>
        <v>20.341439313048326</v>
      </c>
      <c r="CX15" s="59">
        <f t="shared" si="14"/>
        <v>291.67477264638165</v>
      </c>
      <c r="CY15" s="59">
        <f ca="1">AVERAGE(OFFSET($CX$3,0,0,'Données projet'!$E$13+1,1))-AVERAGE(OFFSET($H$3,0,0,'Données projet'!$E$13+1,1))</f>
        <v>338.22448697444298</v>
      </c>
      <c r="CZ15" s="59">
        <f t="shared" si="42"/>
        <v>293.3872365640849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9.300476190476191</v>
      </c>
      <c r="DO15" s="12">
        <f>IF('Données projet'!$A$166&gt;35,DO14+DN15-DW14,IF(A15&lt;'Données projet'!$A$166,$DL$205^A15,IF(A15='Données projet'!$A$166,'Données projet'!$B$166,DO14+DN15-DW14)))</f>
        <v>20.369736785578038</v>
      </c>
      <c r="DP15" s="17">
        <f>DO15*VLOOKUP('Données projet'!$B$14,Paramètres!$A$1:$I$89,3,0)*VLOOKUP('Données projet'!$B$14,Paramètres!$A$1:$I$89,5,0)</f>
        <v>11.386682863138123</v>
      </c>
      <c r="DQ15" s="13">
        <f t="shared" si="43"/>
        <v>3.9535264886168462</v>
      </c>
      <c r="DR15" s="20">
        <f t="shared" si="16"/>
        <v>26.717531287639904</v>
      </c>
      <c r="DS15" s="59">
        <f t="shared" si="17"/>
        <v>298.05086462097324</v>
      </c>
      <c r="DT15" s="59">
        <f ca="1">AVERAGE(OFFSET($DS$3,0,0,'Données projet'!$E$14+1,1))-AVERAGE(OFFSET($H$3,0,0,'Données projet'!$E$14+1,1))</f>
        <v>328.15217666639006</v>
      </c>
      <c r="DU15" s="59">
        <f t="shared" si="44"/>
        <v>305.59175773326308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</v>
      </c>
      <c r="EJ15" s="12">
        <f>IF('Données projet'!$A$192&gt;35,EJ14+EI15-ER14,IF(A15&lt;'Données projet'!$A$192,$EG$205^A15,IF(A15='Données projet'!$A$192,'Données projet'!$B$192,EJ14+EI15-ER14)))</f>
        <v>60</v>
      </c>
      <c r="EK15" s="17">
        <f>EJ15*VLOOKUP('Données projet'!$B$15,Paramètres!$A$1:$I$89,3,0)*VLOOKUP('Données projet'!$B$15,Paramètres!$A$1:$I$89,5,0)</f>
        <v>43.991999999999997</v>
      </c>
      <c r="EL15" s="13">
        <f t="shared" si="45"/>
        <v>13.05079813120688</v>
      </c>
      <c r="EM15" s="20">
        <f t="shared" si="19"/>
        <v>99.349540078518643</v>
      </c>
      <c r="EN15" s="59">
        <f t="shared" si="20"/>
        <v>370.68287341185197</v>
      </c>
      <c r="EO15" s="59">
        <f ca="1">AVERAGE(OFFSET($EN$3,0,0,'Données projet'!$E$15+1,1))-AVERAGE(OFFSET($H$3,0,0,'Données projet'!$E$15+1,1))</f>
        <v>159.78276497127206</v>
      </c>
      <c r="EP15" s="59">
        <f t="shared" si="46"/>
        <v>190.72163407919857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11.659250077507631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11.659250077507631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5.3214035087719296</v>
      </c>
      <c r="FE15" s="12">
        <f>IF('Données projet'!$A$218&gt;35,FE14+FD15-FM14,IF(A15&lt;'Données projet'!$A$218,$FB$205^A15,IF(A15='Données projet'!$A$218,'Données projet'!$B$218,FE14+FD15-FM14)))</f>
        <v>63.856842105263155</v>
      </c>
      <c r="FF15" s="17">
        <f>FE15*VLOOKUP('Données projet'!$B$16,Paramètres!$A$1:$I$89,3,0)*VLOOKUP('Données projet'!$B$16,Paramètres!$A$1:$I$89,5,0)</f>
        <v>54.789170526315793</v>
      </c>
      <c r="FG15" s="13">
        <f t="shared" si="47"/>
        <v>15.843923045561212</v>
      </c>
      <c r="FH15" s="20">
        <f t="shared" si="22"/>
        <v>123.01930463768576</v>
      </c>
      <c r="FI15" s="59">
        <f t="shared" si="23"/>
        <v>394.35263797101908</v>
      </c>
      <c r="FJ15" s="59">
        <f ca="1">AVERAGE(OFFSET($FI$3,0,0,'Données projet'!$E$16+1,1))-AVERAGE(OFFSET($H$3,0,0,'Données projet'!$E$16+1,1))</f>
        <v>337.15023592377008</v>
      </c>
      <c r="FK15" s="59">
        <f t="shared" si="48"/>
        <v>286.60608582587099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4.0942857142857143</v>
      </c>
      <c r="FZ15" s="12">
        <f>IF('Données projet'!$A$244&gt;35,FZ14+FY15-GH14,IF(A15&lt;'Données projet'!$A$244,$FW$205^A15,IF(A15='Données projet'!$A$244,'Données projet'!$B$244,FZ14+FY15-GH14)))</f>
        <v>49.131428571428586</v>
      </c>
      <c r="GA15" s="17">
        <f>FZ15*VLOOKUP('Données projet'!$B$17,Paramètres!$A$1:$I$89,3,0)*VLOOKUP('Données projet'!$B$17,Paramètres!$A$1:$I$89,5,0)</f>
        <v>44.454116571428585</v>
      </c>
      <c r="GB15" s="13">
        <f t="shared" si="49"/>
        <v>13.17185963217473</v>
      </c>
      <c r="GC15" s="20">
        <f t="shared" si="25"/>
        <v>100.36524188794243</v>
      </c>
      <c r="GD15" s="59">
        <f t="shared" si="26"/>
        <v>371.69857522127575</v>
      </c>
      <c r="GE15" s="59">
        <f ca="1">AVERAGE(OFFSET($GD$3,0,0,'Données projet'!$E$17+1,1))-AVERAGE(OFFSET($H$3,0,0,'Données projet'!$E$17+1,1))</f>
        <v>486.55344536255876</v>
      </c>
      <c r="GF15" s="59">
        <f t="shared" si="50"/>
        <v>231.14794884432229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279.15201561372129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8.2014285714285702</v>
      </c>
      <c r="N16" s="13">
        <f>IF('Données projet'!$A$36&gt;35,N15+M16-V15,IF(A16&lt;'Données projet'!$A$36,$K$205^A16,IF(A16='Données projet'!$A$36,'Données projet'!$B$36,N15+M16-V15)))</f>
        <v>106.61857142857139</v>
      </c>
      <c r="O16" s="13">
        <f>N16*VLOOKUP('Données projet'!$B$9,Paramètres!$A$1:$I$89,3,0)*VLOOKUP('Données projet'!$B$9,Paramètres!$A$1:$I$89,5,0)</f>
        <v>49.897491428571414</v>
      </c>
      <c r="P16" s="13">
        <f t="shared" si="33"/>
        <v>14.58728321666139</v>
      </c>
      <c r="Q16" s="20">
        <f t="shared" si="2"/>
        <v>112.31098250711379</v>
      </c>
      <c r="R16" s="59">
        <f t="shared" si="0"/>
        <v>384.86653806266935</v>
      </c>
      <c r="S16" s="59">
        <f ca="1">AVERAGE(OFFSET($R$3,0,0,'Données projet'!$E$9+1,1))-AVERAGE(OFFSET($H$3,0,0,'Données projet'!$E$9+1,1))</f>
        <v>252.08270526008477</v>
      </c>
      <c r="T16" s="59">
        <f t="shared" si="34"/>
        <v>239.77811108960179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327.21393611357718</v>
      </c>
      <c r="AN16" s="59">
        <f ca="1">AVERAGE(OFFSET($AM$3,0,0,'Données projet'!$E$10+1,1))-AVERAGE(OFFSET($H$3,0,0,'Données projet'!$E$10+1,1))</f>
        <v>251.64326096359997</v>
      </c>
      <c r="AO16" s="59">
        <f t="shared" si="36"/>
        <v>256.72142151189894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</v>
      </c>
      <c r="BD16" s="12">
        <f>IF('Données projet'!$A$88&gt;35,BD15+BC16-BL15,IF(A16&lt;'Données projet'!$A$88,$BA$205^A16,IF(A16='Données projet'!$A$88,'Données projet'!$B$88,BD15+BC16-BL15)))</f>
        <v>68</v>
      </c>
      <c r="BE16" s="13">
        <f>BD16*VLOOKUP('Données projet'!$B$11,Paramètres!$A$1:$I$89,3,0)*VLOOKUP('Données projet'!$B$11,Paramètres!$A$1:$I$89,5,0)</f>
        <v>61.526399999999995</v>
      </c>
      <c r="BF16" s="13">
        <f t="shared" si="37"/>
        <v>17.553624762159014</v>
      </c>
      <c r="BG16" s="20">
        <f t="shared" si="7"/>
        <v>137.73104312742694</v>
      </c>
      <c r="BH16" s="59">
        <f t="shared" si="8"/>
        <v>410.28659868298246</v>
      </c>
      <c r="BI16" s="59">
        <f ca="1">AVERAGE(OFFSET($BH$3,0,0,'Données projet'!$E$11+1,1))-AVERAGE(OFFSET($H$3,0,0,'Données projet'!$E$11+1,1))</f>
        <v>199.29783428981898</v>
      </c>
      <c r="BJ16" s="59">
        <f t="shared" si="38"/>
        <v>237.32002274562547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9.7636533654371469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9.7636533654371469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4.016578947368421</v>
      </c>
      <c r="BY16" s="12">
        <f>IF('Données projet'!$A$114&gt;35,BY15+BX16-CG15,IF(A16&lt;'Données projet'!$A$114,$BV$205^A16,IF(A16='Données projet'!$A$114,'Données projet'!$B$114,BY15+BX16-CG15)))</f>
        <v>52.215526315789489</v>
      </c>
      <c r="BZ16" s="13">
        <f>BY16*VLOOKUP('Données projet'!$B$12,Paramètres!$A$1:$I$89,3,0)*VLOOKUP('Données projet'!$B$12,Paramètres!$A$1:$I$89,5,0)</f>
        <v>43.98635936842107</v>
      </c>
      <c r="CA16" s="13">
        <f t="shared" si="39"/>
        <v>13.049319533432733</v>
      </c>
      <c r="CB16" s="20">
        <f t="shared" si="10"/>
        <v>99.337140754062034</v>
      </c>
      <c r="CC16" s="59">
        <f t="shared" si="11"/>
        <v>371.89269630961758</v>
      </c>
      <c r="CD16" s="59">
        <f ca="1">AVERAGE(OFFSET($CC$3,0,0,'Données projet'!$E$12+1,1))-AVERAGE(OFFSET($H$3,0,0,'Données projet'!$E$12+1,1))</f>
        <v>295.59075210589327</v>
      </c>
      <c r="CE16" s="59">
        <f t="shared" si="40"/>
        <v>210.41181542059576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6.7</v>
      </c>
      <c r="CT16" s="12">
        <f>IF('Données projet'!$A$140&gt;35,CT15+CS16-DB15,IF(A16&lt;'Données projet'!$A$140,$CQ$205^A16,IF(A16='Données projet'!$A$140,'Données projet'!$B$140,CT15+CS16-DB15)))</f>
        <v>24.133378203143081</v>
      </c>
      <c r="CU16" s="17">
        <f>CT16*VLOOKUP('Données projet'!$B$13,Paramètres!$A$1:$I$89,3,0)*VLOOKUP('Données projet'!$B$13,Paramètres!$A$1:$I$89,5,0)</f>
        <v>10.980687082430101</v>
      </c>
      <c r="CV16" s="13">
        <f t="shared" si="41"/>
        <v>3.8287085211376555</v>
      </c>
      <c r="CW16" s="20">
        <f t="shared" si="13"/>
        <v>25.793030676213846</v>
      </c>
      <c r="CX16" s="59">
        <f t="shared" si="14"/>
        <v>298.34858623176939</v>
      </c>
      <c r="CY16" s="59">
        <f ca="1">AVERAGE(OFFSET($CX$3,0,0,'Données projet'!$E$13+1,1))-AVERAGE(OFFSET($H$3,0,0,'Données projet'!$E$13+1,1))</f>
        <v>338.22448697444298</v>
      </c>
      <c r="CZ16" s="59">
        <f t="shared" si="42"/>
        <v>293.3872365640849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9.300476190476191</v>
      </c>
      <c r="DO16" s="12">
        <f>IF('Données projet'!$A$166&gt;35,DO15+DN16-DW15,IF(A16&lt;'Données projet'!$A$166,$DL$205^A16,IF(A16='Données projet'!$A$166,'Données projet'!$B$166,DO15+DN16-DW15)))</f>
        <v>26.185901821535015</v>
      </c>
      <c r="DP16" s="17">
        <f>DO16*VLOOKUP('Données projet'!$B$14,Paramètres!$A$1:$I$89,3,0)*VLOOKUP('Données projet'!$B$14,Paramètres!$A$1:$I$89,5,0)</f>
        <v>14.637919118238074</v>
      </c>
      <c r="DQ16" s="13">
        <f t="shared" si="43"/>
        <v>4.935937051561945</v>
      </c>
      <c r="DR16" s="20">
        <f t="shared" si="16"/>
        <v>34.091132829068357</v>
      </c>
      <c r="DS16" s="59">
        <f t="shared" si="17"/>
        <v>306.64668838462387</v>
      </c>
      <c r="DT16" s="59">
        <f ca="1">AVERAGE(OFFSET($DS$3,0,0,'Données projet'!$E$14+1,1))-AVERAGE(OFFSET($H$3,0,0,'Données projet'!$E$14+1,1))</f>
        <v>328.15217666639006</v>
      </c>
      <c r="DU16" s="59">
        <f t="shared" si="44"/>
        <v>305.59175773326308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</v>
      </c>
      <c r="EJ16" s="12">
        <f>IF('Données projet'!$A$192&gt;35,EJ15+EI16-ER15,IF(A16&lt;'Données projet'!$A$192,$EG$205^A16,IF(A16='Données projet'!$A$192,'Données projet'!$B$192,EJ15+EI16-ER15)))</f>
        <v>68</v>
      </c>
      <c r="EK16" s="17">
        <f>EJ16*VLOOKUP('Données projet'!$B$15,Paramètres!$A$1:$I$89,3,0)*VLOOKUP('Données projet'!$B$15,Paramètres!$A$1:$I$89,5,0)</f>
        <v>49.857599999999998</v>
      </c>
      <c r="EL16" s="13">
        <f t="shared" si="45"/>
        <v>14.576978140351212</v>
      </c>
      <c r="EM16" s="20">
        <f t="shared" si="19"/>
        <v>112.22355692777835</v>
      </c>
      <c r="EN16" s="59">
        <f t="shared" si="20"/>
        <v>384.7791124833339</v>
      </c>
      <c r="EO16" s="59">
        <f ca="1">AVERAGE(OFFSET($EN$3,0,0,'Données projet'!$E$15+1,1))-AVERAGE(OFFSET($H$3,0,0,'Données projet'!$E$15+1,1))</f>
        <v>159.78276497127206</v>
      </c>
      <c r="EP16" s="59">
        <f t="shared" si="46"/>
        <v>190.72163407919857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11.34042727100487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11.34042727100487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5.3214035087719296</v>
      </c>
      <c r="FE16" s="12">
        <f>IF('Données projet'!$A$218&gt;35,FE15+FD16-FM15,IF(A16&lt;'Données projet'!$A$218,$FB$205^A16,IF(A16='Données projet'!$A$218,'Données projet'!$B$218,FE15+FD16-FM15)))</f>
        <v>69.178245614035092</v>
      </c>
      <c r="FF16" s="17">
        <f>FE16*VLOOKUP('Données projet'!$B$16,Paramètres!$A$1:$I$89,3,0)*VLOOKUP('Données projet'!$B$16,Paramètres!$A$1:$I$89,5,0)</f>
        <v>59.354934736842118</v>
      </c>
      <c r="FG16" s="13">
        <f t="shared" si="47"/>
        <v>17.005073815137685</v>
      </c>
      <c r="FH16" s="20">
        <f t="shared" si="22"/>
        <v>132.99368156136481</v>
      </c>
      <c r="FI16" s="59">
        <f t="shared" si="23"/>
        <v>405.54923711692038</v>
      </c>
      <c r="FJ16" s="59">
        <f ca="1">AVERAGE(OFFSET($FI$3,0,0,'Données projet'!$E$16+1,1))-AVERAGE(OFFSET($H$3,0,0,'Données projet'!$E$16+1,1))</f>
        <v>337.15023592377008</v>
      </c>
      <c r="FK16" s="59">
        <f t="shared" si="48"/>
        <v>286.60608582587099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4.0942857142857143</v>
      </c>
      <c r="FZ16" s="12">
        <f>IF('Données projet'!$A$244&gt;35,FZ15+FY16-GH15,IF(A16&lt;'Données projet'!$A$244,$FW$205^A16,IF(A16='Données projet'!$A$244,'Données projet'!$B$244,FZ15+FY16-GH15)))</f>
        <v>53.225714285714304</v>
      </c>
      <c r="GA16" s="17">
        <f>FZ16*VLOOKUP('Données projet'!$B$17,Paramètres!$A$1:$I$89,3,0)*VLOOKUP('Données projet'!$B$17,Paramètres!$A$1:$I$89,5,0)</f>
        <v>48.158626285714305</v>
      </c>
      <c r="GB16" s="13">
        <f t="shared" si="49"/>
        <v>14.137183365739432</v>
      </c>
      <c r="GC16" s="20">
        <f t="shared" si="25"/>
        <v>108.4985351429486</v>
      </c>
      <c r="GD16" s="59">
        <f t="shared" si="26"/>
        <v>381.05409069850413</v>
      </c>
      <c r="GE16" s="59">
        <f ca="1">AVERAGE(OFFSET($GD$3,0,0,'Données projet'!$E$17+1,1))-AVERAGE(OFFSET($H$3,0,0,'Données projet'!$E$17+1,1))</f>
        <v>486.55344536255876</v>
      </c>
      <c r="GF16" s="59">
        <f t="shared" si="50"/>
        <v>231.14794884432229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280.82722778146683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8.2014285714285702</v>
      </c>
      <c r="N17" s="13">
        <f>IF('Données projet'!$A$36&gt;35,N16+M17-V16,IF(A17&lt;'Données projet'!$A$36,$K$205^A17,IF(A17='Données projet'!$A$36,'Données projet'!$B$36,N16+M17-V16)))</f>
        <v>114.81999999999995</v>
      </c>
      <c r="O17" s="13">
        <f>N17*VLOOKUP('Données projet'!$B$9,Paramètres!$A$1:$I$89,3,0)*VLOOKUP('Données projet'!$B$9,Paramètres!$A$1:$I$89,5,0)</f>
        <v>53.735759999999978</v>
      </c>
      <c r="P17" s="13">
        <f t="shared" si="33"/>
        <v>15.574452955277668</v>
      </c>
      <c r="Q17" s="20">
        <f t="shared" si="2"/>
        <v>120.71528756377522</v>
      </c>
      <c r="R17" s="59">
        <f t="shared" si="0"/>
        <v>394.49306534155301</v>
      </c>
      <c r="S17" s="59">
        <f ca="1">AVERAGE(OFFSET($R$3,0,0,'Données projet'!$E$9+1,1))-AVERAGE(OFFSET($H$3,0,0,'Données projet'!$E$9+1,1))</f>
        <v>252.08270526008477</v>
      </c>
      <c r="T17" s="59">
        <f t="shared" si="34"/>
        <v>239.77811108960179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345.77310115481771</v>
      </c>
      <c r="AN17" s="59">
        <f ca="1">AVERAGE(OFFSET($AM$3,0,0,'Données projet'!$E$10+1,1))-AVERAGE(OFFSET($H$3,0,0,'Données projet'!$E$10+1,1))</f>
        <v>251.64326096359997</v>
      </c>
      <c r="AO17" s="59">
        <f t="shared" si="36"/>
        <v>256.72142151189894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</v>
      </c>
      <c r="BD17" s="12">
        <f>IF('Données projet'!$A$88&gt;35,BD16+BC17-BL16,IF(A17&lt;'Données projet'!$A$88,$BA$205^A17,IF(A17='Données projet'!$A$88,'Données projet'!$B$88,BD16+BC17-BL16)))</f>
        <v>76</v>
      </c>
      <c r="BE17" s="13">
        <f>BD17*VLOOKUP('Données projet'!$B$11,Paramètres!$A$1:$I$89,3,0)*VLOOKUP('Données projet'!$B$11,Paramètres!$A$1:$I$89,5,0)</f>
        <v>68.764799999999994</v>
      </c>
      <c r="BF17" s="13">
        <f t="shared" si="37"/>
        <v>19.366396769521369</v>
      </c>
      <c r="BG17" s="20">
        <f t="shared" si="7"/>
        <v>153.49516770691636</v>
      </c>
      <c r="BH17" s="59">
        <f t="shared" si="8"/>
        <v>427.27294548469411</v>
      </c>
      <c r="BI17" s="59">
        <f ca="1">AVERAGE(OFFSET($BH$3,0,0,'Données projet'!$E$11+1,1))-AVERAGE(OFFSET($H$3,0,0,'Données projet'!$E$11+1,1))</f>
        <v>199.29783428981898</v>
      </c>
      <c r="BJ17" s="59">
        <f t="shared" si="38"/>
        <v>237.32002274562547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9.4966657507110526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9.4966657507110526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4.016578947368421</v>
      </c>
      <c r="BY17" s="12">
        <f>IF('Données projet'!$A$114&gt;35,BY16+BX17-CG16,IF(A17&lt;'Données projet'!$A$114,$BV$205^A17,IF(A17='Données projet'!$A$114,'Données projet'!$B$114,BY16+BX17-CG16)))</f>
        <v>56.232105263157912</v>
      </c>
      <c r="BZ17" s="13">
        <f>BY17*VLOOKUP('Données projet'!$B$12,Paramètres!$A$1:$I$89,3,0)*VLOOKUP('Données projet'!$B$12,Paramètres!$A$1:$I$89,5,0)</f>
        <v>47.369925473684233</v>
      </c>
      <c r="CA17" s="13">
        <f t="shared" si="39"/>
        <v>13.932410179004457</v>
      </c>
      <c r="CB17" s="20">
        <f t="shared" si="10"/>
        <v>106.76823459509946</v>
      </c>
      <c r="CC17" s="59">
        <f t="shared" si="11"/>
        <v>380.54601237287721</v>
      </c>
      <c r="CD17" s="59">
        <f ca="1">AVERAGE(OFFSET($CC$3,0,0,'Données projet'!$E$12+1,1))-AVERAGE(OFFSET($H$3,0,0,'Données projet'!$E$12+1,1))</f>
        <v>295.59075210589327</v>
      </c>
      <c r="CE17" s="59">
        <f t="shared" si="40"/>
        <v>210.41181542059576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6.7</v>
      </c>
      <c r="CT17" s="12">
        <f>IF('Données projet'!$A$140&gt;35,CT16+CS17-DB16,IF(A17&lt;'Données projet'!$A$140,$CQ$205^A17,IF(A17='Données projet'!$A$140,'Données projet'!$B$140,CT16+CS17-DB16)))</f>
        <v>30.829988225025726</v>
      </c>
      <c r="CU17" s="17">
        <f>CT17*VLOOKUP('Données projet'!$B$13,Paramètres!$A$1:$I$89,3,0)*VLOOKUP('Données projet'!$B$13,Paramètres!$A$1:$I$89,5,0)</f>
        <v>14.027644642386704</v>
      </c>
      <c r="CV17" s="13">
        <f t="shared" si="41"/>
        <v>4.7536564836369619</v>
      </c>
      <c r="CW17" s="20">
        <f t="shared" si="13"/>
        <v>32.710766127824549</v>
      </c>
      <c r="CX17" s="59">
        <f t="shared" si="14"/>
        <v>306.48854390560234</v>
      </c>
      <c r="CY17" s="59">
        <f ca="1">AVERAGE(OFFSET($CX$3,0,0,'Données projet'!$E$13+1,1))-AVERAGE(OFFSET($H$3,0,0,'Données projet'!$E$13+1,1))</f>
        <v>338.22448697444298</v>
      </c>
      <c r="CZ17" s="59">
        <f t="shared" si="42"/>
        <v>293.3872365640849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9.300476190476191</v>
      </c>
      <c r="DO17" s="12">
        <f>IF('Données projet'!$A$166&gt;35,DO16+DN17-DW16,IF(A17&lt;'Données projet'!$A$166,$DL$205^A17,IF(A17='Données projet'!$A$166,'Données projet'!$B$166,DO16+DN17-DW16)))</f>
        <v>33.662754773176729</v>
      </c>
      <c r="DP17" s="17">
        <f>DO17*VLOOKUP('Données projet'!$B$14,Paramètres!$A$1:$I$89,3,0)*VLOOKUP('Données projet'!$B$14,Paramètres!$A$1:$I$89,5,0)</f>
        <v>18.817479918205791</v>
      </c>
      <c r="DQ17" s="13">
        <f t="shared" si="43"/>
        <v>6.1624665086044912</v>
      </c>
      <c r="DR17" s="20">
        <f t="shared" si="16"/>
        <v>43.50674002669458</v>
      </c>
      <c r="DS17" s="59">
        <f t="shared" si="17"/>
        <v>317.28451780447233</v>
      </c>
      <c r="DT17" s="59">
        <f ca="1">AVERAGE(OFFSET($DS$3,0,0,'Données projet'!$E$14+1,1))-AVERAGE(OFFSET($H$3,0,0,'Données projet'!$E$14+1,1))</f>
        <v>328.15217666639006</v>
      </c>
      <c r="DU17" s="59">
        <f t="shared" si="44"/>
        <v>305.59175773326308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</v>
      </c>
      <c r="EJ17" s="12">
        <f>IF('Données projet'!$A$192&gt;35,EJ16+EI17-ER16,IF(A17&lt;'Données projet'!$A$192,$EG$205^A17,IF(A17='Données projet'!$A$192,'Données projet'!$B$192,EJ16+EI17-ER16)))</f>
        <v>76</v>
      </c>
      <c r="EK17" s="17">
        <f>EJ17*VLOOKUP('Données projet'!$B$15,Paramètres!$A$1:$I$89,3,0)*VLOOKUP('Données projet'!$B$15,Paramètres!$A$1:$I$89,5,0)</f>
        <v>55.723199999999999</v>
      </c>
      <c r="EL17" s="13">
        <f t="shared" si="45"/>
        <v>16.082350294695448</v>
      </c>
      <c r="EM17" s="20">
        <f t="shared" si="19"/>
        <v>125.0613334299279</v>
      </c>
      <c r="EN17" s="59">
        <f t="shared" si="20"/>
        <v>398.83911120770568</v>
      </c>
      <c r="EO17" s="59">
        <f ca="1">AVERAGE(OFFSET($EN$3,0,0,'Données projet'!$E$15+1,1))-AVERAGE(OFFSET($H$3,0,0,'Données projet'!$E$15+1,1))</f>
        <v>159.78276497127206</v>
      </c>
      <c r="EP17" s="59">
        <f t="shared" si="46"/>
        <v>190.72163407919857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11.03032269091209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11.03032269091209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5.3214035087719296</v>
      </c>
      <c r="FE17" s="12">
        <f>IF('Données projet'!$A$218&gt;35,FE16+FD17-FM16,IF(A17&lt;'Données projet'!$A$218,$FB$205^A17,IF(A17='Données projet'!$A$218,'Données projet'!$B$218,FE16+FD17-FM16)))</f>
        <v>74.499649122807028</v>
      </c>
      <c r="FF17" s="17">
        <f>FE17*VLOOKUP('Données projet'!$B$16,Paramètres!$A$1:$I$89,3,0)*VLOOKUP('Données projet'!$B$16,Paramètres!$A$1:$I$89,5,0)</f>
        <v>63.920698947368436</v>
      </c>
      <c r="FG17" s="13">
        <f t="shared" si="47"/>
        <v>18.15586344634648</v>
      </c>
      <c r="FH17" s="20">
        <f t="shared" si="22"/>
        <v>142.95001283572014</v>
      </c>
      <c r="FI17" s="59">
        <f t="shared" si="23"/>
        <v>416.72779061349792</v>
      </c>
      <c r="FJ17" s="59">
        <f ca="1">AVERAGE(OFFSET($FI$3,0,0,'Données projet'!$E$16+1,1))-AVERAGE(OFFSET($H$3,0,0,'Données projet'!$E$16+1,1))</f>
        <v>337.15023592377008</v>
      </c>
      <c r="FK17" s="59">
        <f t="shared" si="48"/>
        <v>286.60608582587099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4.0942857142857143</v>
      </c>
      <c r="FZ17" s="12">
        <f>IF('Données projet'!$A$244&gt;35,FZ16+FY17-GH16,IF(A17&lt;'Données projet'!$A$244,$FW$205^A17,IF(A17='Données projet'!$A$244,'Données projet'!$B$244,FZ16+FY17-GH16)))</f>
        <v>57.320000000000022</v>
      </c>
      <c r="GA17" s="17">
        <f>FZ17*VLOOKUP('Données projet'!$B$17,Paramètres!$A$1:$I$89,3,0)*VLOOKUP('Données projet'!$B$17,Paramètres!$A$1:$I$89,5,0)</f>
        <v>51.863136000000019</v>
      </c>
      <c r="GB17" s="13">
        <f t="shared" si="49"/>
        <v>15.093893357630675</v>
      </c>
      <c r="GC17" s="20">
        <f t="shared" si="25"/>
        <v>116.61682613120678</v>
      </c>
      <c r="GD17" s="59">
        <f t="shared" si="26"/>
        <v>390.39460390898455</v>
      </c>
      <c r="GE17" s="59">
        <f ca="1">AVERAGE(OFFSET($GD$3,0,0,'Données projet'!$E$17+1,1))-AVERAGE(OFFSET($H$3,0,0,'Données projet'!$E$17+1,1))</f>
        <v>486.55344536255876</v>
      </c>
      <c r="GF17" s="59">
        <f t="shared" si="50"/>
        <v>231.14794884432229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282.49913978135817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8.2014285714285702</v>
      </c>
      <c r="N18" s="13">
        <f>IF('Données projet'!$A$36&gt;35,N17+M18-V17,IF(A18&lt;'Données projet'!$A$36,$K$205^A18,IF(A18='Données projet'!$A$36,'Données projet'!$B$36,N17+M18-V17)))</f>
        <v>123.02142857142852</v>
      </c>
      <c r="O18" s="13">
        <f>N18*VLOOKUP('Données projet'!$B$9,Paramètres!$A$1:$I$89,3,0)*VLOOKUP('Données projet'!$B$9,Paramètres!$A$1:$I$89,5,0)</f>
        <v>57.574028571428549</v>
      </c>
      <c r="P18" s="13">
        <f t="shared" si="33"/>
        <v>16.553441768516468</v>
      </c>
      <c r="Q18" s="20">
        <f t="shared" si="2"/>
        <v>129.10534417540421</v>
      </c>
      <c r="R18" s="59">
        <f t="shared" si="0"/>
        <v>404.10534417540418</v>
      </c>
      <c r="S18" s="59">
        <f ca="1">AVERAGE(OFFSET($R$3,0,0,'Données projet'!$E$9+1,1))-AVERAGE(OFFSET($H$3,0,0,'Données projet'!$E$9+1,1))</f>
        <v>252.08270526008477</v>
      </c>
      <c r="T18" s="59">
        <f t="shared" si="34"/>
        <v>239.77811108960179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369.84990942874015</v>
      </c>
      <c r="AN18" s="59">
        <f ca="1">AVERAGE(OFFSET($AM$3,0,0,'Données projet'!$E$10+1,1))-AVERAGE(OFFSET($H$3,0,0,'Données projet'!$E$10+1,1))</f>
        <v>251.64326096359997</v>
      </c>
      <c r="AO18" s="59">
        <f t="shared" si="36"/>
        <v>256.72142151189894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</v>
      </c>
      <c r="BD18" s="12">
        <f>IF('Données projet'!$A$88&gt;35,BD17+BC18-BL17,IF(A18&lt;'Données projet'!$A$88,$BA$205^A18,IF(A18='Données projet'!$A$88,'Données projet'!$B$88,BD17+BC18-BL17)))</f>
        <v>84</v>
      </c>
      <c r="BE18" s="13">
        <f>BD18*VLOOKUP('Données projet'!$B$11,Paramètres!$A$1:$I$89,3,0)*VLOOKUP('Données projet'!$B$11,Paramètres!$A$1:$I$89,5,0)</f>
        <v>76.003200000000007</v>
      </c>
      <c r="BF18" s="13">
        <f t="shared" si="37"/>
        <v>21.157049992000456</v>
      </c>
      <c r="BG18" s="20">
        <f t="shared" si="7"/>
        <v>169.22076873606747</v>
      </c>
      <c r="BH18" s="59">
        <f t="shared" si="8"/>
        <v>444.2207687360675</v>
      </c>
      <c r="BI18" s="59">
        <f ca="1">AVERAGE(OFFSET($BH$3,0,0,'Données projet'!$E$11+1,1))-AVERAGE(OFFSET($H$3,0,0,'Données projet'!$E$11+1,1))</f>
        <v>199.29783428981898</v>
      </c>
      <c r="BJ18" s="59">
        <f t="shared" si="38"/>
        <v>237.32002274562547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9.2369789263499111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9.2369789263499111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4.016578947368421</v>
      </c>
      <c r="BY18" s="12">
        <f>IF('Données projet'!$A$114&gt;35,BY17+BX18-CG17,IF(A18&lt;'Données projet'!$A$114,$BV$205^A18,IF(A18='Données projet'!$A$114,'Données projet'!$B$114,BY17+BX18-CG17)))</f>
        <v>60.248684210526335</v>
      </c>
      <c r="BZ18" s="13">
        <f>BY18*VLOOKUP('Données projet'!$B$12,Paramètres!$A$1:$I$89,3,0)*VLOOKUP('Données projet'!$B$12,Paramètres!$A$1:$I$89,5,0)</f>
        <v>50.75349157894739</v>
      </c>
      <c r="CA18" s="13">
        <f t="shared" si="39"/>
        <v>14.808182428974742</v>
      </c>
      <c r="CB18" s="20">
        <f t="shared" si="10"/>
        <v>114.18658223046437</v>
      </c>
      <c r="CC18" s="59">
        <f t="shared" si="11"/>
        <v>389.18658223046435</v>
      </c>
      <c r="CD18" s="59">
        <f ca="1">AVERAGE(OFFSET($CC$3,0,0,'Données projet'!$E$12+1,1))-AVERAGE(OFFSET($H$3,0,0,'Données projet'!$E$12+1,1))</f>
        <v>295.59075210589327</v>
      </c>
      <c r="CE18" s="59">
        <f t="shared" si="40"/>
        <v>210.41181542059576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6.7</v>
      </c>
      <c r="CT18" s="12">
        <f>IF('Données projet'!$A$140&gt;35,CT17+CS18-DB17,IF(A18&lt;'Données projet'!$A$140,$CQ$205^A18,IF(A18='Données projet'!$A$140,'Données projet'!$B$140,CT17+CS18-DB17)))</f>
        <v>39.384795860508056</v>
      </c>
      <c r="CU18" s="17">
        <f>CT18*VLOOKUP('Données projet'!$B$13,Paramètres!$A$1:$I$89,3,0)*VLOOKUP('Données projet'!$B$13,Paramètres!$A$1:$I$89,5,0)</f>
        <v>17.920082116531166</v>
      </c>
      <c r="CV18" s="13">
        <f t="shared" si="41"/>
        <v>5.9020554423686491</v>
      </c>
      <c r="CW18" s="20">
        <f t="shared" si="13"/>
        <v>41.490222915083841</v>
      </c>
      <c r="CX18" s="59">
        <f t="shared" si="14"/>
        <v>316.49022291508385</v>
      </c>
      <c r="CY18" s="59">
        <f ca="1">AVERAGE(OFFSET($CX$3,0,0,'Données projet'!$E$13+1,1))-AVERAGE(OFFSET($H$3,0,0,'Données projet'!$E$13+1,1))</f>
        <v>338.22448697444298</v>
      </c>
      <c r="CZ18" s="59">
        <f t="shared" si="42"/>
        <v>293.3872365640849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9.300476190476191</v>
      </c>
      <c r="DO18" s="12">
        <f>IF('Données projet'!$A$166&gt;35,DO17+DN18-DW17,IF(A18&lt;'Données projet'!$A$166,$DL$205^A18,IF(A18='Données projet'!$A$166,'Données projet'!$B$166,DO17+DN18-DW17)))</f>
        <v>43.274471379370887</v>
      </c>
      <c r="DP18" s="17">
        <f>DO18*VLOOKUP('Données projet'!$B$14,Paramètres!$A$1:$I$89,3,0)*VLOOKUP('Données projet'!$B$14,Paramètres!$A$1:$I$89,5,0)</f>
        <v>24.190429501068326</v>
      </c>
      <c r="DQ18" s="13">
        <f t="shared" si="43"/>
        <v>7.6937758875297604</v>
      </c>
      <c r="DR18" s="20">
        <f t="shared" si="16"/>
        <v>55.531657718475003</v>
      </c>
      <c r="DS18" s="59">
        <f t="shared" si="17"/>
        <v>330.531657718475</v>
      </c>
      <c r="DT18" s="59">
        <f ca="1">AVERAGE(OFFSET($DS$3,0,0,'Données projet'!$E$14+1,1))-AVERAGE(OFFSET($H$3,0,0,'Données projet'!$E$14+1,1))</f>
        <v>328.15217666639006</v>
      </c>
      <c r="DU18" s="59">
        <f t="shared" si="44"/>
        <v>305.59175773326308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</v>
      </c>
      <c r="EJ18" s="12">
        <f>IF('Données projet'!$A$192&gt;35,EJ17+EI18-ER17,IF(A18&lt;'Données projet'!$A$192,$EG$205^A18,IF(A18='Données projet'!$A$192,'Données projet'!$B$192,EJ17+EI18-ER17)))</f>
        <v>84</v>
      </c>
      <c r="EK18" s="17">
        <f>EJ18*VLOOKUP('Données projet'!$B$15,Paramètres!$A$1:$I$89,3,0)*VLOOKUP('Données projet'!$B$15,Paramètres!$A$1:$I$89,5,0)</f>
        <v>61.588799999999999</v>
      </c>
      <c r="EL18" s="13">
        <f t="shared" si="45"/>
        <v>17.56935444538782</v>
      </c>
      <c r="EM18" s="20">
        <f t="shared" si="19"/>
        <v>137.86711899238378</v>
      </c>
      <c r="EN18" s="59">
        <f t="shared" si="20"/>
        <v>412.86711899238378</v>
      </c>
      <c r="EO18" s="59">
        <f ca="1">AVERAGE(OFFSET($EN$3,0,0,'Données projet'!$E$15+1,1))-AVERAGE(OFFSET($H$3,0,0,'Données projet'!$E$15+1,1))</f>
        <v>159.78276497127206</v>
      </c>
      <c r="EP18" s="59">
        <f t="shared" si="46"/>
        <v>190.72163407919857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10.728697936869638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10.728697936869638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5.3214035087719296</v>
      </c>
      <c r="FE18" s="12">
        <f>IF('Données projet'!$A$218&gt;35,FE17+FD18-FM17,IF(A18&lt;'Données projet'!$A$218,$FB$205^A18,IF(A18='Données projet'!$A$218,'Données projet'!$B$218,FE17+FD18-FM17)))</f>
        <v>79.821052631578965</v>
      </c>
      <c r="FF18" s="17">
        <f>FE18*VLOOKUP('Données projet'!$B$16,Paramètres!$A$1:$I$89,3,0)*VLOOKUP('Données projet'!$B$16,Paramètres!$A$1:$I$89,5,0)</f>
        <v>68.486463157894761</v>
      </c>
      <c r="FG18" s="13">
        <f t="shared" si="47"/>
        <v>19.297116192732112</v>
      </c>
      <c r="FH18" s="20">
        <f t="shared" si="22"/>
        <v>152.8897340356751</v>
      </c>
      <c r="FI18" s="59">
        <f t="shared" si="23"/>
        <v>427.88973403567513</v>
      </c>
      <c r="FJ18" s="59">
        <f ca="1">AVERAGE(OFFSET($FI$3,0,0,'Données projet'!$E$16+1,1))-AVERAGE(OFFSET($H$3,0,0,'Données projet'!$E$16+1,1))</f>
        <v>337.15023592377008</v>
      </c>
      <c r="FK18" s="59">
        <f t="shared" si="48"/>
        <v>286.60608582587099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4.0942857142857143</v>
      </c>
      <c r="FZ18" s="12">
        <f>IF('Données projet'!$A$244&gt;35,FZ17+FY18-GH17,IF(A18&lt;'Données projet'!$A$244,$FW$205^A18,IF(A18='Données projet'!$A$244,'Données projet'!$B$244,FZ17+FY18-GH17)))</f>
        <v>61.414285714285739</v>
      </c>
      <c r="GA18" s="17">
        <f>FZ18*VLOOKUP('Données projet'!$B$17,Paramètres!$A$1:$I$89,3,0)*VLOOKUP('Données projet'!$B$17,Paramètres!$A$1:$I$89,5,0)</f>
        <v>55.567645714285739</v>
      </c>
      <c r="GB18" s="13">
        <f t="shared" si="49"/>
        <v>16.042674851771864</v>
      </c>
      <c r="GC18" s="20">
        <f t="shared" si="25"/>
        <v>124.72130831921697</v>
      </c>
      <c r="GD18" s="59">
        <f t="shared" si="26"/>
        <v>399.72130831921697</v>
      </c>
      <c r="GE18" s="59">
        <f ca="1">AVERAGE(OFFSET($GD$3,0,0,'Données projet'!$E$17+1,1))-AVERAGE(OFFSET($H$3,0,0,'Données projet'!$E$17+1,1))</f>
        <v>486.55344536255876</v>
      </c>
      <c r="GF18" s="59">
        <f t="shared" si="50"/>
        <v>231.14794884432229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284.16799665840114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8.2014285714285702</v>
      </c>
      <c r="N19" s="13">
        <f>IF('Données projet'!$A$36&gt;35,N18+M19-V18,IF(A19&lt;'Données projet'!$A$36,$K$205^A19,IF(A19='Données projet'!$A$36,'Données projet'!$B$36,N18+M19-V18)))</f>
        <v>131.22285714285709</v>
      </c>
      <c r="O19" s="13">
        <f>N19*VLOOKUP('Données projet'!$B$9,Paramètres!$A$1:$I$89,3,0)*VLOOKUP('Données projet'!$B$9,Paramètres!$A$1:$I$89,5,0)</f>
        <v>61.41229714285712</v>
      </c>
      <c r="P19" s="13">
        <f t="shared" si="33"/>
        <v>17.524857108784683</v>
      </c>
      <c r="Q19" s="20">
        <f t="shared" si="2"/>
        <v>137.48221032160947</v>
      </c>
      <c r="R19" s="59">
        <f t="shared" si="0"/>
        <v>413.70443254383167</v>
      </c>
      <c r="S19" s="59">
        <f ca="1">AVERAGE(OFFSET($R$3,0,0,'Données projet'!$E$9+1,1))-AVERAGE(OFFSET($H$3,0,0,'Données projet'!$E$9+1,1))</f>
        <v>252.08270526008477</v>
      </c>
      <c r="T19" s="59">
        <f t="shared" si="34"/>
        <v>239.77811108960179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401.20586371520164</v>
      </c>
      <c r="AN19" s="59">
        <f ca="1">AVERAGE(OFFSET($AM$3,0,0,'Données projet'!$E$10+1,1))-AVERAGE(OFFSET($H$3,0,0,'Données projet'!$E$10+1,1))</f>
        <v>251.64326096359997</v>
      </c>
      <c r="AO19" s="59">
        <f t="shared" si="36"/>
        <v>256.72142151189894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92</v>
      </c>
      <c r="BB19" s="12">
        <f>VLOOKUP(A19,'Données projet'!$A$87:$I$107,9,0)</f>
        <v>8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92</v>
      </c>
      <c r="BE19" s="13">
        <f>BD19*VLOOKUP('Données projet'!$B$11,Paramètres!$A$1:$I$89,3,0)*VLOOKUP('Données projet'!$B$11,Paramètres!$A$1:$I$89,5,0)</f>
        <v>83.241600000000005</v>
      </c>
      <c r="BF19" s="13">
        <f t="shared" si="37"/>
        <v>22.927930643846508</v>
      </c>
      <c r="BG19" s="20">
        <f t="shared" si="7"/>
        <v>184.91193253803269</v>
      </c>
      <c r="BH19" s="59">
        <f t="shared" si="8"/>
        <v>461.13415476025489</v>
      </c>
      <c r="BI19" s="59">
        <f ca="1">AVERAGE(OFFSET($BH$3,0,0,'Données projet'!$E$11+1,1))-AVERAGE(OFFSET($H$3,0,0,'Données projet'!$E$11+1,1))</f>
        <v>199.29783428981898</v>
      </c>
      <c r="BJ19" s="59">
        <f t="shared" si="38"/>
        <v>237.32002274562547</v>
      </c>
      <c r="BK19" s="15">
        <f>IF(ISNA(VLOOKUP(A19,'Données projet'!$A$87:$I$107,3,0)),0,VLOOKUP(A19,'Données projet'!$A$87:$I$107,3,0))</f>
        <v>2</v>
      </c>
      <c r="BL19" s="15">
        <f>IF(ISNA(VLOOKUP(A19,'Données projet'!$A$87:$I$107,4,0)),0,VLOOKUP(A19,'Données projet'!$A$87:$I$107,4,0))</f>
        <v>33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0.15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13.916035257895768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13.916035257895768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4.016578947368421</v>
      </c>
      <c r="BY19" s="12">
        <f>IF('Données projet'!$A$114&gt;35,BY18+BX19-CG18,IF(A19&lt;'Données projet'!$A$114,$BV$205^A19,IF(A19='Données projet'!$A$114,'Données projet'!$B$114,BY18+BX19-CG18)))</f>
        <v>64.265263157894751</v>
      </c>
      <c r="BZ19" s="13">
        <f>BY19*VLOOKUP('Données projet'!$B$12,Paramètres!$A$1:$I$89,3,0)*VLOOKUP('Données projet'!$B$12,Paramètres!$A$1:$I$89,5,0)</f>
        <v>54.137057684210539</v>
      </c>
      <c r="CA19" s="13">
        <f t="shared" si="39"/>
        <v>15.677179690943262</v>
      </c>
      <c r="CB19" s="20">
        <f t="shared" si="10"/>
        <v>121.59313009505951</v>
      </c>
      <c r="CC19" s="59">
        <f t="shared" si="11"/>
        <v>397.81535231728174</v>
      </c>
      <c r="CD19" s="59">
        <f ca="1">AVERAGE(OFFSET($CC$3,0,0,'Données projet'!$E$12+1,1))-AVERAGE(OFFSET($H$3,0,0,'Données projet'!$E$12+1,1))</f>
        <v>295.59075210589327</v>
      </c>
      <c r="CE19" s="59">
        <f t="shared" si="40"/>
        <v>210.41181542059576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6.7</v>
      </c>
      <c r="CT19" s="12">
        <f>IF('Données projet'!$A$140&gt;35,CT18+CS19-DB18,IF(A19&lt;'Données projet'!$A$140,$CQ$205^A19,IF(A19='Données projet'!$A$140,'Données projet'!$B$140,CT18+CS19-DB18)))</f>
        <v>50.313419961502369</v>
      </c>
      <c r="CU19" s="17">
        <f>CT19*VLOOKUP('Données projet'!$B$13,Paramètres!$A$1:$I$89,3,0)*VLOOKUP('Données projet'!$B$13,Paramètres!$A$1:$I$89,5,0)</f>
        <v>22.892606082483578</v>
      </c>
      <c r="CV19" s="13">
        <f t="shared" si="41"/>
        <v>7.3278871884621637</v>
      </c>
      <c r="CW19" s="20">
        <f t="shared" si="13"/>
        <v>52.634025780230495</v>
      </c>
      <c r="CX19" s="59">
        <f t="shared" si="14"/>
        <v>328.85624800245273</v>
      </c>
      <c r="CY19" s="59">
        <f ca="1">AVERAGE(OFFSET($CX$3,0,0,'Données projet'!$E$13+1,1))-AVERAGE(OFFSET($H$3,0,0,'Données projet'!$E$13+1,1))</f>
        <v>338.22448697444298</v>
      </c>
      <c r="CZ19" s="59">
        <f t="shared" si="42"/>
        <v>293.3872365640849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9.300476190476191</v>
      </c>
      <c r="DO19" s="12">
        <f>IF('Données projet'!$A$166&gt;35,DO18+DN19-DW18,IF(A19&lt;'Données projet'!$A$166,$DL$205^A19,IF(A19='Données projet'!$A$166,'Données projet'!$B$166,DO18+DN19-DW18)))</f>
        <v>55.630618640165025</v>
      </c>
      <c r="DP19" s="17">
        <f>DO19*VLOOKUP('Données projet'!$B$14,Paramètres!$A$1:$I$89,3,0)*VLOOKUP('Données projet'!$B$14,Paramètres!$A$1:$I$89,5,0)</f>
        <v>31.097515819852248</v>
      </c>
      <c r="DQ19" s="13">
        <f t="shared" si="43"/>
        <v>9.6055998559802376</v>
      </c>
      <c r="DR19" s="20">
        <f t="shared" si="16"/>
        <v>70.891259802074913</v>
      </c>
      <c r="DS19" s="59">
        <f t="shared" si="17"/>
        <v>347.11348202429713</v>
      </c>
      <c r="DT19" s="59">
        <f ca="1">AVERAGE(OFFSET($DS$3,0,0,'Données projet'!$E$14+1,1))-AVERAGE(OFFSET($H$3,0,0,'Données projet'!$E$14+1,1))</f>
        <v>328.15217666639006</v>
      </c>
      <c r="DU19" s="59">
        <f t="shared" si="44"/>
        <v>305.59175773326308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92</v>
      </c>
      <c r="EH19" s="12">
        <f>VLOOKUP(A19,'Données projet'!$A$191:$I$211,9,0)</f>
        <v>8</v>
      </c>
      <c r="EI19" s="12">
        <f t="array" ref="EI19">INDEX(EH:EH,MIN(IF(ISNUMBER(EH19:EH215),ROW(EH19:EH215),"")))</f>
        <v>8</v>
      </c>
      <c r="EJ19" s="12">
        <f>IF('Données projet'!$A$192&gt;35,EJ18+EI19-ER18,IF(A19&lt;'Données projet'!$A$192,$EG$205^A19,IF(A19='Données projet'!$A$192,'Données projet'!$B$192,EJ18+EI19-ER18)))</f>
        <v>92</v>
      </c>
      <c r="EK19" s="17">
        <f>EJ19*VLOOKUP('Données projet'!$B$15,Paramètres!$A$1:$I$89,3,0)*VLOOKUP('Données projet'!$B$15,Paramètres!$A$1:$I$89,5,0)</f>
        <v>67.454399999999993</v>
      </c>
      <c r="EL19" s="13">
        <f t="shared" si="45"/>
        <v>19.03993894863979</v>
      </c>
      <c r="EM19" s="20">
        <f t="shared" si="19"/>
        <v>150.64430700221428</v>
      </c>
      <c r="EN19" s="59">
        <f t="shared" si="20"/>
        <v>426.86652922443648</v>
      </c>
      <c r="EO19" s="59">
        <f ca="1">AVERAGE(OFFSET($EN$3,0,0,'Données projet'!$E$15+1,1))-AVERAGE(OFFSET($H$3,0,0,'Données projet'!$E$15+1,1))</f>
        <v>159.78276497127206</v>
      </c>
      <c r="EP19" s="59">
        <f t="shared" si="46"/>
        <v>190.72163407919857</v>
      </c>
      <c r="EQ19" s="15">
        <f>IF(ISNA(VLOOKUP(A19,'Données projet'!$A$191:$I$211,3,0)),0,VLOOKUP(A19,'Données projet'!$A$191:$I$211,3,0))</f>
        <v>2</v>
      </c>
      <c r="ER19" s="15">
        <f>IF(ISNA(VLOOKUP(A19,'Données projet'!$A$191:$I$211,4,0)),0,VLOOKUP(A19,'Données projet'!$A$191:$I$211,4,0))</f>
        <v>33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0.215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16.163394974831807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16.163394974831807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5.3214035087719296</v>
      </c>
      <c r="FE19" s="12">
        <f>IF('Données projet'!$A$218&gt;35,FE18+FD19-FM18,IF(A19&lt;'Données projet'!$A$218,$FB$205^A19,IF(A19='Données projet'!$A$218,'Données projet'!$B$218,FE18+FD19-FM18)))</f>
        <v>85.142456140350902</v>
      </c>
      <c r="FF19" s="17">
        <f>FE19*VLOOKUP('Données projet'!$B$16,Paramètres!$A$1:$I$89,3,0)*VLOOKUP('Données projet'!$B$16,Paramètres!$A$1:$I$89,5,0)</f>
        <v>73.052227368421086</v>
      </c>
      <c r="FG19" s="13">
        <f t="shared" si="47"/>
        <v>20.429540189789396</v>
      </c>
      <c r="FH19" s="20">
        <f t="shared" si="22"/>
        <v>162.81407849721657</v>
      </c>
      <c r="FI19" s="59">
        <f t="shared" si="23"/>
        <v>439.03630071943883</v>
      </c>
      <c r="FJ19" s="59">
        <f ca="1">AVERAGE(OFFSET($FI$3,0,0,'Données projet'!$E$16+1,1))-AVERAGE(OFFSET($H$3,0,0,'Données projet'!$E$16+1,1))</f>
        <v>337.15023592377008</v>
      </c>
      <c r="FK19" s="59">
        <f t="shared" si="48"/>
        <v>286.60608582587099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4.0942857142857143</v>
      </c>
      <c r="FZ19" s="12">
        <f>IF('Données projet'!$A$244&gt;35,FZ18+FY19-GH18,IF(A19&lt;'Données projet'!$A$244,$FW$205^A19,IF(A19='Données projet'!$A$244,'Données projet'!$B$244,FZ18+FY19-GH18)))</f>
        <v>65.508571428571457</v>
      </c>
      <c r="GA19" s="17">
        <f>FZ19*VLOOKUP('Données projet'!$B$17,Paramètres!$A$1:$I$89,3,0)*VLOOKUP('Données projet'!$B$17,Paramètres!$A$1:$I$89,5,0)</f>
        <v>59.272155428571445</v>
      </c>
      <c r="GB19" s="13">
        <f t="shared" si="49"/>
        <v>16.984116557241595</v>
      </c>
      <c r="GC19" s="20">
        <f t="shared" si="25"/>
        <v>132.81300704195772</v>
      </c>
      <c r="GD19" s="59">
        <f t="shared" si="26"/>
        <v>409.03522926417997</v>
      </c>
      <c r="GE19" s="59">
        <f ca="1">AVERAGE(OFFSET($GD$3,0,0,'Données projet'!$E$17+1,1))-AVERAGE(OFFSET($H$3,0,0,'Données projet'!$E$17+1,1))</f>
        <v>486.55344536255876</v>
      </c>
      <c r="GF19" s="59">
        <f t="shared" si="50"/>
        <v>231.14794884432229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285.83401109572719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8.2014285714285702</v>
      </c>
      <c r="N20" s="13">
        <f>IF('Données projet'!$A$36&gt;35,N19+M20-V19,IF(A20&lt;'Données projet'!$A$36,$K$205^A20,IF(A20='Données projet'!$A$36,'Données projet'!$B$36,N19+M20-V19)))</f>
        <v>139.42428571428567</v>
      </c>
      <c r="O20" s="13">
        <f>N20*VLOOKUP('Données projet'!$B$9,Paramètres!$A$1:$I$89,3,0)*VLOOKUP('Données projet'!$B$9,Paramètres!$A$1:$I$89,5,0)</f>
        <v>65.250565714285699</v>
      </c>
      <c r="P20" s="13">
        <f t="shared" si="33"/>
        <v>18.489226205273241</v>
      </c>
      <c r="Q20" s="20">
        <f t="shared" si="2"/>
        <v>145.84680425989848</v>
      </c>
      <c r="R20" s="59">
        <f t="shared" si="0"/>
        <v>423.29124870434293</v>
      </c>
      <c r="S20" s="59">
        <f ca="1">AVERAGE(OFFSET($R$3,0,0,'Données projet'!$E$9+1,1))-AVERAGE(OFFSET($H$3,0,0,'Données projet'!$E$9+1,1))</f>
        <v>252.08270526008477</v>
      </c>
      <c r="T20" s="59">
        <f t="shared" si="34"/>
        <v>239.77811108960179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442.16642452494767</v>
      </c>
      <c r="AN20" s="59">
        <f ca="1">AVERAGE(OFFSET($AM$3,0,0,'Données projet'!$E$10+1,1))-AVERAGE(OFFSET($H$3,0,0,'Données projet'!$E$10+1,1))</f>
        <v>251.64326096359997</v>
      </c>
      <c r="AO20" s="59">
        <f t="shared" si="36"/>
        <v>256.72142151189894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41.179999999999993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7.3212467235098906</v>
      </c>
      <c r="AW20" s="21">
        <f>EXP(-LN(2)/2)*AW19+(1-EXP(-LN(2)/2))/(LN(2)/2)*AQ20*AT20*VLOOKUP('Données projet'!$B$10,Paramètres!$A$1:$I$89,3,0)*0.475*44/12</f>
        <v>13.940972477629819</v>
      </c>
      <c r="AX20" s="21">
        <f t="shared" si="6"/>
        <v>21.262219201139708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67</v>
      </c>
      <c r="BE20" s="13">
        <f>BD20*VLOOKUP('Données projet'!$B$11,Paramètres!$A$1:$I$89,3,0)*VLOOKUP('Données projet'!$B$11,Paramètres!$A$1:$I$89,5,0)</f>
        <v>60.621600000000001</v>
      </c>
      <c r="BF20" s="13">
        <f t="shared" si="37"/>
        <v>17.32533459860403</v>
      </c>
      <c r="BG20" s="20">
        <f t="shared" si="7"/>
        <v>135.75757775923535</v>
      </c>
      <c r="BH20" s="59">
        <f t="shared" si="8"/>
        <v>413.2020222036798</v>
      </c>
      <c r="BI20" s="59">
        <f ca="1">AVERAGE(OFFSET($BH$3,0,0,'Données projet'!$E$11+1,1))-AVERAGE(OFFSET($H$3,0,0,'Données projet'!$E$11+1,1))</f>
        <v>199.29783428981898</v>
      </c>
      <c r="BJ20" s="59">
        <f t="shared" si="38"/>
        <v>237.32002274562547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13.53550054195612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13.53550054195612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4.016578947368421</v>
      </c>
      <c r="BY20" s="12">
        <f>IF('Données projet'!$A$114&gt;35,BY19+BX20-CG19,IF(A20&lt;'Données projet'!$A$114,$BV$205^A20,IF(A20='Données projet'!$A$114,'Données projet'!$B$114,BY19+BX20-CG19)))</f>
        <v>68.281842105263166</v>
      </c>
      <c r="BZ20" s="13">
        <f>BY20*VLOOKUP('Données projet'!$B$12,Paramètres!$A$1:$I$89,3,0)*VLOOKUP('Données projet'!$B$12,Paramètres!$A$1:$I$89,5,0)</f>
        <v>57.520623789473696</v>
      </c>
      <c r="CA20" s="13">
        <f t="shared" si="39"/>
        <v>16.539873607372702</v>
      </c>
      <c r="CB20" s="20">
        <f t="shared" si="10"/>
        <v>128.98869963284082</v>
      </c>
      <c r="CC20" s="59">
        <f t="shared" si="11"/>
        <v>406.43314407728531</v>
      </c>
      <c r="CD20" s="59">
        <f ca="1">AVERAGE(OFFSET($CC$3,0,0,'Données projet'!$E$12+1,1))-AVERAGE(OFFSET($H$3,0,0,'Données projet'!$E$12+1,1))</f>
        <v>295.59075210589327</v>
      </c>
      <c r="CE20" s="59">
        <f t="shared" si="40"/>
        <v>210.41181542059576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6.7</v>
      </c>
      <c r="CT20" s="12">
        <f>IF('Données projet'!$A$140&gt;35,CT19+CS20-DB19,IF(A20&lt;'Données projet'!$A$140,$CQ$205^A20,IF(A20='Données projet'!$A$140,'Données projet'!$B$140,CT19+CS20-DB19)))</f>
        <v>64.274555013266735</v>
      </c>
      <c r="CU20" s="17">
        <f>CT20*VLOOKUP('Données projet'!$B$13,Paramètres!$A$1:$I$89,3,0)*VLOOKUP('Données projet'!$B$13,Paramètres!$A$1:$I$89,5,0)</f>
        <v>29.244922531036366</v>
      </c>
      <c r="CV20" s="13">
        <f t="shared" si="41"/>
        <v>9.0981745548085744</v>
      </c>
      <c r="CW20" s="20">
        <f t="shared" si="13"/>
        <v>66.780894091179931</v>
      </c>
      <c r="CX20" s="59">
        <f t="shared" si="14"/>
        <v>344.22533853562436</v>
      </c>
      <c r="CY20" s="59">
        <f ca="1">AVERAGE(OFFSET($CX$3,0,0,'Données projet'!$E$13+1,1))-AVERAGE(OFFSET($H$3,0,0,'Données projet'!$E$13+1,1))</f>
        <v>338.22448697444298</v>
      </c>
      <c r="CZ20" s="59">
        <f t="shared" si="42"/>
        <v>293.3872365640849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9.300476190476191</v>
      </c>
      <c r="DO20" s="12">
        <f>IF('Données projet'!$A$166&gt;35,DO19+DN20-DW19,IF(A20&lt;'Données projet'!$A$166,$DL$205^A20,IF(A20='Données projet'!$A$166,'Données projet'!$B$166,DO19+DN20-DW19)))</f>
        <v>71.514813044319794</v>
      </c>
      <c r="DP20" s="17">
        <f>DO20*VLOOKUP('Données projet'!$B$14,Paramètres!$A$1:$I$89,3,0)*VLOOKUP('Données projet'!$B$14,Paramètres!$A$1:$I$89,5,0)</f>
        <v>39.976780491774768</v>
      </c>
      <c r="DQ20" s="13">
        <f t="shared" si="43"/>
        <v>11.992492365518064</v>
      </c>
      <c r="DR20" s="20">
        <f t="shared" si="16"/>
        <v>90.513150226451685</v>
      </c>
      <c r="DS20" s="59">
        <f t="shared" si="17"/>
        <v>367.95759467089613</v>
      </c>
      <c r="DT20" s="59">
        <f ca="1">AVERAGE(OFFSET($DS$3,0,0,'Données projet'!$E$14+1,1))-AVERAGE(OFFSET($H$3,0,0,'Données projet'!$E$14+1,1))</f>
        <v>328.15217666639006</v>
      </c>
      <c r="DU20" s="59">
        <f t="shared" si="44"/>
        <v>305.59175773326308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</v>
      </c>
      <c r="EJ20" s="12">
        <f>IF('Données projet'!$A$192&gt;35,EJ19+EI20-ER19,IF(A20&lt;'Données projet'!$A$192,$EG$205^A20,IF(A20='Données projet'!$A$192,'Données projet'!$B$192,EJ19+EI20-ER19)))</f>
        <v>67</v>
      </c>
      <c r="EK20" s="17">
        <f>EJ20*VLOOKUP('Données projet'!$B$15,Paramètres!$A$1:$I$89,3,0)*VLOOKUP('Données projet'!$B$15,Paramètres!$A$1:$I$89,5,0)</f>
        <v>49.124400000000001</v>
      </c>
      <c r="EL20" s="13">
        <f t="shared" si="45"/>
        <v>14.38740016036772</v>
      </c>
      <c r="EM20" s="20">
        <f t="shared" si="19"/>
        <v>110.61638527930711</v>
      </c>
      <c r="EN20" s="59">
        <f t="shared" si="20"/>
        <v>388.06082972375157</v>
      </c>
      <c r="EO20" s="59">
        <f ca="1">AVERAGE(OFFSET($EN$3,0,0,'Données projet'!$E$15+1,1))-AVERAGE(OFFSET($H$3,0,0,'Données projet'!$E$15+1,1))</f>
        <v>159.78276497127206</v>
      </c>
      <c r="EP20" s="59">
        <f t="shared" si="46"/>
        <v>190.72163407919857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15.721406089249031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15.721406089249031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5.3214035087719296</v>
      </c>
      <c r="FE20" s="12">
        <f>IF('Données projet'!$A$218&gt;35,FE19+FD20-FM19,IF(A20&lt;'Données projet'!$A$218,$FB$205^A20,IF(A20='Données projet'!$A$218,'Données projet'!$B$218,FE19+FD20-FM19)))</f>
        <v>90.463859649122838</v>
      </c>
      <c r="FF20" s="17">
        <f>FE20*VLOOKUP('Données projet'!$B$16,Paramètres!$A$1:$I$89,3,0)*VLOOKUP('Données projet'!$B$16,Paramètres!$A$1:$I$89,5,0)</f>
        <v>77.617991578947397</v>
      </c>
      <c r="FG20" s="13">
        <f t="shared" si="47"/>
        <v>21.553750053082833</v>
      </c>
      <c r="FH20" s="20">
        <f t="shared" si="22"/>
        <v>172.72411667578595</v>
      </c>
      <c r="FI20" s="59">
        <f t="shared" si="23"/>
        <v>450.16856112023038</v>
      </c>
      <c r="FJ20" s="59">
        <f ca="1">AVERAGE(OFFSET($FI$3,0,0,'Données projet'!$E$16+1,1))-AVERAGE(OFFSET($H$3,0,0,'Données projet'!$E$16+1,1))</f>
        <v>337.15023592377008</v>
      </c>
      <c r="FK20" s="59">
        <f t="shared" si="48"/>
        <v>286.60608582587099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4.0942857142857143</v>
      </c>
      <c r="FZ20" s="12">
        <f>IF('Données projet'!$A$244&gt;35,FZ19+FY20-GH19,IF(A20&lt;'Données projet'!$A$244,$FW$205^A20,IF(A20='Données projet'!$A$244,'Données projet'!$B$244,FZ19+FY20-GH19)))</f>
        <v>69.602857142857175</v>
      </c>
      <c r="GA20" s="17">
        <f>FZ20*VLOOKUP('Données projet'!$B$17,Paramètres!$A$1:$I$89,3,0)*VLOOKUP('Données projet'!$B$17,Paramètres!$A$1:$I$89,5,0)</f>
        <v>62.976665142857165</v>
      </c>
      <c r="GB20" s="13">
        <f t="shared" si="49"/>
        <v>17.918729435240664</v>
      </c>
      <c r="GC20" s="20">
        <f t="shared" si="25"/>
        <v>140.89281222352039</v>
      </c>
      <c r="GD20" s="59">
        <f t="shared" si="26"/>
        <v>418.33725666796488</v>
      </c>
      <c r="GE20" s="59">
        <f ca="1">AVERAGE(OFFSET($GD$3,0,0,'Données projet'!$E$17+1,1))-AVERAGE(OFFSET($H$3,0,0,'Données projet'!$E$17+1,1))</f>
        <v>486.55344536255876</v>
      </c>
      <c r="GF20" s="59">
        <f t="shared" si="50"/>
        <v>231.14794884432229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287.49736934143755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8.2014285714285702</v>
      </c>
      <c r="N21" s="13">
        <f>IF('Données projet'!$A$36&gt;35,N20+M21-V20,IF(A21&lt;'Données projet'!$A$36,$K$205^A21,IF(A21='Données projet'!$A$36,'Données projet'!$B$36,N20+M21-V20)))</f>
        <v>147.62571428571425</v>
      </c>
      <c r="O21" s="13">
        <f>N21*VLOOKUP('Données projet'!$B$9,Paramètres!$A$1:$I$89,3,0)*VLOOKUP('Données projet'!$B$9,Paramètres!$A$1:$I$89,5,0)</f>
        <v>69.08883428571427</v>
      </c>
      <c r="P21" s="13">
        <f t="shared" si="33"/>
        <v>19.447010756261072</v>
      </c>
      <c r="Q21" s="20">
        <f t="shared" si="2"/>
        <v>154.19993011477371</v>
      </c>
      <c r="R21" s="59">
        <f t="shared" si="0"/>
        <v>432.86659678144042</v>
      </c>
      <c r="S21" s="59">
        <f ca="1">AVERAGE(OFFSET($R$3,0,0,'Données projet'!$E$9+1,1))-AVERAGE(OFFSET($H$3,0,0,'Données projet'!$E$9+1,1))</f>
        <v>252.08270526008477</v>
      </c>
      <c r="T21" s="59">
        <f t="shared" si="34"/>
        <v>239.77811108960179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17.793333333333333</v>
      </c>
      <c r="AI21" s="13">
        <f>IF('Données projet'!$A$62&gt;35,AI20+AH21-AQ20,IF(A21&lt;'Données projet'!$A$62,$AF$205^A21,IF(A21='Données projet'!$A$62,'Données projet'!$B$62,AI20+AH21-AQ20)))</f>
        <v>100.24333333333333</v>
      </c>
      <c r="AJ21" s="13">
        <f>AI21*VLOOKUP('Données projet'!$B$10,Paramètres!$A$1:$I$89,3,0)*VLOOKUP('Données projet'!$B$10,Paramètres!$A$1:$I$89,5,0)</f>
        <v>59.945513333333338</v>
      </c>
      <c r="AK21" s="13">
        <f t="shared" si="35"/>
        <v>17.15449234531231</v>
      </c>
      <c r="AL21" s="20">
        <f t="shared" si="4"/>
        <v>134.28250989030781</v>
      </c>
      <c r="AM21" s="59">
        <f t="shared" si="5"/>
        <v>412.94917655697452</v>
      </c>
      <c r="AN21" s="59">
        <f ca="1">AVERAGE(OFFSET($AM$3,0,0,'Données projet'!$E$10+1,1))-AVERAGE(OFFSET($H$3,0,0,'Données projet'!$E$10+1,1))</f>
        <v>251.64326096359997</v>
      </c>
      <c r="AO21" s="59">
        <f t="shared" si="36"/>
        <v>256.72142151189894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7.1210468468478805</v>
      </c>
      <c r="AW21" s="21">
        <f>EXP(-LN(2)/2)*AW20+(1-EXP(-LN(2)/2))/(LN(2)/2)*AQ21*AT21*VLOOKUP('Données projet'!$B$10,Paramètres!$A$1:$I$89,3,0)*0.475*44/12</f>
        <v>9.8577561752670704</v>
      </c>
      <c r="AX21" s="21">
        <f t="shared" si="6"/>
        <v>16.978803022114953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75</v>
      </c>
      <c r="BE21" s="13">
        <f>BD21*VLOOKUP('Données projet'!$B$11,Paramètres!$A$1:$I$89,3,0)*VLOOKUP('Données projet'!$B$11,Paramètres!$A$1:$I$89,5,0)</f>
        <v>67.86</v>
      </c>
      <c r="BF21" s="13">
        <f t="shared" si="37"/>
        <v>19.141063649731766</v>
      </c>
      <c r="BG21" s="20">
        <f t="shared" si="7"/>
        <v>151.52685252328283</v>
      </c>
      <c r="BH21" s="59">
        <f t="shared" si="8"/>
        <v>430.19351918994948</v>
      </c>
      <c r="BI21" s="59">
        <f ca="1">AVERAGE(OFFSET($BH$3,0,0,'Données projet'!$E$11+1,1))-AVERAGE(OFFSET($H$3,0,0,'Données projet'!$E$11+1,1))</f>
        <v>199.29783428981898</v>
      </c>
      <c r="BJ21" s="59">
        <f t="shared" si="38"/>
        <v>237.32002274562547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13.165371567835292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13.165371567835292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4.016578947368421</v>
      </c>
      <c r="BY21" s="12">
        <f>IF('Données projet'!$A$114&gt;35,BY20+BX21-CG20,IF(A21&lt;'Données projet'!$A$114,$BV$205^A21,IF(A21='Données projet'!$A$114,'Données projet'!$B$114,BY20+BX21-CG20)))</f>
        <v>72.298421052631582</v>
      </c>
      <c r="BZ21" s="13">
        <f>BY21*VLOOKUP('Données projet'!$B$12,Paramètres!$A$1:$I$89,3,0)*VLOOKUP('Données projet'!$B$12,Paramètres!$A$1:$I$89,5,0)</f>
        <v>60.904189894736852</v>
      </c>
      <c r="CA21" s="13">
        <f t="shared" si="39"/>
        <v>17.396677198856409</v>
      </c>
      <c r="CB21" s="20">
        <f t="shared" si="10"/>
        <v>136.37401018800827</v>
      </c>
      <c r="CC21" s="59">
        <f t="shared" si="11"/>
        <v>415.04067685467498</v>
      </c>
      <c r="CD21" s="59">
        <f ca="1">AVERAGE(OFFSET($CC$3,0,0,'Données projet'!$E$12+1,1))-AVERAGE(OFFSET($H$3,0,0,'Données projet'!$E$12+1,1))</f>
        <v>295.59075210589327</v>
      </c>
      <c r="CE21" s="59">
        <f t="shared" si="40"/>
        <v>210.41181542059576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6.7</v>
      </c>
      <c r="CT21" s="12">
        <f>IF('Données projet'!$A$140&gt;35,CT20+CS21-DB20,IF(A21&lt;'Données projet'!$A$140,$CQ$205^A21,IF(A21='Données projet'!$A$140,'Données projet'!$B$140,CT20+CS21-DB20)))</f>
        <v>82.109672236840183</v>
      </c>
      <c r="CU21" s="17">
        <f>CT21*VLOOKUP('Données projet'!$B$13,Paramètres!$A$1:$I$89,3,0)*VLOOKUP('Données projet'!$B$13,Paramètres!$A$1:$I$89,5,0)</f>
        <v>37.359900867762278</v>
      </c>
      <c r="CV21" s="13">
        <f t="shared" si="41"/>
        <v>11.296131900078807</v>
      </c>
      <c r="CW21" s="20">
        <f t="shared" si="13"/>
        <v>84.74259040398988</v>
      </c>
      <c r="CX21" s="59">
        <f t="shared" si="14"/>
        <v>363.40925707065657</v>
      </c>
      <c r="CY21" s="59">
        <f ca="1">AVERAGE(OFFSET($CX$3,0,0,'Données projet'!$E$13+1,1))-AVERAGE(OFFSET($H$3,0,0,'Données projet'!$E$13+1,1))</f>
        <v>338.22448697444298</v>
      </c>
      <c r="CZ21" s="59">
        <f t="shared" si="42"/>
        <v>293.3872365640849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9.300476190476191</v>
      </c>
      <c r="DO21" s="12">
        <f>IF('Données projet'!$A$166&gt;35,DO20+DN21-DW20,IF(A21&lt;'Données projet'!$A$166,$DL$205^A21,IF(A21='Données projet'!$A$166,'Données projet'!$B$166,DO20+DN21-DW20)))</f>
        <v>91.934416869336488</v>
      </c>
      <c r="DP21" s="17">
        <f>DO21*VLOOKUP('Données projet'!$B$14,Paramètres!$A$1:$I$89,3,0)*VLOOKUP('Données projet'!$B$14,Paramètres!$A$1:$I$89,5,0)</f>
        <v>51.391339029959099</v>
      </c>
      <c r="DQ21" s="13">
        <f t="shared" si="43"/>
        <v>14.972503049611195</v>
      </c>
      <c r="DR21" s="20">
        <f t="shared" si="16"/>
        <v>115.58369162191825</v>
      </c>
      <c r="DS21" s="59">
        <f t="shared" si="17"/>
        <v>394.25035828858495</v>
      </c>
      <c r="DT21" s="59">
        <f ca="1">AVERAGE(OFFSET($DS$3,0,0,'Données projet'!$E$14+1,1))-AVERAGE(OFFSET($H$3,0,0,'Données projet'!$E$14+1,1))</f>
        <v>328.15217666639006</v>
      </c>
      <c r="DU21" s="59">
        <f t="shared" si="44"/>
        <v>305.59175773326308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</v>
      </c>
      <c r="EJ21" s="12">
        <f>IF('Données projet'!$A$192&gt;35,EJ20+EI21-ER20,IF(A21&lt;'Données projet'!$A$192,$EG$205^A21,IF(A21='Données projet'!$A$192,'Données projet'!$B$192,EJ20+EI21-ER20)))</f>
        <v>75</v>
      </c>
      <c r="EK21" s="17">
        <f>EJ21*VLOOKUP('Données projet'!$B$15,Paramètres!$A$1:$I$89,3,0)*VLOOKUP('Données projet'!$B$15,Paramètres!$A$1:$I$89,5,0)</f>
        <v>54.99</v>
      </c>
      <c r="EL21" s="13">
        <f t="shared" si="45"/>
        <v>15.895227919347008</v>
      </c>
      <c r="EM21" s="20">
        <f t="shared" si="19"/>
        <v>123.45843862619604</v>
      </c>
      <c r="EN21" s="59">
        <f t="shared" si="20"/>
        <v>402.12510529286271</v>
      </c>
      <c r="EO21" s="59">
        <f ca="1">AVERAGE(OFFSET($EN$3,0,0,'Données projet'!$E$15+1,1))-AVERAGE(OFFSET($H$3,0,0,'Données projet'!$E$15+1,1))</f>
        <v>159.78276497127206</v>
      </c>
      <c r="EP21" s="59">
        <f t="shared" si="46"/>
        <v>190.72163407919857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15.291503412985701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15.291503412985701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5.3214035087719296</v>
      </c>
      <c r="FE21" s="12">
        <f>IF('Données projet'!$A$218&gt;35,FE20+FD21-FM20,IF(A21&lt;'Données projet'!$A$218,$FB$205^A21,IF(A21='Données projet'!$A$218,'Données projet'!$B$218,FE20+FD21-FM20)))</f>
        <v>95.785263157894775</v>
      </c>
      <c r="FF21" s="17">
        <f>FE21*VLOOKUP('Données projet'!$B$16,Paramètres!$A$1:$I$89,3,0)*VLOOKUP('Données projet'!$B$16,Paramètres!$A$1:$I$89,5,0)</f>
        <v>82.183755789473722</v>
      </c>
      <c r="FG21" s="13">
        <f t="shared" si="47"/>
        <v>22.670284005748076</v>
      </c>
      <c r="FH21" s="20">
        <f t="shared" si="22"/>
        <v>182.62078597667798</v>
      </c>
      <c r="FI21" s="59">
        <f t="shared" si="23"/>
        <v>461.28745264334464</v>
      </c>
      <c r="FJ21" s="59">
        <f ca="1">AVERAGE(OFFSET($FI$3,0,0,'Données projet'!$E$16+1,1))-AVERAGE(OFFSET($H$3,0,0,'Données projet'!$E$16+1,1))</f>
        <v>337.15023592377008</v>
      </c>
      <c r="FK21" s="59">
        <f t="shared" si="48"/>
        <v>286.60608582587099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4.0942857142857143</v>
      </c>
      <c r="FZ21" s="12">
        <f>IF('Données projet'!$A$244&gt;35,FZ20+FY21-GH20,IF(A21&lt;'Données projet'!$A$244,$FW$205^A21,IF(A21='Données projet'!$A$244,'Données projet'!$B$244,FZ20+FY21-GH20)))</f>
        <v>73.697142857142893</v>
      </c>
      <c r="GA21" s="17">
        <f>FZ21*VLOOKUP('Données projet'!$B$17,Paramètres!$A$1:$I$89,3,0)*VLOOKUP('Données projet'!$B$17,Paramètres!$A$1:$I$89,5,0)</f>
        <v>66.681174857142892</v>
      </c>
      <c r="GB21" s="13">
        <f t="shared" si="49"/>
        <v>18.846960938055496</v>
      </c>
      <c r="GC21" s="20">
        <f t="shared" si="25"/>
        <v>148.96150317663719</v>
      </c>
      <c r="GD21" s="59">
        <f t="shared" si="26"/>
        <v>427.62816984330391</v>
      </c>
      <c r="GE21" s="59">
        <f ca="1">AVERAGE(OFFSET($GD$3,0,0,'Données projet'!$E$17+1,1))-AVERAGE(OFFSET($H$3,0,0,'Données projet'!$E$17+1,1))</f>
        <v>486.55344536255876</v>
      </c>
      <c r="GF21" s="59">
        <f t="shared" si="50"/>
        <v>231.14794884432229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289.15823578061162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8.2014285714285702</v>
      </c>
      <c r="N22" s="13">
        <f>IF('Données projet'!$A$36&gt;35,N21+M22-V21,IF(A22&lt;'Données projet'!$A$36,$K$205^A22,IF(A22='Données projet'!$A$36,'Données projet'!$B$36,N21+M22-V21)))</f>
        <v>155.82714285714283</v>
      </c>
      <c r="O22" s="13">
        <f>N22*VLOOKUP('Données projet'!$B$9,Paramètres!$A$1:$I$89,3,0)*VLOOKUP('Données projet'!$B$9,Paramètres!$A$1:$I$89,5,0)</f>
        <v>72.927102857142842</v>
      </c>
      <c r="P22" s="13">
        <f t="shared" si="33"/>
        <v>20.398618262859163</v>
      </c>
      <c r="Q22" s="20">
        <f t="shared" si="2"/>
        <v>162.5422976173368</v>
      </c>
      <c r="R22" s="59">
        <f t="shared" si="0"/>
        <v>442.43118650622569</v>
      </c>
      <c r="S22" s="59">
        <f ca="1">AVERAGE(OFFSET($R$3,0,0,'Données projet'!$E$9+1,1))-AVERAGE(OFFSET($H$3,0,0,'Données projet'!$E$9+1,1))</f>
        <v>252.08270526008477</v>
      </c>
      <c r="T22" s="59">
        <f t="shared" si="34"/>
        <v>239.77811108960179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17.793333333333333</v>
      </c>
      <c r="AI22" s="13">
        <f>IF('Données projet'!$A$62&gt;35,AI21+AH22-AQ21,IF(A22&lt;'Données projet'!$A$62,$AF$205^A22,IF(A22='Données projet'!$A$62,'Données projet'!$B$62,AI21+AH22-AQ21)))</f>
        <v>118.03666666666666</v>
      </c>
      <c r="AJ22" s="13">
        <f>AI22*VLOOKUP('Données projet'!$B$10,Paramètres!$A$1:$I$89,3,0)*VLOOKUP('Données projet'!$B$10,Paramètres!$A$1:$I$89,5,0)</f>
        <v>70.585926666666666</v>
      </c>
      <c r="AK22" s="13">
        <f t="shared" si="35"/>
        <v>19.818893148924182</v>
      </c>
      <c r="AL22" s="20">
        <f t="shared" si="4"/>
        <v>157.45506117882073</v>
      </c>
      <c r="AM22" s="59">
        <f t="shared" si="5"/>
        <v>437.34395006770956</v>
      </c>
      <c r="AN22" s="59">
        <f ca="1">AVERAGE(OFFSET($AM$3,0,0,'Données projet'!$E$10+1,1))-AVERAGE(OFFSET($H$3,0,0,'Données projet'!$E$10+1,1))</f>
        <v>251.64326096359997</v>
      </c>
      <c r="AO22" s="59">
        <f t="shared" si="36"/>
        <v>256.72142151189894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6.9263214463412472</v>
      </c>
      <c r="AW22" s="21">
        <f>EXP(-LN(2)/2)*AW21+(1-EXP(-LN(2)/2))/(LN(2)/2)*AQ22*AT22*VLOOKUP('Données projet'!$B$10,Paramètres!$A$1:$I$89,3,0)*0.475*44/12</f>
        <v>6.9704862388149103</v>
      </c>
      <c r="AX22" s="21">
        <f t="shared" si="6"/>
        <v>13.896807685156158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</v>
      </c>
      <c r="BD22" s="12">
        <f>IF('Données projet'!$A$88&gt;35,BD21+BC22-BL21,IF(A22&lt;'Données projet'!$A$88,$BA$205^A22,IF(A22='Données projet'!$A$88,'Données projet'!$B$88,BD21+BC22-BL21)))</f>
        <v>83</v>
      </c>
      <c r="BE22" s="13">
        <f>BD22*VLOOKUP('Données projet'!$B$11,Paramètres!$A$1:$I$89,3,0)*VLOOKUP('Données projet'!$B$11,Paramètres!$A$1:$I$89,5,0)</f>
        <v>75.098399999999998</v>
      </c>
      <c r="BF22" s="13">
        <f t="shared" si="37"/>
        <v>20.934343091450742</v>
      </c>
      <c r="BG22" s="20">
        <f t="shared" si="7"/>
        <v>167.25702755094335</v>
      </c>
      <c r="BH22" s="59">
        <f t="shared" si="8"/>
        <v>447.14591643983221</v>
      </c>
      <c r="BI22" s="59">
        <f ca="1">AVERAGE(OFFSET($BH$3,0,0,'Données projet'!$E$11+1,1))-AVERAGE(OFFSET($H$3,0,0,'Données projet'!$E$11+1,1))</f>
        <v>199.29783428981898</v>
      </c>
      <c r="BJ22" s="59">
        <f t="shared" si="38"/>
        <v>237.32002274562547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12.805363789976035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12.805363789976035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4.016578947368421</v>
      </c>
      <c r="BY22" s="12">
        <f>IF('Données projet'!$A$114&gt;35,BY21+BX22-CG21,IF(A22&lt;'Données projet'!$A$114,$BV$205^A22,IF(A22='Données projet'!$A$114,'Données projet'!$B$114,BY21+BX22-CG21)))</f>
        <v>76.314999999999998</v>
      </c>
      <c r="BZ22" s="13">
        <f>BY22*VLOOKUP('Données projet'!$B$12,Paramètres!$A$1:$I$89,3,0)*VLOOKUP('Données projet'!$B$12,Paramètres!$A$1:$I$89,5,0)</f>
        <v>64.287756000000002</v>
      </c>
      <c r="CA22" s="13">
        <f t="shared" si="39"/>
        <v>18.24795500292538</v>
      </c>
      <c r="CB22" s="20">
        <f t="shared" si="10"/>
        <v>143.74969666342838</v>
      </c>
      <c r="CC22" s="59">
        <f t="shared" si="11"/>
        <v>423.63858555231724</v>
      </c>
      <c r="CD22" s="59">
        <f ca="1">AVERAGE(OFFSET($CC$3,0,0,'Données projet'!$E$12+1,1))-AVERAGE(OFFSET($H$3,0,0,'Données projet'!$E$12+1,1))</f>
        <v>295.59075210589327</v>
      </c>
      <c r="CE22" s="59">
        <f t="shared" si="40"/>
        <v>210.41181542059576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6.7</v>
      </c>
      <c r="CT22" s="12">
        <f>IF('Données projet'!$A$140&gt;35,CT21+CS22-DB21,IF(A22&lt;'Données projet'!$A$140,$CQ$205^A22,IF(A22='Données projet'!$A$140,'Données projet'!$B$140,CT21+CS22-DB21)))</f>
        <v>104.89373708537892</v>
      </c>
      <c r="CU22" s="17">
        <f>CT22*VLOOKUP('Données projet'!$B$13,Paramètres!$A$1:$I$89,3,0)*VLOOKUP('Données projet'!$B$13,Paramètres!$A$1:$I$89,5,0)</f>
        <v>47.726650373847406</v>
      </c>
      <c r="CV22" s="13">
        <f t="shared" si="41"/>
        <v>14.025076693712954</v>
      </c>
      <c r="CW22" s="20">
        <f t="shared" si="13"/>
        <v>107.55092464266761</v>
      </c>
      <c r="CX22" s="59">
        <f t="shared" si="14"/>
        <v>387.43981353155647</v>
      </c>
      <c r="CY22" s="59">
        <f ca="1">AVERAGE(OFFSET($CX$3,0,0,'Données projet'!$E$13+1,1))-AVERAGE(OFFSET($H$3,0,0,'Données projet'!$E$13+1,1))</f>
        <v>338.22448697444298</v>
      </c>
      <c r="CZ22" s="59">
        <f t="shared" si="42"/>
        <v>293.3872365640849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9.300476190476191</v>
      </c>
      <c r="DO22" s="12">
        <f>IF('Données projet'!$A$166&gt;35,DO21+DN22-DW21,IF(A22&lt;'Données projet'!$A$166,$DL$205^A22,IF(A22='Données projet'!$A$166,'Données projet'!$B$166,DO21+DN22-DW21)))</f>
        <v>118.18442425161669</v>
      </c>
      <c r="DP22" s="17">
        <f>DO22*VLOOKUP('Données projet'!$B$14,Paramètres!$A$1:$I$89,3,0)*VLOOKUP('Données projet'!$B$14,Paramètres!$A$1:$I$89,5,0)</f>
        <v>66.065093156653731</v>
      </c>
      <c r="DQ22" s="13">
        <f t="shared" si="43"/>
        <v>18.693015658295351</v>
      </c>
      <c r="DR22" s="20">
        <f t="shared" si="16"/>
        <v>147.62037285270299</v>
      </c>
      <c r="DS22" s="59">
        <f t="shared" si="17"/>
        <v>427.50926174159184</v>
      </c>
      <c r="DT22" s="59">
        <f ca="1">AVERAGE(OFFSET($DS$3,0,0,'Données projet'!$E$14+1,1))-AVERAGE(OFFSET($H$3,0,0,'Données projet'!$E$14+1,1))</f>
        <v>328.15217666639006</v>
      </c>
      <c r="DU22" s="59">
        <f t="shared" si="44"/>
        <v>305.59175773326308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8</v>
      </c>
      <c r="EJ22" s="12">
        <f>IF('Données projet'!$A$192&gt;35,EJ21+EI22-ER21,IF(A22&lt;'Données projet'!$A$192,$EG$205^A22,IF(A22='Données projet'!$A$192,'Données projet'!$B$192,EJ21+EI22-ER21)))</f>
        <v>83</v>
      </c>
      <c r="EK22" s="17">
        <f>EJ22*VLOOKUP('Données projet'!$B$15,Paramètres!$A$1:$I$89,3,0)*VLOOKUP('Données projet'!$B$15,Paramètres!$A$1:$I$89,5,0)</f>
        <v>60.855599999999995</v>
      </c>
      <c r="EL22" s="13">
        <f t="shared" si="45"/>
        <v>17.384412949542664</v>
      </c>
      <c r="EM22" s="20">
        <f t="shared" si="19"/>
        <v>136.26802255378678</v>
      </c>
      <c r="EN22" s="59">
        <f t="shared" si="20"/>
        <v>416.15691144267566</v>
      </c>
      <c r="EO22" s="59">
        <f ca="1">AVERAGE(OFFSET($EN$3,0,0,'Données projet'!$E$15+1,1))-AVERAGE(OFFSET($H$3,0,0,'Données projet'!$E$15+1,1))</f>
        <v>159.78276497127206</v>
      </c>
      <c r="EP22" s="59">
        <f t="shared" si="46"/>
        <v>190.72163407919857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14.873356448012393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14.873356448012393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5.3214035087719296</v>
      </c>
      <c r="FE22" s="12">
        <f>IF('Données projet'!$A$218&gt;35,FE21+FD22-FM21,IF(A22&lt;'Données projet'!$A$218,$FB$205^A22,IF(A22='Données projet'!$A$218,'Données projet'!$B$218,FE21+FD22-FM21)))</f>
        <v>101.10666666666671</v>
      </c>
      <c r="FF22" s="17">
        <f>FE22*VLOOKUP('Données projet'!$B$16,Paramètres!$A$1:$I$89,3,0)*VLOOKUP('Données projet'!$B$16,Paramètres!$A$1:$I$89,5,0)</f>
        <v>86.749520000000047</v>
      </c>
      <c r="FG22" s="13">
        <f t="shared" si="47"/>
        <v>23.779617090763978</v>
      </c>
      <c r="FH22" s="20">
        <f t="shared" si="22"/>
        <v>192.50491376641401</v>
      </c>
      <c r="FI22" s="59">
        <f t="shared" si="23"/>
        <v>472.39380265530286</v>
      </c>
      <c r="FJ22" s="59">
        <f ca="1">AVERAGE(OFFSET($FI$3,0,0,'Données projet'!$E$16+1,1))-AVERAGE(OFFSET($H$3,0,0,'Données projet'!$E$16+1,1))</f>
        <v>337.15023592377008</v>
      </c>
      <c r="FK22" s="59">
        <f t="shared" si="48"/>
        <v>286.60608582587099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4.0942857142857143</v>
      </c>
      <c r="FZ22" s="12">
        <f>IF('Données projet'!$A$244&gt;35,FZ21+FY22-GH21,IF(A22&lt;'Données projet'!$A$244,$FW$205^A22,IF(A22='Données projet'!$A$244,'Données projet'!$B$244,FZ21+FY22-GH21)))</f>
        <v>77.791428571428611</v>
      </c>
      <c r="GA22" s="17">
        <f>FZ22*VLOOKUP('Données projet'!$B$17,Paramètres!$A$1:$I$89,3,0)*VLOOKUP('Données projet'!$B$17,Paramètres!$A$1:$I$89,5,0)</f>
        <v>70.385684571428612</v>
      </c>
      <c r="GB22" s="13">
        <f t="shared" si="49"/>
        <v>19.769205993092573</v>
      </c>
      <c r="GC22" s="20">
        <f t="shared" si="25"/>
        <v>157.01976773320771</v>
      </c>
      <c r="GD22" s="59">
        <f t="shared" si="26"/>
        <v>436.9086566220966</v>
      </c>
      <c r="GE22" s="59">
        <f ca="1">AVERAGE(OFFSET($GD$3,0,0,'Données projet'!$E$17+1,1))-AVERAGE(OFFSET($H$3,0,0,'Données projet'!$E$17+1,1))</f>
        <v>486.55344536255876</v>
      </c>
      <c r="GF22" s="59">
        <f t="shared" si="50"/>
        <v>231.14794884432229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290.81675651732814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8.2014285714285702</v>
      </c>
      <c r="N23" s="13">
        <f>IF('Données projet'!$A$36&gt;35,N22+M23-V22,IF(A23&lt;'Données projet'!$A$36,$K$205^A23,IF(A23='Données projet'!$A$36,'Données projet'!$B$36,N22+M23-V22)))</f>
        <v>164.02857142857141</v>
      </c>
      <c r="O23" s="13">
        <f>N23*VLOOKUP('Données projet'!$B$9,Paramètres!$A$1:$I$89,3,0)*VLOOKUP('Données projet'!$B$9,Paramètres!$A$1:$I$89,5,0)</f>
        <v>76.765371428571427</v>
      </c>
      <c r="P23" s="13">
        <f t="shared" si="33"/>
        <v>21.344410908634686</v>
      </c>
      <c r="Q23" s="20">
        <f t="shared" si="2"/>
        <v>170.87453757063398</v>
      </c>
      <c r="R23" s="59">
        <f t="shared" si="0"/>
        <v>451.98564868174515</v>
      </c>
      <c r="S23" s="59">
        <f ca="1">AVERAGE(OFFSET($R$3,0,0,'Données projet'!$E$9+1,1))-AVERAGE(OFFSET($H$3,0,0,'Données projet'!$E$9+1,1))</f>
        <v>252.08270526008477</v>
      </c>
      <c r="T23" s="59">
        <f t="shared" si="34"/>
        <v>239.77811108960179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17.793333333333333</v>
      </c>
      <c r="AI23" s="13">
        <f>IF('Données projet'!$A$62&gt;35,AI22+AH23-AQ22,IF(A23&lt;'Données projet'!$A$62,$AF$205^A23,IF(A23='Données projet'!$A$62,'Données projet'!$B$62,AI22+AH23-AQ22)))</f>
        <v>135.82999999999998</v>
      </c>
      <c r="AJ23" s="13">
        <f>AI23*VLOOKUP('Données projet'!$B$10,Paramètres!$A$1:$I$89,3,0)*VLOOKUP('Données projet'!$B$10,Paramètres!$A$1:$I$89,5,0)</f>
        <v>81.226339999999993</v>
      </c>
      <c r="AK23" s="13">
        <f t="shared" si="35"/>
        <v>22.43676463604092</v>
      </c>
      <c r="AL23" s="20">
        <f t="shared" si="4"/>
        <v>180.54657390777126</v>
      </c>
      <c r="AM23" s="59">
        <f t="shared" si="5"/>
        <v>461.65768501888238</v>
      </c>
      <c r="AN23" s="59">
        <f ca="1">AVERAGE(OFFSET($AM$3,0,0,'Données projet'!$E$10+1,1))-AVERAGE(OFFSET($H$3,0,0,'Données projet'!$E$10+1,1))</f>
        <v>251.64326096359997</v>
      </c>
      <c r="AO23" s="59">
        <f t="shared" si="36"/>
        <v>256.72142151189894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6.7369208221516317</v>
      </c>
      <c r="AW23" s="21">
        <f>EXP(-LN(2)/2)*AW22+(1-EXP(-LN(2)/2))/(LN(2)/2)*AQ23*AT23*VLOOKUP('Données projet'!$B$10,Paramètres!$A$1:$I$89,3,0)*0.475*44/12</f>
        <v>4.9288780876335361</v>
      </c>
      <c r="AX23" s="21">
        <f t="shared" si="6"/>
        <v>11.665798909785167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</v>
      </c>
      <c r="BD23" s="12">
        <f>IF('Données projet'!$A$88&gt;35,BD22+BC23-BL22,IF(A23&lt;'Données projet'!$A$88,$BA$205^A23,IF(A23='Données projet'!$A$88,'Données projet'!$B$88,BD22+BC23-BL22)))</f>
        <v>91</v>
      </c>
      <c r="BE23" s="13">
        <f>BD23*VLOOKUP('Données projet'!$B$11,Paramètres!$A$1:$I$89,3,0)*VLOOKUP('Données projet'!$B$11,Paramètres!$A$1:$I$89,5,0)</f>
        <v>82.336799999999997</v>
      </c>
      <c r="BF23" s="13">
        <f t="shared" si="37"/>
        <v>22.707582950885364</v>
      </c>
      <c r="BG23" s="20">
        <f t="shared" si="7"/>
        <v>182.95230030612535</v>
      </c>
      <c r="BH23" s="59">
        <f t="shared" si="8"/>
        <v>464.06341141723647</v>
      </c>
      <c r="BI23" s="59">
        <f ca="1">AVERAGE(OFFSET($BH$3,0,0,'Données projet'!$E$11+1,1))-AVERAGE(OFFSET($H$3,0,0,'Données projet'!$E$11+1,1))</f>
        <v>199.29783428981898</v>
      </c>
      <c r="BJ23" s="59">
        <f t="shared" si="38"/>
        <v>237.32002274562547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12.455200443734325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12.455200443734325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4.016578947368421</v>
      </c>
      <c r="BY23" s="12">
        <f>IF('Données projet'!$A$114&gt;35,BY22+BX23-CG22,IF(A23&lt;'Données projet'!$A$114,$BV$205^A23,IF(A23='Données projet'!$A$114,'Données projet'!$B$114,BY22+BX23-CG22)))</f>
        <v>80.331578947368413</v>
      </c>
      <c r="BZ23" s="13">
        <f>BY23*VLOOKUP('Données projet'!$B$12,Paramètres!$A$1:$I$89,3,0)*VLOOKUP('Données projet'!$B$12,Paramètres!$A$1:$I$89,5,0)</f>
        <v>67.671322105263158</v>
      </c>
      <c r="CA23" s="13">
        <f t="shared" si="39"/>
        <v>19.094031017477494</v>
      </c>
      <c r="CB23" s="20">
        <f t="shared" si="10"/>
        <v>151.11632335543996</v>
      </c>
      <c r="CC23" s="59">
        <f t="shared" si="11"/>
        <v>432.22743446655113</v>
      </c>
      <c r="CD23" s="59">
        <f ca="1">AVERAGE(OFFSET($CC$3,0,0,'Données projet'!$E$12+1,1))-AVERAGE(OFFSET($H$3,0,0,'Données projet'!$E$12+1,1))</f>
        <v>295.59075210589327</v>
      </c>
      <c r="CE23" s="59">
        <f t="shared" si="40"/>
        <v>210.41181542059576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134</v>
      </c>
      <c r="CR23" s="12">
        <f>VLOOKUP(A23,'Données projet'!$A$139:$I$159,9,0)</f>
        <v>6.7</v>
      </c>
      <c r="CS23" s="12">
        <f t="array" ref="CS23">INDEX(CR:CR,MIN(IF(ISNUMBER(CR23:CR219),ROW(CR23:CR219),"")))</f>
        <v>6.7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60.97</v>
      </c>
      <c r="CV23" s="13">
        <f t="shared" si="41"/>
        <v>17.413286070354559</v>
      </c>
      <c r="CW23" s="20">
        <f t="shared" si="13"/>
        <v>136.51755657253418</v>
      </c>
      <c r="CX23" s="59">
        <f t="shared" si="14"/>
        <v>417.62866768364529</v>
      </c>
      <c r="CY23" s="59">
        <f ca="1">AVERAGE(OFFSET($CX$3,0,0,'Données projet'!$E$13+1,1))-AVERAGE(OFFSET($H$3,0,0,'Données projet'!$E$13+1,1))</f>
        <v>338.22448697444298</v>
      </c>
      <c r="CZ23" s="59">
        <f t="shared" si="42"/>
        <v>293.3872365640849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5</v>
      </c>
      <c r="DC23" s="16">
        <f>IF(ISNA(VLOOKUP(A23,'Données projet'!$A$139:$I$159,5,0)),0%,VLOOKUP(A23,'Données projet'!$A$139:$I$159,5,0)*VLOOKUP('Données projet'!$B$13,Paramètres!$A$1:$I$89,7,0))</f>
        <v>0.13750000000000001</v>
      </c>
      <c r="DD23" s="16">
        <f>IF(ISNA(VLOOKUP(A23,'Données projet'!$A$139:$I$159,6,0)),0%,VLOOKUP(A23,'Données projet'!$A$139:$I$159,6,0)*VLOOKUP('Données projet'!$B$13,Paramètres!$A$1:$I$89,7,0))</f>
        <v>0.20350000000000001</v>
      </c>
      <c r="DE23" s="16">
        <f>IF(ISNA(VLOOKUP(A23,'Données projet'!$A$139:$I$159,7,0)),0%,VLOOKUP(A23,'Données projet'!$A$139:$I$159,7,0))</f>
        <v>0.38</v>
      </c>
      <c r="DF23" s="21">
        <f>EXP(-LN(2)/35)*DF22+(1-EXP(-LN(2)/35))/(LN(2)/35)*DB23*DC23*VLOOKUP('Données projet'!$B$13,Paramètres!$A$1:$I$89,3,0)*0.475*44/12</f>
        <v>0.4149659437171811</v>
      </c>
      <c r="DG23" s="21">
        <f>EXP(-LN(2)/25)*DG22+(1-EXP(-LN(2)/25))/(LN(2)/25)*Calculateur!DB23*Calculateur!DD23*VLOOKUP('Données projet'!$B$13,Paramètres!$A$1:$I$89,3,0)*0.475*44/12</f>
        <v>0.6117314557298722</v>
      </c>
      <c r="DH23" s="21">
        <f>EXP(-LN(2)/2)*DH22+(1-EXP(-LN(2)/2))/(LN(2)/2)*DB23*DE23*VLOOKUP('Données projet'!$B$13,Paramètres!$A$1:$I$89,3,0)*0.475*44/12</f>
        <v>0.97881482121162966</v>
      </c>
      <c r="DI23" s="22">
        <f t="shared" si="15"/>
        <v>2.0055122206586828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9.300476190476191</v>
      </c>
      <c r="DO23" s="12">
        <f>IF('Données projet'!$A$166&gt;35,DO22+DN23-DW22,IF(A23&lt;'Données projet'!$A$166,$DL$205^A23,IF(A23='Données projet'!$A$166,'Données projet'!$B$166,DO22+DN23-DW22)))</f>
        <v>151.92958862770377</v>
      </c>
      <c r="DP23" s="17">
        <f>DO23*VLOOKUP('Données projet'!$B$14,Paramètres!$A$1:$I$89,3,0)*VLOOKUP('Données projet'!$B$14,Paramètres!$A$1:$I$89,5,0)</f>
        <v>84.928640042886414</v>
      </c>
      <c r="DQ23" s="13">
        <f t="shared" si="43"/>
        <v>23.338037283642365</v>
      </c>
      <c r="DR23" s="20">
        <f t="shared" si="16"/>
        <v>188.56446301037093</v>
      </c>
      <c r="DS23" s="59">
        <f t="shared" si="17"/>
        <v>469.6755741214821</v>
      </c>
      <c r="DT23" s="59">
        <f ca="1">AVERAGE(OFFSET($DS$3,0,0,'Données projet'!$E$14+1,1))-AVERAGE(OFFSET($H$3,0,0,'Données projet'!$E$14+1,1))</f>
        <v>328.15217666639006</v>
      </c>
      <c r="DU23" s="59">
        <f t="shared" si="44"/>
        <v>305.59175773326308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8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66.721199999999996</v>
      </c>
      <c r="EL23" s="13">
        <f t="shared" si="45"/>
        <v>18.856956599005905</v>
      </c>
      <c r="EM23" s="20">
        <f t="shared" si="19"/>
        <v>149.0486227432686</v>
      </c>
      <c r="EN23" s="59">
        <f t="shared" si="20"/>
        <v>430.15973385437974</v>
      </c>
      <c r="EO23" s="59">
        <f ca="1">AVERAGE(OFFSET($EN$3,0,0,'Données projet'!$E$15+1,1))-AVERAGE(OFFSET($H$3,0,0,'Données projet'!$E$15+1,1))</f>
        <v>159.78276497127206</v>
      </c>
      <c r="EP23" s="59">
        <f t="shared" si="46"/>
        <v>190.72163407919857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14.466643733785672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14.466643733785672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5.3214035087719296</v>
      </c>
      <c r="FE23" s="12">
        <f>IF('Données projet'!$A$218&gt;35,FE22+FD23-FM22,IF(A23&lt;'Données projet'!$A$218,$FB$205^A23,IF(A23='Données projet'!$A$218,'Données projet'!$B$218,FE22+FD23-FM22)))</f>
        <v>106.42807017543865</v>
      </c>
      <c r="FF23" s="17">
        <f>FE23*VLOOKUP('Données projet'!$B$16,Paramètres!$A$1:$I$89,3,0)*VLOOKUP('Données projet'!$B$16,Paramètres!$A$1:$I$89,5,0)</f>
        <v>91.315284210526372</v>
      </c>
      <c r="FG23" s="13">
        <f t="shared" si="47"/>
        <v>24.88217152234294</v>
      </c>
      <c r="FH23" s="20">
        <f t="shared" si="22"/>
        <v>202.37723540141405</v>
      </c>
      <c r="FI23" s="59">
        <f t="shared" si="23"/>
        <v>483.4883465125252</v>
      </c>
      <c r="FJ23" s="59">
        <f ca="1">AVERAGE(OFFSET($FI$3,0,0,'Données projet'!$E$16+1,1))-AVERAGE(OFFSET($H$3,0,0,'Données projet'!$E$16+1,1))</f>
        <v>337.15023592377008</v>
      </c>
      <c r="FK23" s="59">
        <f t="shared" si="48"/>
        <v>286.60608582587099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4.0942857142857143</v>
      </c>
      <c r="FZ23" s="12">
        <f>IF('Données projet'!$A$244&gt;35,FZ22+FY23-GH22,IF(A23&lt;'Données projet'!$A$244,$FW$205^A23,IF(A23='Données projet'!$A$244,'Données projet'!$B$244,FZ22+FY23-GH22)))</f>
        <v>81.885714285714329</v>
      </c>
      <c r="GA23" s="17">
        <f>FZ23*VLOOKUP('Données projet'!$B$17,Paramètres!$A$1:$I$89,3,0)*VLOOKUP('Données projet'!$B$17,Paramètres!$A$1:$I$89,5,0)</f>
        <v>74.090194285714318</v>
      </c>
      <c r="GB23" s="13">
        <f t="shared" si="49"/>
        <v>20.685815608516002</v>
      </c>
      <c r="GC23" s="20">
        <f t="shared" si="25"/>
        <v>165.06821723245113</v>
      </c>
      <c r="GD23" s="59">
        <f t="shared" si="26"/>
        <v>446.17932834356225</v>
      </c>
      <c r="GE23" s="59">
        <f ca="1">AVERAGE(OFFSET($GD$3,0,0,'Données projet'!$E$17+1,1))-AVERAGE(OFFSET($H$3,0,0,'Données projet'!$E$17+1,1))</f>
        <v>486.55344536255876</v>
      </c>
      <c r="GF23" s="59">
        <f t="shared" si="50"/>
        <v>231.14794884432229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292.47306221992341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8.2014285714285702</v>
      </c>
      <c r="N24" s="13">
        <f>IF('Données projet'!$A$36&gt;35,N23+M24-V23,IF(A24&lt;'Données projet'!$A$36,$K$205^A24,IF(A24='Données projet'!$A$36,'Données projet'!$B$36,N23+M24-V23)))</f>
        <v>172.23</v>
      </c>
      <c r="O24" s="13">
        <f>N24*VLOOKUP('Données projet'!$B$9,Paramètres!$A$1:$I$89,3,0)*VLOOKUP('Données projet'!$B$9,Paramètres!$A$1:$I$89,5,0)</f>
        <v>80.603639999999999</v>
      </c>
      <c r="P24" s="13">
        <f t="shared" si="33"/>
        <v>22.284712612841446</v>
      </c>
      <c r="Q24" s="20">
        <f t="shared" si="2"/>
        <v>179.19721413403215</v>
      </c>
      <c r="R24" s="59">
        <f t="shared" si="0"/>
        <v>461.53054746736547</v>
      </c>
      <c r="S24" s="59">
        <f ca="1">AVERAGE(OFFSET($R$3,0,0,'Données projet'!$E$9+1,1))-AVERAGE(OFFSET($H$3,0,0,'Données projet'!$E$9+1,1))</f>
        <v>252.08270526008477</v>
      </c>
      <c r="T24" s="59">
        <f t="shared" si="34"/>
        <v>239.77811108960179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17.793333333333333</v>
      </c>
      <c r="AI24" s="13">
        <f>IF('Données projet'!$A$62&gt;35,AI23+AH24-AQ23,IF(A24&lt;'Données projet'!$A$62,$AF$205^A24,IF(A24='Données projet'!$A$62,'Données projet'!$B$62,AI23+AH24-AQ23)))</f>
        <v>153.62333333333331</v>
      </c>
      <c r="AJ24" s="13">
        <f>AI24*VLOOKUP('Données projet'!$B$10,Paramètres!$A$1:$I$89,3,0)*VLOOKUP('Données projet'!$B$10,Paramètres!$A$1:$I$89,5,0)</f>
        <v>91.866753333333321</v>
      </c>
      <c r="AK24" s="13">
        <f t="shared" si="35"/>
        <v>25.014901610216608</v>
      </c>
      <c r="AL24" s="20">
        <f t="shared" si="4"/>
        <v>203.56888236001612</v>
      </c>
      <c r="AM24" s="59">
        <f t="shared" si="5"/>
        <v>485.90221569334943</v>
      </c>
      <c r="AN24" s="59">
        <f ca="1">AVERAGE(OFFSET($AM$3,0,0,'Données projet'!$E$10+1,1))-AVERAGE(OFFSET($H$3,0,0,'Données projet'!$E$10+1,1))</f>
        <v>251.64326096359997</v>
      </c>
      <c r="AO24" s="59">
        <f t="shared" si="36"/>
        <v>256.72142151189894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6.5526993679906269</v>
      </c>
      <c r="AW24" s="21">
        <f>EXP(-LN(2)/2)*AW23+(1-EXP(-LN(2)/2))/(LN(2)/2)*AQ24*AT24*VLOOKUP('Données projet'!$B$10,Paramètres!$A$1:$I$89,3,0)*0.475*44/12</f>
        <v>3.485243119407456</v>
      </c>
      <c r="AX24" s="21">
        <f t="shared" si="6"/>
        <v>10.037942487398084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</v>
      </c>
      <c r="BD24" s="12">
        <f>IF('Données projet'!$A$88&gt;35,BD23+BC24-BL23,IF(A24&lt;'Données projet'!$A$88,$BA$205^A24,IF(A24='Données projet'!$A$88,'Données projet'!$B$88,BD23+BC24-BL23)))</f>
        <v>99</v>
      </c>
      <c r="BE24" s="13">
        <f>BD24*VLOOKUP('Données projet'!$B$11,Paramètres!$A$1:$I$89,3,0)*VLOOKUP('Données projet'!$B$11,Paramètres!$A$1:$I$89,5,0)</f>
        <v>89.575199999999995</v>
      </c>
      <c r="BF24" s="13">
        <f t="shared" si="37"/>
        <v>24.462745269668691</v>
      </c>
      <c r="BG24" s="20">
        <f t="shared" si="7"/>
        <v>198.6160880113396</v>
      </c>
      <c r="BH24" s="59">
        <f t="shared" si="8"/>
        <v>480.94942134467294</v>
      </c>
      <c r="BI24" s="59">
        <f ca="1">AVERAGE(OFFSET($BH$3,0,0,'Données projet'!$E$11+1,1))-AVERAGE(OFFSET($H$3,0,0,'Données projet'!$E$11+1,1))</f>
        <v>199.29783428981898</v>
      </c>
      <c r="BJ24" s="59">
        <f t="shared" si="38"/>
        <v>237.32002274562547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12.114612332609886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12.114612332609886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4.016578947368421</v>
      </c>
      <c r="BY24" s="12">
        <f>IF('Données projet'!$A$114&gt;35,BY23+BX24-CG23,IF(A24&lt;'Données projet'!$A$114,$BV$205^A24,IF(A24='Données projet'!$A$114,'Données projet'!$B$114,BY23+BX24-CG23)))</f>
        <v>84.348157894736829</v>
      </c>
      <c r="BZ24" s="13">
        <f>BY24*VLOOKUP('Données projet'!$B$12,Paramètres!$A$1:$I$89,3,0)*VLOOKUP('Données projet'!$B$12,Paramètres!$A$1:$I$89,5,0)</f>
        <v>71.054888210526315</v>
      </c>
      <c r="CA24" s="13">
        <f t="shared" si="39"/>
        <v>19.935195010373032</v>
      </c>
      <c r="CB24" s="20">
        <f t="shared" si="10"/>
        <v>158.47439494306636</v>
      </c>
      <c r="CC24" s="59">
        <f t="shared" si="11"/>
        <v>440.80772827639964</v>
      </c>
      <c r="CD24" s="59">
        <f ca="1">AVERAGE(OFFSET($CC$3,0,0,'Données projet'!$E$12+1,1))-AVERAGE(OFFSET($H$3,0,0,'Données projet'!$E$12+1,1))</f>
        <v>295.59075210589327</v>
      </c>
      <c r="CE24" s="59">
        <f t="shared" si="40"/>
        <v>210.41181542059576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22.8</v>
      </c>
      <c r="CT24" s="12">
        <f>IF('Données projet'!$A$140&gt;35,CT23+CS24-DB23,IF(A24&lt;'Données projet'!$A$140,$CQ$205^A24,IF(A24='Données projet'!$A$140,'Données projet'!$B$140,CT23+CS24-DB23)))</f>
        <v>151.80000000000001</v>
      </c>
      <c r="CU24" s="17">
        <f>CT24*VLOOKUP('Données projet'!$B$13,Paramètres!$A$1:$I$89,3,0)*VLOOKUP('Données projet'!$B$13,Paramètres!$A$1:$I$89,5,0)</f>
        <v>69.069000000000003</v>
      </c>
      <c r="CV24" s="13">
        <f t="shared" si="41"/>
        <v>19.442077604017239</v>
      </c>
      <c r="CW24" s="20">
        <f t="shared" si="13"/>
        <v>154.15679349366337</v>
      </c>
      <c r="CX24" s="59">
        <f t="shared" si="14"/>
        <v>436.49012682699669</v>
      </c>
      <c r="CY24" s="59">
        <f ca="1">AVERAGE(OFFSET($CX$3,0,0,'Données projet'!$E$13+1,1))-AVERAGE(OFFSET($H$3,0,0,'Données projet'!$E$13+1,1))</f>
        <v>338.22448697444298</v>
      </c>
      <c r="CZ24" s="59">
        <f t="shared" si="42"/>
        <v>293.3872365640849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0.40682871466512088</v>
      </c>
      <c r="DG24" s="21">
        <f>EXP(-LN(2)/25)*DG23+(1-EXP(-LN(2)/25))/(LN(2)/25)*Calculateur!DB24*Calculateur!DD24*VLOOKUP('Données projet'!$B$13,Paramètres!$A$1:$I$89,3,0)*0.475*44/12</f>
        <v>0.59500362690337971</v>
      </c>
      <c r="DH24" s="21">
        <f>EXP(-LN(2)/2)*DH23+(1-EXP(-LN(2)/2))/(LN(2)/2)*DB24*DE24*VLOOKUP('Données projet'!$B$13,Paramètres!$A$1:$I$89,3,0)*0.475*44/12</f>
        <v>0.69212659760464146</v>
      </c>
      <c r="DI24" s="22">
        <f t="shared" si="15"/>
        <v>1.6939589391731422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>
        <f>VLOOKUP(A24,'Données projet'!$A$165:$I$185,2,0)</f>
        <v>195.31</v>
      </c>
      <c r="DM24" s="12">
        <f>VLOOKUP(A24,'Données projet'!$A$165:$I$185,9,0)</f>
        <v>9.300476190476191</v>
      </c>
      <c r="DN24" s="12">
        <f t="array" ref="DN24">INDEX(DM:DM,MIN(IF(ISNUMBER(DM24:DM220),ROW(DM24:DM220),"")))</f>
        <v>9.300476190476191</v>
      </c>
      <c r="DO24" s="12">
        <f>IF('Données projet'!$A$166&gt;35,DO23+DN24-DW23,IF(A24&lt;'Données projet'!$A$166,$DL$205^A24,IF(A24='Données projet'!$A$166,'Données projet'!$B$166,DO23+DN24-DW23)))</f>
        <v>195.31</v>
      </c>
      <c r="DP24" s="17">
        <f>DO24*VLOOKUP('Données projet'!$B$14,Paramètres!$A$1:$I$89,3,0)*VLOOKUP('Données projet'!$B$14,Paramètres!$A$1:$I$89,5,0)</f>
        <v>109.17829</v>
      </c>
      <c r="DQ24" s="13">
        <f t="shared" si="43"/>
        <v>29.137298882589644</v>
      </c>
      <c r="DR24" s="20">
        <f t="shared" si="16"/>
        <v>240.89965063717693</v>
      </c>
      <c r="DS24" s="59">
        <f t="shared" si="17"/>
        <v>523.2329839705103</v>
      </c>
      <c r="DT24" s="59">
        <f ca="1">AVERAGE(OFFSET($DS$3,0,0,'Données projet'!$E$14+1,1))-AVERAGE(OFFSET($H$3,0,0,'Données projet'!$E$14+1,1))</f>
        <v>328.15217666639006</v>
      </c>
      <c r="DU24" s="59">
        <f t="shared" si="44"/>
        <v>305.59175773326308</v>
      </c>
      <c r="DV24" s="15">
        <f>IF(ISNA(VLOOKUP(A24,'Données projet'!$A$165:$I$185,3,0)),0,VLOOKUP(A24,'Données projet'!$A$165:$I$185,3,0))</f>
        <v>1</v>
      </c>
      <c r="DW24" s="15">
        <f>IF(ISNA(VLOOKUP(A24,'Données projet'!$A$165:$I$185,4,0)),0,VLOOKUP(A24,'Données projet'!$A$165:$I$185,4,0))</f>
        <v>64.599999999999994</v>
      </c>
      <c r="DX24" s="16">
        <f>IF(ISNA(VLOOKUP(A24,'Données projet'!$A$165:$I$185,5,0)),0%,VLOOKUP(A24,'Données projet'!$A$165:$I$185,5,0)*VLOOKUP('Données projet'!$B$14,Paramètres!$A$1:$I$89,7,0))</f>
        <v>0.13750000000000001</v>
      </c>
      <c r="DY24" s="16">
        <f>IF(ISNA(VLOOKUP(A24,'Données projet'!$A$165:$I$185,6,0)),0%,VLOOKUP(A24,'Données projet'!$A$165:$I$185,6,0)*VLOOKUP('Données projet'!$B$14,Paramètres!$A$1:$I$89,7,0))</f>
        <v>0.20350000000000001</v>
      </c>
      <c r="DZ24" s="16">
        <f>IF(ISNA(VLOOKUP(A24,'Données projet'!$A$165:$I$185,7,0)),0%,VLOOKUP(A24,'Données projet'!$A$165:$I$185,7,0))</f>
        <v>0.38</v>
      </c>
      <c r="EA24" s="21">
        <f>EXP(-LN(2)/35)*EA23+(1-EXP(-LN(2)/35))/(LN(2)/35)*DW24*DX24*VLOOKUP('Données projet'!$B$14,Paramètres!$A$1:$I$89,3,0)*0.475*44/12</f>
        <v>6.5868137054719185</v>
      </c>
      <c r="EB24" s="21">
        <f>EXP(-LN(2)/25)*EB23+(1-EXP(-LN(2)/25))/(LN(2)/25)*Calculateur!DW24*Calculateur!DY24*VLOOKUP('Données projet'!$B$14,Paramètres!$A$1:$I$89,3,0)*0.475*44/12</f>
        <v>9.7101007870082245</v>
      </c>
      <c r="EC24" s="21">
        <f>EXP(-LN(2)/2)*EC23+(1-EXP(-LN(2)/2))/(LN(2)/2)*DW24*DZ24*VLOOKUP('Données projet'!$B$14,Paramètres!$A$1:$I$89,3,0)*0.475*44/12</f>
        <v>15.536867487780944</v>
      </c>
      <c r="ED24" s="22">
        <f t="shared" si="18"/>
        <v>31.833781980261087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</v>
      </c>
      <c r="EJ24" s="12">
        <f>IF('Données projet'!$A$192&gt;35,EJ23+EI24-ER23,IF(A24&lt;'Données projet'!$A$192,$EG$205^A24,IF(A24='Données projet'!$A$192,'Données projet'!$B$192,EJ23+EI24-ER23)))</f>
        <v>99</v>
      </c>
      <c r="EK24" s="17">
        <f>EJ24*VLOOKUP('Données projet'!$B$15,Paramètres!$A$1:$I$89,3,0)*VLOOKUP('Données projet'!$B$15,Paramètres!$A$1:$I$89,5,0)</f>
        <v>72.586799999999997</v>
      </c>
      <c r="EL24" s="13">
        <f t="shared" si="45"/>
        <v>20.314488197199065</v>
      </c>
      <c r="EM24" s="20">
        <f t="shared" si="19"/>
        <v>161.80307694345504</v>
      </c>
      <c r="EN24" s="59">
        <f t="shared" si="20"/>
        <v>444.13641027678835</v>
      </c>
      <c r="EO24" s="59">
        <f ca="1">AVERAGE(OFFSET($EN$3,0,0,'Données projet'!$E$15+1,1))-AVERAGE(OFFSET($H$3,0,0,'Données projet'!$E$15+1,1))</f>
        <v>159.78276497127206</v>
      </c>
      <c r="EP24" s="59">
        <f t="shared" si="46"/>
        <v>190.72163407919857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14.071052600117573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14.071052600117573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5.3214035087719296</v>
      </c>
      <c r="FE24" s="12">
        <f>IF('Données projet'!$A$218&gt;35,FE23+FD24-FM23,IF(A24&lt;'Données projet'!$A$218,$FB$205^A24,IF(A24='Données projet'!$A$218,'Données projet'!$B$218,FE23+FD24-FM23)))</f>
        <v>111.74947368421059</v>
      </c>
      <c r="FF24" s="17">
        <f>FE24*VLOOKUP('Données projet'!$B$16,Paramètres!$A$1:$I$89,3,0)*VLOOKUP('Données projet'!$B$16,Paramètres!$A$1:$I$89,5,0)</f>
        <v>95.881048421052697</v>
      </c>
      <c r="FG24" s="13">
        <f t="shared" si="47"/>
        <v>25.978324908209359</v>
      </c>
      <c r="FH24" s="20">
        <f t="shared" si="22"/>
        <v>212.23840854846472</v>
      </c>
      <c r="FI24" s="59">
        <f t="shared" si="23"/>
        <v>494.57174188179806</v>
      </c>
      <c r="FJ24" s="59">
        <f ca="1">AVERAGE(OFFSET($FI$3,0,0,'Données projet'!$E$16+1,1))-AVERAGE(OFFSET($H$3,0,0,'Données projet'!$E$16+1,1))</f>
        <v>337.15023592377008</v>
      </c>
      <c r="FK24" s="59">
        <f t="shared" si="48"/>
        <v>286.60608582587099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4.0942857142857143</v>
      </c>
      <c r="FZ24" s="12">
        <f>IF('Données projet'!$A$244&gt;35,FZ23+FY24-GH23,IF(A24&lt;'Données projet'!$A$244,$FW$205^A24,IF(A24='Données projet'!$A$244,'Données projet'!$B$244,FZ23+FY24-GH23)))</f>
        <v>85.980000000000047</v>
      </c>
      <c r="GA24" s="17">
        <f>FZ24*VLOOKUP('Données projet'!$B$17,Paramètres!$A$1:$I$89,3,0)*VLOOKUP('Données projet'!$B$17,Paramètres!$A$1:$I$89,5,0)</f>
        <v>77.794704000000038</v>
      </c>
      <c r="GB24" s="13">
        <f t="shared" si="49"/>
        <v>21.597103708846074</v>
      </c>
      <c r="GC24" s="20">
        <f t="shared" si="25"/>
        <v>173.10739842624028</v>
      </c>
      <c r="GD24" s="59">
        <f t="shared" si="26"/>
        <v>455.44073175957362</v>
      </c>
      <c r="GE24" s="59">
        <f ca="1">AVERAGE(OFFSET($GD$3,0,0,'Données projet'!$E$17+1,1))-AVERAGE(OFFSET($H$3,0,0,'Données projet'!$E$17+1,1))</f>
        <v>486.55344536255876</v>
      </c>
      <c r="GF24" s="59">
        <f t="shared" si="50"/>
        <v>231.14794884432229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294.12727040894015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8.2014285714285702</v>
      </c>
      <c r="N25" s="13">
        <f>IF('Données projet'!$A$36&gt;35,N24+M25-V24,IF(A25&lt;'Données projet'!$A$36,$K$205^A25,IF(A25='Données projet'!$A$36,'Données projet'!$B$36,N24+M25-V24)))</f>
        <v>180.43142857142857</v>
      </c>
      <c r="O25" s="13">
        <f>N25*VLOOKUP('Données projet'!$B$9,Paramètres!$A$1:$I$89,3,0)*VLOOKUP('Données projet'!$B$9,Paramètres!$A$1:$I$89,5,0)</f>
        <v>84.44190857142857</v>
      </c>
      <c r="P25" s="13">
        <f t="shared" si="33"/>
        <v>23.219814702112629</v>
      </c>
      <c r="Q25" s="20">
        <f t="shared" si="2"/>
        <v>187.51083470141759</v>
      </c>
      <c r="R25" s="59">
        <f t="shared" si="0"/>
        <v>471.06639025697314</v>
      </c>
      <c r="S25" s="59">
        <f ca="1">AVERAGE(OFFSET($R$3,0,0,'Données projet'!$E$9+1,1))-AVERAGE(OFFSET($H$3,0,0,'Données projet'!$E$9+1,1))</f>
        <v>252.08270526008477</v>
      </c>
      <c r="T25" s="59">
        <f t="shared" si="34"/>
        <v>239.77811108960179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17.793333333333333</v>
      </c>
      <c r="AI25" s="13">
        <f>IF('Données projet'!$A$62&gt;35,AI24+AH25-AQ24,IF(A25&lt;'Données projet'!$A$62,$AF$205^A25,IF(A25='Données projet'!$A$62,'Données projet'!$B$62,AI24+AH25-AQ24)))</f>
        <v>171.41666666666663</v>
      </c>
      <c r="AJ25" s="13">
        <f>AI25*VLOOKUP('Données projet'!$B$10,Paramètres!$A$1:$I$89,3,0)*VLOOKUP('Données projet'!$B$10,Paramètres!$A$1:$I$89,5,0)</f>
        <v>102.50716666666666</v>
      </c>
      <c r="AK25" s="13">
        <f t="shared" si="35"/>
        <v>27.558431899391174</v>
      </c>
      <c r="AL25" s="20">
        <f t="shared" si="4"/>
        <v>226.53091750255075</v>
      </c>
      <c r="AM25" s="59">
        <f t="shared" si="5"/>
        <v>510.08647305810632</v>
      </c>
      <c r="AN25" s="59">
        <f ca="1">AVERAGE(OFFSET($AM$3,0,0,'Données projet'!$E$10+1,1))-AVERAGE(OFFSET($H$3,0,0,'Données projet'!$E$10+1,1))</f>
        <v>251.64326096359997</v>
      </c>
      <c r="AO25" s="59">
        <f t="shared" si="36"/>
        <v>256.72142151189894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6.3735154591814398</v>
      </c>
      <c r="AW25" s="21">
        <f>EXP(-LN(2)/2)*AW24+(1-EXP(-LN(2)/2))/(LN(2)/2)*AQ25*AT25*VLOOKUP('Données projet'!$B$10,Paramètres!$A$1:$I$89,3,0)*0.475*44/12</f>
        <v>2.4644390438167685</v>
      </c>
      <c r="AX25" s="21">
        <f t="shared" si="6"/>
        <v>8.8379545029982083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</v>
      </c>
      <c r="BD25" s="12">
        <f>IF('Données projet'!$A$88&gt;35,BD24+BC25-BL24,IF(A25&lt;'Données projet'!$A$88,$BA$205^A25,IF(A25='Données projet'!$A$88,'Données projet'!$B$88,BD24+BC25-BL24)))</f>
        <v>107</v>
      </c>
      <c r="BE25" s="13">
        <f>BD25*VLOOKUP('Données projet'!$B$11,Paramètres!$A$1:$I$89,3,0)*VLOOKUP('Données projet'!$B$11,Paramètres!$A$1:$I$89,5,0)</f>
        <v>96.813599999999994</v>
      </c>
      <c r="BF25" s="13">
        <f t="shared" si="37"/>
        <v>26.201456938925336</v>
      </c>
      <c r="BG25" s="20">
        <f t="shared" si="7"/>
        <v>214.25122416862826</v>
      </c>
      <c r="BH25" s="59">
        <f t="shared" si="8"/>
        <v>497.8067797241838</v>
      </c>
      <c r="BI25" s="59">
        <f ca="1">AVERAGE(OFFSET($BH$3,0,0,'Données projet'!$E$11+1,1))-AVERAGE(OFFSET($H$3,0,0,'Données projet'!$E$11+1,1))</f>
        <v>199.29783428981898</v>
      </c>
      <c r="BJ25" s="59">
        <f t="shared" si="38"/>
        <v>237.32002274562547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11.783337621294894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11.783337621294894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4.016578947368421</v>
      </c>
      <c r="BY25" s="12">
        <f>IF('Données projet'!$A$114&gt;35,BY24+BX25-CG24,IF(A25&lt;'Données projet'!$A$114,$BV$205^A25,IF(A25='Données projet'!$A$114,'Données projet'!$B$114,BY24+BX25-CG24)))</f>
        <v>88.364736842105245</v>
      </c>
      <c r="BZ25" s="13">
        <f>BY25*VLOOKUP('Données projet'!$B$12,Paramètres!$A$1:$I$89,3,0)*VLOOKUP('Données projet'!$B$12,Paramètres!$A$1:$I$89,5,0)</f>
        <v>74.438454315789471</v>
      </c>
      <c r="CA25" s="13">
        <f t="shared" si="39"/>
        <v>20.771707593150822</v>
      </c>
      <c r="CB25" s="20">
        <f t="shared" si="10"/>
        <v>165.82436532473767</v>
      </c>
      <c r="CC25" s="59">
        <f t="shared" si="11"/>
        <v>449.37992088029318</v>
      </c>
      <c r="CD25" s="59">
        <f ca="1">AVERAGE(OFFSET($CC$3,0,0,'Données projet'!$E$12+1,1))-AVERAGE(OFFSET($H$3,0,0,'Données projet'!$E$12+1,1))</f>
        <v>295.59075210589327</v>
      </c>
      <c r="CE25" s="59">
        <f t="shared" si="40"/>
        <v>210.41181542059576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22.8</v>
      </c>
      <c r="CT25" s="12">
        <f>IF('Données projet'!$A$140&gt;35,CT24+CS25-DB24,IF(A25&lt;'Données projet'!$A$140,$CQ$205^A25,IF(A25='Données projet'!$A$140,'Données projet'!$B$140,CT24+CS25-DB24)))</f>
        <v>174.60000000000002</v>
      </c>
      <c r="CU25" s="17">
        <f>CT25*VLOOKUP('Données projet'!$B$13,Paramètres!$A$1:$I$89,3,0)*VLOOKUP('Données projet'!$B$13,Paramètres!$A$1:$I$89,5,0)</f>
        <v>79.443000000000012</v>
      </c>
      <c r="CV25" s="13">
        <f t="shared" si="41"/>
        <v>22.000939403142805</v>
      </c>
      <c r="CW25" s="20">
        <f t="shared" si="13"/>
        <v>176.68152779380705</v>
      </c>
      <c r="CX25" s="59">
        <f t="shared" si="14"/>
        <v>460.23708334936259</v>
      </c>
      <c r="CY25" s="59">
        <f ca="1">AVERAGE(OFFSET($CX$3,0,0,'Données projet'!$E$13+1,1))-AVERAGE(OFFSET($H$3,0,0,'Données projet'!$E$13+1,1))</f>
        <v>338.22448697444298</v>
      </c>
      <c r="CZ25" s="59">
        <f t="shared" si="42"/>
        <v>293.3872365640849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0.39885105171155194</v>
      </c>
      <c r="DG25" s="21">
        <f>EXP(-LN(2)/25)*DG24+(1-EXP(-LN(2)/25))/(LN(2)/25)*Calculateur!DB25*Calculateur!DD25*VLOOKUP('Données projet'!$B$13,Paramètres!$A$1:$I$89,3,0)*0.475*44/12</f>
        <v>0.57873322143582595</v>
      </c>
      <c r="DH25" s="21">
        <f>EXP(-LN(2)/2)*DH24+(1-EXP(-LN(2)/2))/(LN(2)/2)*DB25*DE25*VLOOKUP('Données projet'!$B$13,Paramètres!$A$1:$I$89,3,0)*0.475*44/12</f>
        <v>0.48940741060581489</v>
      </c>
      <c r="DI25" s="22">
        <f t="shared" si="15"/>
        <v>1.4669916837531927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21.61428571428571</v>
      </c>
      <c r="DO25" s="12">
        <f>IF('Données projet'!$A$166&gt;35,DO24+DN25-DW24,IF(A25&lt;'Données projet'!$A$166,$DL$205^A25,IF(A25='Données projet'!$A$166,'Données projet'!$B$166,DO24+DN25-DW24)))</f>
        <v>152.32428571428571</v>
      </c>
      <c r="DP25" s="17">
        <f>DO25*VLOOKUP('Données projet'!$B$14,Paramètres!$A$1:$I$89,3,0)*VLOOKUP('Données projet'!$B$14,Paramètres!$A$1:$I$89,5,0)</f>
        <v>85.149275714285707</v>
      </c>
      <c r="DQ25" s="13">
        <f t="shared" si="43"/>
        <v>23.391601652187223</v>
      </c>
      <c r="DR25" s="20">
        <f t="shared" si="16"/>
        <v>189.04202807994034</v>
      </c>
      <c r="DS25" s="59">
        <f t="shared" si="17"/>
        <v>472.59758363549588</v>
      </c>
      <c r="DT25" s="59">
        <f ca="1">AVERAGE(OFFSET($DS$3,0,0,'Données projet'!$E$14+1,1))-AVERAGE(OFFSET($H$3,0,0,'Données projet'!$E$14+1,1))</f>
        <v>328.15217666639006</v>
      </c>
      <c r="DU25" s="59">
        <f t="shared" si="44"/>
        <v>305.59175773326308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6.457650306267273</v>
      </c>
      <c r="EB25" s="21">
        <f>EXP(-LN(2)/25)*EB24+(1-EXP(-LN(2)/25))/(LN(2)/25)*Calculateur!DW25*Calculateur!DY25*VLOOKUP('Données projet'!$B$14,Paramètres!$A$1:$I$89,3,0)*0.475*44/12</f>
        <v>9.4445775703554773</v>
      </c>
      <c r="EC25" s="21">
        <f>EXP(-LN(2)/2)*EC24+(1-EXP(-LN(2)/2))/(LN(2)/2)*DW25*DZ25*VLOOKUP('Données projet'!$B$14,Paramètres!$A$1:$I$89,3,0)*0.475*44/12</f>
        <v>10.986224359006705</v>
      </c>
      <c r="ED25" s="22">
        <f t="shared" si="18"/>
        <v>26.888452235629455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</v>
      </c>
      <c r="EJ25" s="12">
        <f>IF('Données projet'!$A$192&gt;35,EJ24+EI25-ER24,IF(A25&lt;'Données projet'!$A$192,$EG$205^A25,IF(A25='Données projet'!$A$192,'Données projet'!$B$192,EJ24+EI25-ER24)))</f>
        <v>107</v>
      </c>
      <c r="EK25" s="17">
        <f>EJ25*VLOOKUP('Données projet'!$B$15,Paramètres!$A$1:$I$89,3,0)*VLOOKUP('Données projet'!$B$15,Paramètres!$A$1:$I$89,5,0)</f>
        <v>78.452399999999997</v>
      </c>
      <c r="EL25" s="13">
        <f t="shared" si="45"/>
        <v>21.75835875604599</v>
      </c>
      <c r="EM25" s="20">
        <f t="shared" si="19"/>
        <v>174.53373816678013</v>
      </c>
      <c r="EN25" s="59">
        <f t="shared" si="20"/>
        <v>458.0892937223357</v>
      </c>
      <c r="EO25" s="59">
        <f ca="1">AVERAGE(OFFSET($EN$3,0,0,'Données projet'!$E$15+1,1))-AVERAGE(OFFSET($H$3,0,0,'Données projet'!$E$15+1,1))</f>
        <v>159.78276497127206</v>
      </c>
      <c r="EP25" s="59">
        <f t="shared" si="46"/>
        <v>190.72163407919857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13.686278926802862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13.686278926802862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5.3214035087719296</v>
      </c>
      <c r="FE25" s="12">
        <f>IF('Données projet'!$A$218&gt;35,FE24+FD25-FM24,IF(A25&lt;'Données projet'!$A$218,$FB$205^A25,IF(A25='Données projet'!$A$218,'Données projet'!$B$218,FE24+FD25-FM24)))</f>
        <v>117.07087719298252</v>
      </c>
      <c r="FF25" s="17">
        <f>FE25*VLOOKUP('Données projet'!$B$16,Paramètres!$A$1:$I$89,3,0)*VLOOKUP('Données projet'!$B$16,Paramètres!$A$1:$I$89,5,0)</f>
        <v>100.44681263157902</v>
      </c>
      <c r="FG25" s="13">
        <f t="shared" si="47"/>
        <v>27.068416861355463</v>
      </c>
      <c r="FH25" s="20">
        <f t="shared" si="22"/>
        <v>222.08902470019424</v>
      </c>
      <c r="FI25" s="59">
        <f t="shared" si="23"/>
        <v>505.64458025574982</v>
      </c>
      <c r="FJ25" s="59">
        <f ca="1">AVERAGE(OFFSET($FI$3,0,0,'Données projet'!$E$16+1,1))-AVERAGE(OFFSET($H$3,0,0,'Données projet'!$E$16+1,1))</f>
        <v>337.15023592377008</v>
      </c>
      <c r="FK25" s="59">
        <f t="shared" si="48"/>
        <v>286.60608582587099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4.0942857142857143</v>
      </c>
      <c r="FZ25" s="12">
        <f>IF('Données projet'!$A$244&gt;35,FZ24+FY25-GH24,IF(A25&lt;'Données projet'!$A$244,$FW$205^A25,IF(A25='Données projet'!$A$244,'Données projet'!$B$244,FZ24+FY25-GH24)))</f>
        <v>90.074285714285764</v>
      </c>
      <c r="GA25" s="17">
        <f>FZ25*VLOOKUP('Données projet'!$B$17,Paramètres!$A$1:$I$89,3,0)*VLOOKUP('Données projet'!$B$17,Paramètres!$A$1:$I$89,5,0)</f>
        <v>81.499213714285759</v>
      </c>
      <c r="GB25" s="13">
        <f t="shared" si="49"/>
        <v>22.503352631648468</v>
      </c>
      <c r="GC25" s="20">
        <f t="shared" si="25"/>
        <v>181.13780305250211</v>
      </c>
      <c r="GD25" s="59">
        <f t="shared" si="26"/>
        <v>464.69335860805768</v>
      </c>
      <c r="GE25" s="59">
        <f ca="1">AVERAGE(OFFSET($GD$3,0,0,'Données projet'!$E$17+1,1))-AVERAGE(OFFSET($H$3,0,0,'Données projet'!$E$17+1,1))</f>
        <v>486.55344536255876</v>
      </c>
      <c r="GF25" s="59">
        <f t="shared" si="50"/>
        <v>231.14794884432229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295.77948731732636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8.2014285714285702</v>
      </c>
      <c r="N26" s="13">
        <f>IF('Données projet'!$A$36&gt;35,N25+M26-V25,IF(A26&lt;'Données projet'!$A$36,$K$205^A26,IF(A26='Données projet'!$A$36,'Données projet'!$B$36,N25+M26-V25)))</f>
        <v>188.63285714285715</v>
      </c>
      <c r="O26" s="13">
        <f>N26*VLOOKUP('Données projet'!$B$9,Paramètres!$A$1:$I$89,3,0)*VLOOKUP('Données projet'!$B$9,Paramètres!$A$1:$I$89,5,0)</f>
        <v>88.280177142857141</v>
      </c>
      <c r="P26" s="13">
        <f t="shared" si="33"/>
        <v>24.149980521786791</v>
      </c>
      <c r="Q26" s="20">
        <f t="shared" si="2"/>
        <v>195.81585793258819</v>
      </c>
      <c r="R26" s="59">
        <f t="shared" si="0"/>
        <v>480.59363571036596</v>
      </c>
      <c r="S26" s="59">
        <f ca="1">AVERAGE(OFFSET($R$3,0,0,'Données projet'!$E$9+1,1))-AVERAGE(OFFSET($H$3,0,0,'Données projet'!$E$9+1,1))</f>
        <v>252.08270526008477</v>
      </c>
      <c r="T26" s="59">
        <f t="shared" si="34"/>
        <v>239.77811108960179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189.21</v>
      </c>
      <c r="AG26" s="12">
        <f>VLOOKUP(A26,'Données projet'!$A$61:$I$81,9,0)</f>
        <v>17.793333333333333</v>
      </c>
      <c r="AH26" s="12">
        <f t="array" ref="AH26">INDEX(AG:AG,MIN(IF(ISNUMBER(AG26:AG222),ROW(AG26:AG222),"")))</f>
        <v>17.793333333333333</v>
      </c>
      <c r="AI26" s="13">
        <f>IF('Données projet'!$A$62&gt;35,AI25+AH26-AQ25,IF(A26&lt;'Données projet'!$A$62,$AF$205^A26,IF(A26='Données projet'!$A$62,'Données projet'!$B$62,AI25+AH26-AQ25)))</f>
        <v>189.20999999999995</v>
      </c>
      <c r="AJ26" s="13">
        <f>AI26*VLOOKUP('Données projet'!$B$10,Paramètres!$A$1:$I$89,3,0)*VLOOKUP('Données projet'!$B$10,Paramètres!$A$1:$I$89,5,0)</f>
        <v>113.14757999999998</v>
      </c>
      <c r="AK26" s="13">
        <f t="shared" si="35"/>
        <v>30.071356907423628</v>
      </c>
      <c r="AL26" s="20">
        <f t="shared" si="4"/>
        <v>249.43964844709606</v>
      </c>
      <c r="AM26" s="59">
        <f t="shared" si="5"/>
        <v>534.21742622487386</v>
      </c>
      <c r="AN26" s="59">
        <f ca="1">AVERAGE(OFFSET($AM$3,0,0,'Données projet'!$E$10+1,1))-AVERAGE(OFFSET($H$3,0,0,'Données projet'!$E$10+1,1))</f>
        <v>251.64326096359997</v>
      </c>
      <c r="AO26" s="59">
        <f t="shared" si="36"/>
        <v>256.72142151189894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58.370000000000005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5.2092086876860018</v>
      </c>
      <c r="AV26" s="21">
        <f>EXP(-LN(2)/25)*AV25+(1-EXP(-LN(2)/25))/(LN(2)/25)*Calculateur!AQ26*Calculateur!AS26*VLOOKUP('Données projet'!$B$10,Paramètres!$A$1:$I$89,3,0)*0.475*44/12</f>
        <v>13.878504455144835</v>
      </c>
      <c r="AW26" s="21">
        <f>EXP(-LN(2)/2)*AW25+(1-EXP(-LN(2)/2))/(LN(2)/2)*AQ26*AT26*VLOOKUP('Données projet'!$B$10,Paramètres!$A$1:$I$89,3,0)*0.475*44/12</f>
        <v>16.760549395416017</v>
      </c>
      <c r="AX26" s="21">
        <f t="shared" si="6"/>
        <v>35.848262538246857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</v>
      </c>
      <c r="BD26" s="12">
        <f>IF('Données projet'!$A$88&gt;35,BD25+BC26-BL25,IF(A26&lt;'Données projet'!$A$88,$BA$205^A26,IF(A26='Données projet'!$A$88,'Données projet'!$B$88,BD25+BC26-BL25)))</f>
        <v>115</v>
      </c>
      <c r="BE26" s="13">
        <f>BD26*VLOOKUP('Données projet'!$B$11,Paramètres!$A$1:$I$89,3,0)*VLOOKUP('Données projet'!$B$11,Paramètres!$A$1:$I$89,5,0)</f>
        <v>104.05199999999999</v>
      </c>
      <c r="BF26" s="13">
        <f t="shared" si="37"/>
        <v>27.925087771564417</v>
      </c>
      <c r="BG26" s="20">
        <f t="shared" si="7"/>
        <v>229.86009453547467</v>
      </c>
      <c r="BH26" s="59">
        <f t="shared" si="8"/>
        <v>514.6378723132525</v>
      </c>
      <c r="BI26" s="59">
        <f ca="1">AVERAGE(OFFSET($BH$3,0,0,'Données projet'!$E$11+1,1))-AVERAGE(OFFSET($H$3,0,0,'Données projet'!$E$11+1,1))</f>
        <v>199.29783428981898</v>
      </c>
      <c r="BJ26" s="59">
        <f t="shared" si="38"/>
        <v>237.32002274562547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11.46112163438179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11.46112163438179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4.016578947368421</v>
      </c>
      <c r="BY26" s="12">
        <f>IF('Données projet'!$A$114&gt;35,BY25+BX26-CG25,IF(A26&lt;'Données projet'!$A$114,$BV$205^A26,IF(A26='Données projet'!$A$114,'Données projet'!$B$114,BY25+BX26-CG25)))</f>
        <v>92.381315789473661</v>
      </c>
      <c r="BZ26" s="13">
        <f>BY26*VLOOKUP('Données projet'!$B$12,Paramètres!$A$1:$I$89,3,0)*VLOOKUP('Données projet'!$B$12,Paramètres!$A$1:$I$89,5,0)</f>
        <v>77.822020421052628</v>
      </c>
      <c r="CA26" s="13">
        <f t="shared" si="39"/>
        <v>21.603804346173444</v>
      </c>
      <c r="CB26" s="20">
        <f t="shared" si="10"/>
        <v>173.16664480291874</v>
      </c>
      <c r="CC26" s="59">
        <f t="shared" si="11"/>
        <v>457.94442258069648</v>
      </c>
      <c r="CD26" s="59">
        <f ca="1">AVERAGE(OFFSET($CC$3,0,0,'Données projet'!$E$12+1,1))-AVERAGE(OFFSET($H$3,0,0,'Données projet'!$E$12+1,1))</f>
        <v>295.59075210589327</v>
      </c>
      <c r="CE26" s="59">
        <f t="shared" si="40"/>
        <v>210.41181542059576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22.8</v>
      </c>
      <c r="CT26" s="12">
        <f>IF('Données projet'!$A$140&gt;35,CT25+CS26-DB25,IF(A26&lt;'Données projet'!$A$140,$CQ$205^A26,IF(A26='Données projet'!$A$140,'Données projet'!$B$140,CT25+CS26-DB25)))</f>
        <v>197.40000000000003</v>
      </c>
      <c r="CU26" s="17">
        <f>CT26*VLOOKUP('Données projet'!$B$13,Paramètres!$A$1:$I$89,3,0)*VLOOKUP('Données projet'!$B$13,Paramètres!$A$1:$I$89,5,0)</f>
        <v>89.817000000000007</v>
      </c>
      <c r="CV26" s="13">
        <f t="shared" si="41"/>
        <v>24.521084573624954</v>
      </c>
      <c r="CW26" s="20">
        <f t="shared" si="13"/>
        <v>199.1388306323968</v>
      </c>
      <c r="CX26" s="59">
        <f t="shared" si="14"/>
        <v>483.9166084101746</v>
      </c>
      <c r="CY26" s="59">
        <f ca="1">AVERAGE(OFFSET($CX$3,0,0,'Données projet'!$E$13+1,1))-AVERAGE(OFFSET($H$3,0,0,'Données projet'!$E$13+1,1))</f>
        <v>338.22448697444298</v>
      </c>
      <c r="CZ26" s="59">
        <f t="shared" si="42"/>
        <v>293.3872365640849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0.39102982586260854</v>
      </c>
      <c r="DG26" s="21">
        <f>EXP(-LN(2)/25)*DG25+(1-EXP(-LN(2)/25))/(LN(2)/25)*Calculateur!DB26*Calculateur!DD26*VLOOKUP('Données projet'!$B$13,Paramètres!$A$1:$I$89,3,0)*0.475*44/12</f>
        <v>0.5629077310614059</v>
      </c>
      <c r="DH26" s="21">
        <f>EXP(-LN(2)/2)*DH25+(1-EXP(-LN(2)/2))/(LN(2)/2)*DB26*DE26*VLOOKUP('Données projet'!$B$13,Paramètres!$A$1:$I$89,3,0)*0.475*44/12</f>
        <v>0.34606329880232078</v>
      </c>
      <c r="DI26" s="22">
        <f t="shared" si="15"/>
        <v>1.3000008557263354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21.61428571428571</v>
      </c>
      <c r="DO26" s="12">
        <f>IF('Données projet'!$A$166&gt;35,DO25+DN26-DW25,IF(A26&lt;'Données projet'!$A$166,$DL$205^A26,IF(A26='Données projet'!$A$166,'Données projet'!$B$166,DO25+DN26-DW25)))</f>
        <v>173.93857142857141</v>
      </c>
      <c r="DP26" s="17">
        <f>DO26*VLOOKUP('Données projet'!$B$14,Paramètres!$A$1:$I$89,3,0)*VLOOKUP('Données projet'!$B$14,Paramètres!$A$1:$I$89,5,0)</f>
        <v>97.231661428571414</v>
      </c>
      <c r="DQ26" s="13">
        <f t="shared" si="43"/>
        <v>26.301405349792162</v>
      </c>
      <c r="DR26" s="20">
        <f t="shared" si="16"/>
        <v>215.15342463898321</v>
      </c>
      <c r="DS26" s="59">
        <f t="shared" si="17"/>
        <v>499.93120241676098</v>
      </c>
      <c r="DT26" s="59">
        <f ca="1">AVERAGE(OFFSET($DS$3,0,0,'Données projet'!$E$14+1,1))-AVERAGE(OFFSET($H$3,0,0,'Données projet'!$E$14+1,1))</f>
        <v>328.15217666639006</v>
      </c>
      <c r="DU26" s="59">
        <f t="shared" si="44"/>
        <v>305.59175773326308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6.3310197225391365</v>
      </c>
      <c r="EB26" s="21">
        <f>EXP(-LN(2)/25)*EB25+(1-EXP(-LN(2)/25))/(LN(2)/25)*Calculateur!DW26*Calculateur!DY26*VLOOKUP('Données projet'!$B$14,Paramètres!$A$1:$I$89,3,0)*0.475*44/12</f>
        <v>9.1863151000253573</v>
      </c>
      <c r="EC26" s="21">
        <f>EXP(-LN(2)/2)*EC25+(1-EXP(-LN(2)/2))/(LN(2)/2)*DW26*DZ26*VLOOKUP('Données projet'!$B$14,Paramètres!$A$1:$I$89,3,0)*0.475*44/12</f>
        <v>7.7684337438904736</v>
      </c>
      <c r="ED26" s="22">
        <f t="shared" si="18"/>
        <v>23.285768566454966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</v>
      </c>
      <c r="EJ26" s="12">
        <f>IF('Données projet'!$A$192&gt;35,EJ25+EI26-ER25,IF(A26&lt;'Données projet'!$A$192,$EG$205^A26,IF(A26='Données projet'!$A$192,'Données projet'!$B$192,EJ25+EI26-ER25)))</f>
        <v>115</v>
      </c>
      <c r="EK26" s="17">
        <f>EJ26*VLOOKUP('Données projet'!$B$15,Paramètres!$A$1:$I$89,3,0)*VLOOKUP('Données projet'!$B$15,Paramètres!$A$1:$I$89,5,0)</f>
        <v>84.317999999999998</v>
      </c>
      <c r="EL26" s="13">
        <f t="shared" si="45"/>
        <v>23.189705803157239</v>
      </c>
      <c r="EM26" s="20">
        <f t="shared" si="19"/>
        <v>187.24258760716552</v>
      </c>
      <c r="EN26" s="59">
        <f t="shared" si="20"/>
        <v>472.02036538494326</v>
      </c>
      <c r="EO26" s="59">
        <f ca="1">AVERAGE(OFFSET($EN$3,0,0,'Données projet'!$E$15+1,1))-AVERAGE(OFFSET($H$3,0,0,'Données projet'!$E$15+1,1))</f>
        <v>159.78276497127206</v>
      </c>
      <c r="EP26" s="59">
        <f t="shared" si="46"/>
        <v>190.72163407919857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13.312026909819309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13.312026909819309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5.3214035087719296</v>
      </c>
      <c r="FE26" s="12">
        <f>IF('Données projet'!$A$218&gt;35,FE25+FD26-FM25,IF(A26&lt;'Données projet'!$A$218,$FB$205^A26,IF(A26='Données projet'!$A$218,'Données projet'!$B$218,FE25+FD26-FM25)))</f>
        <v>122.39228070175446</v>
      </c>
      <c r="FF26" s="17">
        <f>FE26*VLOOKUP('Données projet'!$B$16,Paramètres!$A$1:$I$89,3,0)*VLOOKUP('Données projet'!$B$16,Paramètres!$A$1:$I$89,5,0)</f>
        <v>105.01257684210533</v>
      </c>
      <c r="FG26" s="13">
        <f t="shared" si="47"/>
        <v>28.152754375678239</v>
      </c>
      <c r="FH26" s="20">
        <f t="shared" si="22"/>
        <v>231.92961853763973</v>
      </c>
      <c r="FI26" s="59">
        <f t="shared" si="23"/>
        <v>516.70739631541755</v>
      </c>
      <c r="FJ26" s="59">
        <f ca="1">AVERAGE(OFFSET($FI$3,0,0,'Données projet'!$E$16+1,1))-AVERAGE(OFFSET($H$3,0,0,'Données projet'!$E$16+1,1))</f>
        <v>337.15023592377008</v>
      </c>
      <c r="FK26" s="59">
        <f t="shared" si="48"/>
        <v>286.60608582587099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4.0942857142857143</v>
      </c>
      <c r="FZ26" s="12">
        <f>IF('Données projet'!$A$244&gt;35,FZ25+FY26-GH25,IF(A26&lt;'Données projet'!$A$244,$FW$205^A26,IF(A26='Données projet'!$A$244,'Données projet'!$B$244,FZ25+FY26-GH25)))</f>
        <v>94.168571428571482</v>
      </c>
      <c r="GA26" s="17">
        <f>FZ26*VLOOKUP('Données projet'!$B$17,Paramètres!$A$1:$I$89,3,0)*VLOOKUP('Données projet'!$B$17,Paramètres!$A$1:$I$89,5,0)</f>
        <v>85.203723428571479</v>
      </c>
      <c r="GB26" s="13">
        <f t="shared" si="49"/>
        <v>23.404817596574706</v>
      </c>
      <c r="GC26" s="20">
        <f t="shared" si="25"/>
        <v>189.15987561879626</v>
      </c>
      <c r="GD26" s="59">
        <f t="shared" si="26"/>
        <v>473.93765339657404</v>
      </c>
      <c r="GE26" s="59">
        <f ca="1">AVERAGE(OFFSET($GD$3,0,0,'Données projet'!$E$17+1,1))-AVERAGE(OFFSET($H$3,0,0,'Données projet'!$E$17+1,1))</f>
        <v>486.55344536255876</v>
      </c>
      <c r="GF26" s="59">
        <f t="shared" si="50"/>
        <v>231.14794884432229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297.42980941799317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8.2014285714285702</v>
      </c>
      <c r="N27" s="13">
        <f>IF('Données projet'!$A$36&gt;35,N26+M27-V26,IF(A27&lt;'Données projet'!$A$36,$K$205^A27,IF(A27='Données projet'!$A$36,'Données projet'!$B$36,N26+M27-V26)))</f>
        <v>196.83428571428573</v>
      </c>
      <c r="O27" s="13">
        <f>N27*VLOOKUP('Données projet'!$B$9,Paramètres!$A$1:$I$89,3,0)*VLOOKUP('Données projet'!$B$9,Paramètres!$A$1:$I$89,5,0)</f>
        <v>92.118445714285713</v>
      </c>
      <c r="P27" s="13">
        <f t="shared" si="33"/>
        <v>25.075449222634699</v>
      </c>
      <c r="Q27" s="20">
        <f t="shared" si="2"/>
        <v>204.1127003484697</v>
      </c>
      <c r="R27" s="59">
        <f t="shared" si="0"/>
        <v>490.11270034846973</v>
      </c>
      <c r="S27" s="59">
        <f ca="1">AVERAGE(OFFSET($R$3,0,0,'Données projet'!$E$9+1,1))-AVERAGE(OFFSET($H$3,0,0,'Données projet'!$E$9+1,1))</f>
        <v>252.08270526008477</v>
      </c>
      <c r="T27" s="59">
        <f t="shared" si="34"/>
        <v>239.77811108960179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18.678333333333331</v>
      </c>
      <c r="AI27" s="13">
        <f>IF('Données projet'!$A$62&gt;35,AI26+AH27-AQ26,IF(A27&lt;'Données projet'!$A$62,$AF$205^A27,IF(A27='Données projet'!$A$62,'Données projet'!$B$62,AI26+AH27-AQ26)))</f>
        <v>149.51833333333329</v>
      </c>
      <c r="AJ27" s="13">
        <f>AI27*VLOOKUP('Données projet'!$B$10,Paramètres!$A$1:$I$89,3,0)*VLOOKUP('Données projet'!$B$10,Paramètres!$A$1:$I$89,5,0)</f>
        <v>89.411963333333304</v>
      </c>
      <c r="AK27" s="13">
        <f t="shared" si="35"/>
        <v>24.423350649115033</v>
      </c>
      <c r="AL27" s="20">
        <f t="shared" si="4"/>
        <v>198.2631718527642</v>
      </c>
      <c r="AM27" s="59">
        <f t="shared" si="5"/>
        <v>484.26317185276423</v>
      </c>
      <c r="AN27" s="59">
        <f ca="1">AVERAGE(OFFSET($AM$3,0,0,'Données projet'!$E$10+1,1))-AVERAGE(OFFSET($H$3,0,0,'Données projet'!$E$10+1,1))</f>
        <v>251.64326096359997</v>
      </c>
      <c r="AO27" s="59">
        <f t="shared" si="36"/>
        <v>256.72142151189894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5.1070592826240464</v>
      </c>
      <c r="AV27" s="21">
        <f>EXP(-LN(2)/25)*AV26+(1-EXP(-LN(2)/25))/(LN(2)/25)*Calculateur!AQ27*Calculateur!AS27*VLOOKUP('Données projet'!$B$10,Paramètres!$A$1:$I$89,3,0)*0.475*44/12</f>
        <v>13.498996020980069</v>
      </c>
      <c r="AW27" s="21">
        <f>EXP(-LN(2)/2)*AW26+(1-EXP(-LN(2)/2))/(LN(2)/2)*AQ27*AT27*VLOOKUP('Données projet'!$B$10,Paramètres!$A$1:$I$89,3,0)*0.475*44/12</f>
        <v>11.851498133910756</v>
      </c>
      <c r="AX27" s="21">
        <f t="shared" si="6"/>
        <v>30.457553437514871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</v>
      </c>
      <c r="BD27" s="12">
        <f>IF('Données projet'!$A$88&gt;35,BD26+BC27-BL26,IF(A27&lt;'Données projet'!$A$88,$BA$205^A27,IF(A27='Données projet'!$A$88,'Données projet'!$B$88,BD26+BC27-BL26)))</f>
        <v>123</v>
      </c>
      <c r="BE27" s="13">
        <f>BD27*VLOOKUP('Données projet'!$B$11,Paramètres!$A$1:$I$89,3,0)*VLOOKUP('Données projet'!$B$11,Paramètres!$A$1:$I$89,5,0)</f>
        <v>111.29039999999999</v>
      </c>
      <c r="BF27" s="13">
        <f t="shared" si="37"/>
        <v>29.634806205918245</v>
      </c>
      <c r="BG27" s="20">
        <f t="shared" si="7"/>
        <v>245.44473414197429</v>
      </c>
      <c r="BH27" s="59">
        <f t="shared" si="8"/>
        <v>531.44473414197432</v>
      </c>
      <c r="BI27" s="59">
        <f ca="1">AVERAGE(OFFSET($BH$3,0,0,'Données projet'!$E$11+1,1))-AVERAGE(OFFSET($H$3,0,0,'Données projet'!$E$11+1,1))</f>
        <v>199.29783428981898</v>
      </c>
      <c r="BJ27" s="59">
        <f t="shared" si="38"/>
        <v>237.32002274562547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11.147716660575428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11.147716660575428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4.016578947368421</v>
      </c>
      <c r="BY27" s="12">
        <f>IF('Données projet'!$A$114&gt;35,BY26+BX27-CG26,IF(A27&lt;'Données projet'!$A$114,$BV$205^A27,IF(A27='Données projet'!$A$114,'Données projet'!$B$114,BY26+BX27-CG26)))</f>
        <v>96.397894736842076</v>
      </c>
      <c r="BZ27" s="13">
        <f>BY27*VLOOKUP('Données projet'!$B$12,Paramètres!$A$1:$I$89,3,0)*VLOOKUP('Données projet'!$B$12,Paramètres!$A$1:$I$89,5,0)</f>
        <v>81.20558652631577</v>
      </c>
      <c r="CA27" s="13">
        <f t="shared" si="39"/>
        <v>22.431699206112899</v>
      </c>
      <c r="CB27" s="20">
        <f t="shared" si="10"/>
        <v>180.50160598397994</v>
      </c>
      <c r="CC27" s="59">
        <f t="shared" si="11"/>
        <v>466.50160598397997</v>
      </c>
      <c r="CD27" s="59">
        <f ca="1">AVERAGE(OFFSET($CC$3,0,0,'Données projet'!$E$12+1,1))-AVERAGE(OFFSET($H$3,0,0,'Données projet'!$E$12+1,1))</f>
        <v>295.59075210589327</v>
      </c>
      <c r="CE27" s="59">
        <f t="shared" si="40"/>
        <v>210.41181542059576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22.8</v>
      </c>
      <c r="CT27" s="12">
        <f>IF('Données projet'!$A$140&gt;35,CT26+CS27-DB26,IF(A27&lt;'Données projet'!$A$140,$CQ$205^A27,IF(A27='Données projet'!$A$140,'Données projet'!$B$140,CT26+CS27-DB26)))</f>
        <v>220.20000000000005</v>
      </c>
      <c r="CU27" s="17">
        <f>CT27*VLOOKUP('Données projet'!$B$13,Paramètres!$A$1:$I$89,3,0)*VLOOKUP('Données projet'!$B$13,Paramètres!$A$1:$I$89,5,0)</f>
        <v>100.19100000000002</v>
      </c>
      <c r="CV27" s="13">
        <f t="shared" si="41"/>
        <v>27.007495609899618</v>
      </c>
      <c r="CW27" s="20">
        <f t="shared" si="13"/>
        <v>221.53737985390853</v>
      </c>
      <c r="CX27" s="59">
        <f t="shared" si="14"/>
        <v>507.53737985390853</v>
      </c>
      <c r="CY27" s="59">
        <f ca="1">AVERAGE(OFFSET($CX$3,0,0,'Données projet'!$E$13+1,1))-AVERAGE(OFFSET($H$3,0,0,'Données projet'!$E$13+1,1))</f>
        <v>338.22448697444298</v>
      </c>
      <c r="CZ27" s="59">
        <f t="shared" si="42"/>
        <v>293.3872365640849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0.38336196948208617</v>
      </c>
      <c r="DG27" s="21">
        <f>EXP(-LN(2)/25)*DG26+(1-EXP(-LN(2)/25))/(LN(2)/25)*Calculateur!DB27*Calculateur!DD27*VLOOKUP('Données projet'!$B$13,Paramètres!$A$1:$I$89,3,0)*0.475*44/12</f>
        <v>0.54751498955350075</v>
      </c>
      <c r="DH27" s="21">
        <f>EXP(-LN(2)/2)*DH26+(1-EXP(-LN(2)/2))/(LN(2)/2)*DB27*DE27*VLOOKUP('Données projet'!$B$13,Paramètres!$A$1:$I$89,3,0)*0.475*44/12</f>
        <v>0.24470370530290747</v>
      </c>
      <c r="DI27" s="22">
        <f t="shared" si="15"/>
        <v>1.1755806643384945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21.61428571428571</v>
      </c>
      <c r="DO27" s="12">
        <f>IF('Données projet'!$A$166&gt;35,DO26+DN27-DW26,IF(A27&lt;'Données projet'!$A$166,$DL$205^A27,IF(A27='Données projet'!$A$166,'Données projet'!$B$166,DO26+DN27-DW26)))</f>
        <v>195.55285714285711</v>
      </c>
      <c r="DP27" s="17">
        <f>DO27*VLOOKUP('Données projet'!$B$14,Paramètres!$A$1:$I$89,3,0)*VLOOKUP('Données projet'!$B$14,Paramètres!$A$1:$I$89,5,0)</f>
        <v>109.31404714285712</v>
      </c>
      <c r="DQ27" s="13">
        <f t="shared" si="43"/>
        <v>29.169309937147133</v>
      </c>
      <c r="DR27" s="20">
        <f t="shared" si="16"/>
        <v>241.19184691434074</v>
      </c>
      <c r="DS27" s="59">
        <f t="shared" si="17"/>
        <v>527.19184691434077</v>
      </c>
      <c r="DT27" s="59">
        <f ca="1">AVERAGE(OFFSET($DS$3,0,0,'Données projet'!$E$14+1,1))-AVERAGE(OFFSET($H$3,0,0,'Données projet'!$E$14+1,1))</f>
        <v>328.15217666639006</v>
      </c>
      <c r="DU27" s="59">
        <f t="shared" si="44"/>
        <v>305.59175773326308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6.2068722873208797</v>
      </c>
      <c r="EB27" s="21">
        <f>EXP(-LN(2)/25)*EB26+(1-EXP(-LN(2)/25))/(LN(2)/25)*Calculateur!DW27*Calculateur!DY27*VLOOKUP('Données projet'!$B$14,Paramètres!$A$1:$I$89,3,0)*0.475*44/12</f>
        <v>8.9351148305278478</v>
      </c>
      <c r="EC27" s="21">
        <f>EXP(-LN(2)/2)*EC26+(1-EXP(-LN(2)/2))/(LN(2)/2)*DW27*DZ27*VLOOKUP('Données projet'!$B$14,Paramètres!$A$1:$I$89,3,0)*0.475*44/12</f>
        <v>5.4931121795033535</v>
      </c>
      <c r="ED27" s="22">
        <f t="shared" si="18"/>
        <v>20.635099297352081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</v>
      </c>
      <c r="EJ27" s="12">
        <f>IF('Données projet'!$A$192&gt;35,EJ26+EI27-ER26,IF(A27&lt;'Données projet'!$A$192,$EG$205^A27,IF(A27='Données projet'!$A$192,'Données projet'!$B$192,EJ26+EI27-ER26)))</f>
        <v>123</v>
      </c>
      <c r="EK27" s="17">
        <f>EJ27*VLOOKUP('Données projet'!$B$15,Paramètres!$A$1:$I$89,3,0)*VLOOKUP('Données projet'!$B$15,Paramètres!$A$1:$I$89,5,0)</f>
        <v>90.183599999999998</v>
      </c>
      <c r="EL27" s="13">
        <f t="shared" si="45"/>
        <v>24.609499639553789</v>
      </c>
      <c r="EM27" s="20">
        <f t="shared" si="19"/>
        <v>199.93131520555619</v>
      </c>
      <c r="EN27" s="59">
        <f t="shared" si="20"/>
        <v>485.93131520555619</v>
      </c>
      <c r="EO27" s="59">
        <f ca="1">AVERAGE(OFFSET($EN$3,0,0,'Données projet'!$E$15+1,1))-AVERAGE(OFFSET($H$3,0,0,'Données projet'!$E$15+1,1))</f>
        <v>159.78276497127206</v>
      </c>
      <c r="EP27" s="59">
        <f t="shared" si="46"/>
        <v>190.72163407919857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12.94800883392123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12.94800883392123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5.3214035087719296</v>
      </c>
      <c r="FE27" s="12">
        <f>IF('Données projet'!$A$218&gt;35,FE26+FD27-FM26,IF(A27&lt;'Données projet'!$A$218,$FB$205^A27,IF(A27='Données projet'!$A$218,'Données projet'!$B$218,FE26+FD27-FM26)))</f>
        <v>127.7136842105264</v>
      </c>
      <c r="FF27" s="17">
        <f>FE27*VLOOKUP('Données projet'!$B$16,Paramètres!$A$1:$I$89,3,0)*VLOOKUP('Données projet'!$B$16,Paramètres!$A$1:$I$89,5,0)</f>
        <v>109.57834105263166</v>
      </c>
      <c r="FG27" s="13">
        <f t="shared" si="47"/>
        <v>29.231616240342873</v>
      </c>
      <c r="FH27" s="20">
        <f t="shared" si="22"/>
        <v>241.76067561859728</v>
      </c>
      <c r="FI27" s="59">
        <f t="shared" si="23"/>
        <v>527.76067561859725</v>
      </c>
      <c r="FJ27" s="59">
        <f ca="1">AVERAGE(OFFSET($FI$3,0,0,'Données projet'!$E$16+1,1))-AVERAGE(OFFSET($H$3,0,0,'Données projet'!$E$16+1,1))</f>
        <v>337.15023592377008</v>
      </c>
      <c r="FK27" s="59">
        <f t="shared" si="48"/>
        <v>286.60608582587099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4.0942857142857143</v>
      </c>
      <c r="FZ27" s="12">
        <f>IF('Données projet'!$A$244&gt;35,FZ26+FY27-GH26,IF(A27&lt;'Données projet'!$A$244,$FW$205^A27,IF(A27='Données projet'!$A$244,'Données projet'!$B$244,FZ26+FY27-GH26)))</f>
        <v>98.2628571428572</v>
      </c>
      <c r="GA27" s="17">
        <f>FZ27*VLOOKUP('Données projet'!$B$17,Paramètres!$A$1:$I$89,3,0)*VLOOKUP('Données projet'!$B$17,Paramètres!$A$1:$I$89,5,0)</f>
        <v>88.908233142857185</v>
      </c>
      <c r="GB27" s="13">
        <f t="shared" si="49"/>
        <v>24.301730375247274</v>
      </c>
      <c r="GC27" s="20">
        <f t="shared" si="25"/>
        <v>197.17401979403192</v>
      </c>
      <c r="GD27" s="59">
        <f t="shared" si="26"/>
        <v>483.17401979403189</v>
      </c>
      <c r="GE27" s="59">
        <f ca="1">AVERAGE(OFFSET($GD$3,0,0,'Données projet'!$E$17+1,1))-AVERAGE(OFFSET($H$3,0,0,'Données projet'!$E$17+1,1))</f>
        <v>486.55344536255876</v>
      </c>
      <c r="GF27" s="59">
        <f t="shared" si="50"/>
        <v>231.14794884432229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299.07832468960515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8.2014285714285702</v>
      </c>
      <c r="N28" s="13">
        <f>IF('Données projet'!$A$36&gt;35,N27+M28-V27,IF(A28&lt;'Données projet'!$A$36,$K$205^A28,IF(A28='Données projet'!$A$36,'Données projet'!$B$36,N27+M28-V27)))</f>
        <v>205.03571428571431</v>
      </c>
      <c r="O28" s="13">
        <f>N28*VLOOKUP('Données projet'!$B$9,Paramètres!$A$1:$I$89,3,0)*VLOOKUP('Données projet'!$B$9,Paramètres!$A$1:$I$89,5,0)</f>
        <v>95.956714285714284</v>
      </c>
      <c r="P28" s="13">
        <f t="shared" si="33"/>
        <v>25.996438898681408</v>
      </c>
      <c r="Q28" s="20">
        <f t="shared" si="2"/>
        <v>212.40174179615579</v>
      </c>
      <c r="R28" s="59">
        <f t="shared" si="0"/>
        <v>499.62396401837805</v>
      </c>
      <c r="S28" s="59">
        <f ca="1">AVERAGE(OFFSET($R$3,0,0,'Données projet'!$E$9+1,1))-AVERAGE(OFFSET($H$3,0,0,'Données projet'!$E$9+1,1))</f>
        <v>252.08270526008477</v>
      </c>
      <c r="T28" s="59">
        <f t="shared" si="34"/>
        <v>239.77811108960179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18.678333333333331</v>
      </c>
      <c r="AI28" s="13">
        <f>IF('Données projet'!$A$62&gt;35,AI27+AH28-AQ27,IF(A28&lt;'Données projet'!$A$62,$AF$205^A28,IF(A28='Données projet'!$A$62,'Données projet'!$B$62,AI27+AH28-AQ27)))</f>
        <v>168.19666666666663</v>
      </c>
      <c r="AJ28" s="13">
        <f>AI28*VLOOKUP('Données projet'!$B$10,Paramètres!$A$1:$I$89,3,0)*VLOOKUP('Données projet'!$B$10,Paramètres!$A$1:$I$89,5,0)</f>
        <v>100.58160666666666</v>
      </c>
      <c r="AK28" s="13">
        <f t="shared" si="35"/>
        <v>27.100510515925464</v>
      </c>
      <c r="AL28" s="20">
        <f t="shared" si="4"/>
        <v>222.37968742634794</v>
      </c>
      <c r="AM28" s="59">
        <f t="shared" si="5"/>
        <v>509.6019096485702</v>
      </c>
      <c r="AN28" s="59">
        <f ca="1">AVERAGE(OFFSET($AM$3,0,0,'Données projet'!$E$10+1,1))-AVERAGE(OFFSET($H$3,0,0,'Données projet'!$E$10+1,1))</f>
        <v>251.64326096359997</v>
      </c>
      <c r="AO28" s="59">
        <f t="shared" si="36"/>
        <v>256.72142151189894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5.006912965090371</v>
      </c>
      <c r="AV28" s="21">
        <f>EXP(-LN(2)/25)*AV27+(1-EXP(-LN(2)/25))/(LN(2)/25)*Calculateur!AQ28*Calculateur!AS28*VLOOKUP('Données projet'!$B$10,Paramètres!$A$1:$I$89,3,0)*0.475*44/12</f>
        <v>13.129865264905021</v>
      </c>
      <c r="AW28" s="21">
        <f>EXP(-LN(2)/2)*AW27+(1-EXP(-LN(2)/2))/(LN(2)/2)*AQ28*AT28*VLOOKUP('Données projet'!$B$10,Paramètres!$A$1:$I$89,3,0)*0.475*44/12</f>
        <v>8.3802746977080105</v>
      </c>
      <c r="AX28" s="21">
        <f t="shared" si="6"/>
        <v>26.517052927703403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131</v>
      </c>
      <c r="BB28" s="12">
        <f>VLOOKUP(A28,'Données projet'!$A$87:$I$107,9,0)</f>
        <v>8</v>
      </c>
      <c r="BC28" s="12">
        <f t="array" ref="BC28">INDEX(BB:BB,MIN(IF(ISNUMBER(BB28:BB224),ROW(BB28:BB224),"")))</f>
        <v>8</v>
      </c>
      <c r="BD28" s="12">
        <f>IF('Données projet'!$A$88&gt;35,BD27+BC28-BL27,IF(A28&lt;'Données projet'!$A$88,$BA$205^A28,IF(A28='Données projet'!$A$88,'Données projet'!$B$88,BD27+BC28-BL27)))</f>
        <v>131</v>
      </c>
      <c r="BE28" s="13">
        <f>BD28*VLOOKUP('Données projet'!$B$11,Paramètres!$A$1:$I$89,3,0)*VLOOKUP('Données projet'!$B$11,Paramètres!$A$1:$I$89,5,0)</f>
        <v>118.52879999999999</v>
      </c>
      <c r="BF28" s="13">
        <f t="shared" si="37"/>
        <v>31.33162009308975</v>
      </c>
      <c r="BG28" s="20">
        <f t="shared" si="7"/>
        <v>261.00689832879794</v>
      </c>
      <c r="BH28" s="59">
        <f t="shared" si="8"/>
        <v>548.22912055102017</v>
      </c>
      <c r="BI28" s="59">
        <f ca="1">AVERAGE(OFFSET($BH$3,0,0,'Données projet'!$E$11+1,1))-AVERAGE(OFFSET($H$3,0,0,'Données projet'!$E$11+1,1))</f>
        <v>199.29783428981898</v>
      </c>
      <c r="BJ28" s="59">
        <f t="shared" si="38"/>
        <v>237.32002274562547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41</v>
      </c>
      <c r="BM28" s="16">
        <f>IF(ISNA(VLOOKUP(A28,'Données projet'!$A$87:$I$107,5,0)),0%,VLOOKUP(A28,'Données projet'!$A$87:$I$107,5,0)*VLOOKUP('Données projet'!$B$11,Paramètres!$A$1:$I$89,7,0))</f>
        <v>0.03</v>
      </c>
      <c r="BN28" s="16">
        <f>IF(ISNA(VLOOKUP(A28,'Données projet'!$A$87:$I$107,6,0)),0%,VLOOKUP(A28,'Données projet'!$A$87:$I$107,6,0)*VLOOKUP('Données projet'!$B$11,Paramètres!$A$1:$I$89,7,0))</f>
        <v>0.15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1.2302824072637384</v>
      </c>
      <c r="BQ28" s="21">
        <f>EXP(-LN(2)/25)*BQ27+(1-EXP(-LN(2)/25))/(LN(2)/25)*Calculateur!BL28*Calculateur!BN28*VLOOKUP('Données projet'!$B$11,Paramètres!$A$1:$I$89,3,0)*0.475*44/12</f>
        <v>16.970073345519015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18.200355752782755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4.016578947368421</v>
      </c>
      <c r="BY28" s="12">
        <f>IF('Données projet'!$A$114&gt;35,BY27+BX28-CG27,IF(A28&lt;'Données projet'!$A$114,$BV$205^A28,IF(A28='Données projet'!$A$114,'Données projet'!$B$114,BY27+BX28-CG27)))</f>
        <v>100.41447368421049</v>
      </c>
      <c r="BZ28" s="13">
        <f>BY28*VLOOKUP('Données projet'!$B$12,Paramètres!$A$1:$I$89,3,0)*VLOOKUP('Données projet'!$B$12,Paramètres!$A$1:$I$89,5,0)</f>
        <v>84.589152631578926</v>
      </c>
      <c r="CA28" s="13">
        <f t="shared" si="39"/>
        <v>23.255587272946293</v>
      </c>
      <c r="CB28" s="20">
        <f t="shared" si="10"/>
        <v>187.82958866704811</v>
      </c>
      <c r="CC28" s="59">
        <f t="shared" si="11"/>
        <v>475.05181088927031</v>
      </c>
      <c r="CD28" s="59">
        <f ca="1">AVERAGE(OFFSET($CC$3,0,0,'Données projet'!$E$12+1,1))-AVERAGE(OFFSET($H$3,0,0,'Données projet'!$E$12+1,1))</f>
        <v>295.59075210589327</v>
      </c>
      <c r="CE28" s="59">
        <f t="shared" si="40"/>
        <v>210.41181542059576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243</v>
      </c>
      <c r="CR28" s="12">
        <f>VLOOKUP(A28,'Données projet'!$A$139:$I$159,9,0)</f>
        <v>22.8</v>
      </c>
      <c r="CS28" s="12">
        <f t="array" ref="CS28">INDEX(CR:CR,MIN(IF(ISNUMBER(CR28:CR224),ROW(CR28:CR224),"")))</f>
        <v>22.8</v>
      </c>
      <c r="CT28" s="12">
        <f>IF('Données projet'!$A$140&gt;35,CT27+CS28-DB27,IF(A28&lt;'Données projet'!$A$140,$CQ$205^A28,IF(A28='Données projet'!$A$140,'Données projet'!$B$140,CT27+CS28-DB27)))</f>
        <v>243.00000000000006</v>
      </c>
      <c r="CU28" s="17">
        <f>CT28*VLOOKUP('Données projet'!$B$13,Paramètres!$A$1:$I$89,3,0)*VLOOKUP('Données projet'!$B$13,Paramètres!$A$1:$I$89,5,0)</f>
        <v>110.56500000000001</v>
      </c>
      <c r="CV28" s="13">
        <f t="shared" si="41"/>
        <v>29.464063261320366</v>
      </c>
      <c r="CW28" s="20">
        <f t="shared" si="13"/>
        <v>243.88395184679962</v>
      </c>
      <c r="CX28" s="59">
        <f t="shared" si="14"/>
        <v>531.10617406902179</v>
      </c>
      <c r="CY28" s="59">
        <f ca="1">AVERAGE(OFFSET($CX$3,0,0,'Données projet'!$E$13+1,1))-AVERAGE(OFFSET($H$3,0,0,'Données projet'!$E$13+1,1))</f>
        <v>338.22448697444298</v>
      </c>
      <c r="CZ28" s="59">
        <f t="shared" si="42"/>
        <v>293.3872365640849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63</v>
      </c>
      <c r="DC28" s="16">
        <f>IF(ISNA(VLOOKUP(A28,'Données projet'!$A$139:$I$159,5,0)),0%,VLOOKUP(A28,'Données projet'!$A$139:$I$159,5,0)*VLOOKUP('Données projet'!$B$13,Paramètres!$A$1:$I$89,7,0))</f>
        <v>0.13750000000000001</v>
      </c>
      <c r="DD28" s="16">
        <f>IF(ISNA(VLOOKUP(A28,'Données projet'!$A$139:$I$159,6,0)),0%,VLOOKUP(A28,'Données projet'!$A$139:$I$159,6,0)*VLOOKUP('Données projet'!$B$13,Paramètres!$A$1:$I$89,7,0))</f>
        <v>0.20350000000000001</v>
      </c>
      <c r="DE28" s="16">
        <f>IF(ISNA(VLOOKUP(A28,'Données projet'!$A$139:$I$159,7,0)),0%,VLOOKUP(A28,'Données projet'!$A$139:$I$159,7,0))</f>
        <v>0.38</v>
      </c>
      <c r="DF28" s="21">
        <f>EXP(-LN(2)/35)*DF27+(1-EXP(-LN(2)/35))/(LN(2)/35)*DB28*DC28*VLOOKUP('Données projet'!$B$13,Paramètres!$A$1:$I$89,3,0)*0.475*44/12</f>
        <v>5.6044153659247389</v>
      </c>
      <c r="DG28" s="21">
        <f>EXP(-LN(2)/25)*DG27+(1-EXP(-LN(2)/25))/(LN(2)/25)*Calculateur!DB28*Calculateur!DD28*VLOOKUP('Données projet'!$B$13,Paramètres!$A$1:$I$89,3,0)*0.475*44/12</f>
        <v>8.240359505567989</v>
      </c>
      <c r="DH28" s="21">
        <f>EXP(-LN(2)/2)*DH27+(1-EXP(-LN(2)/2))/(LN(2)/2)*DB28*DE28*VLOOKUP('Données projet'!$B$13,Paramètres!$A$1:$I$89,3,0)*0.475*44/12</f>
        <v>12.506098396667694</v>
      </c>
      <c r="DI28" s="22">
        <f t="shared" si="15"/>
        <v>26.35087326816042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21.61428571428571</v>
      </c>
      <c r="DO28" s="12">
        <f>IF('Données projet'!$A$166&gt;35,DO27+DN28-DW27,IF(A28&lt;'Données projet'!$A$166,$DL$205^A28,IF(A28='Données projet'!$A$166,'Données projet'!$B$166,DO27+DN28-DW27)))</f>
        <v>217.16714285714281</v>
      </c>
      <c r="DP28" s="17">
        <f>DO28*VLOOKUP('Données projet'!$B$14,Paramètres!$A$1:$I$89,3,0)*VLOOKUP('Données projet'!$B$14,Paramètres!$A$1:$I$89,5,0)</f>
        <v>121.39643285714283</v>
      </c>
      <c r="DQ28" s="13">
        <f t="shared" si="43"/>
        <v>32.00047469196349</v>
      </c>
      <c r="DR28" s="20">
        <f t="shared" si="16"/>
        <v>267.16628064802683</v>
      </c>
      <c r="DS28" s="59">
        <f t="shared" si="17"/>
        <v>554.38850287024911</v>
      </c>
      <c r="DT28" s="59">
        <f ca="1">AVERAGE(OFFSET($DS$3,0,0,'Données projet'!$E$14+1,1))-AVERAGE(OFFSET($H$3,0,0,'Données projet'!$E$14+1,1))</f>
        <v>328.15217666639006</v>
      </c>
      <c r="DU28" s="59">
        <f t="shared" si="44"/>
        <v>305.59175773326308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6.0851593075847941</v>
      </c>
      <c r="EB28" s="21">
        <f>EXP(-LN(2)/25)*EB27+(1-EXP(-LN(2)/25))/(LN(2)/25)*Calculateur!DW28*Calculateur!DY28*VLOOKUP('Données projet'!$B$14,Paramètres!$A$1:$I$89,3,0)*0.475*44/12</f>
        <v>8.6907836456097964</v>
      </c>
      <c r="EC28" s="21">
        <f>EXP(-LN(2)/2)*EC27+(1-EXP(-LN(2)/2))/(LN(2)/2)*DW28*DZ28*VLOOKUP('Données projet'!$B$14,Paramètres!$A$1:$I$89,3,0)*0.475*44/12</f>
        <v>3.8842168719452372</v>
      </c>
      <c r="ED28" s="22">
        <f t="shared" si="18"/>
        <v>18.660159825139829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131</v>
      </c>
      <c r="EH28" s="12">
        <f>VLOOKUP(A28,'Données projet'!$A$191:$I$211,9,0)</f>
        <v>8</v>
      </c>
      <c r="EI28" s="12">
        <f t="array" ref="EI28">INDEX(EH:EH,MIN(IF(ISNUMBER(EH28:EH224),ROW(EH28:EH224),"")))</f>
        <v>8</v>
      </c>
      <c r="EJ28" s="12">
        <f>IF('Données projet'!$A$192&gt;35,EJ27+EI28-ER27,IF(A28&lt;'Données projet'!$A$192,$EG$205^A28,IF(A28='Données projet'!$A$192,'Données projet'!$B$192,EJ27+EI28-ER27)))</f>
        <v>131</v>
      </c>
      <c r="EK28" s="17">
        <f>EJ28*VLOOKUP('Données projet'!$B$15,Paramètres!$A$1:$I$89,3,0)*VLOOKUP('Données projet'!$B$15,Paramètres!$A$1:$I$89,5,0)</f>
        <v>96.049199999999999</v>
      </c>
      <c r="EL28" s="13">
        <f t="shared" si="45"/>
        <v>26.018577210521599</v>
      </c>
      <c r="EM28" s="20">
        <f t="shared" si="19"/>
        <v>212.60137864165844</v>
      </c>
      <c r="EN28" s="59">
        <f t="shared" si="20"/>
        <v>499.82360086388064</v>
      </c>
      <c r="EO28" s="59">
        <f ca="1">AVERAGE(OFFSET($EN$3,0,0,'Données projet'!$E$15+1,1))-AVERAGE(OFFSET($H$3,0,0,'Données projet'!$E$15+1,1))</f>
        <v>159.78276497127206</v>
      </c>
      <c r="EP28" s="59">
        <f t="shared" si="46"/>
        <v>190.72163407919857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41</v>
      </c>
      <c r="ES28" s="16">
        <f>IF(ISNA(VLOOKUP(A28,'Données projet'!$A$191:$I$211,5,0)),0%,VLOOKUP(A28,'Données projet'!$A$191:$I$211,5,0)*VLOOKUP('Données projet'!$B$15,Paramètres!$A$1:$I$89,7,0))</f>
        <v>4.3000000000000003E-2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1.4289659454482848</v>
      </c>
      <c r="EW28" s="21">
        <f>EXP(-LN(2)/25)*EW27+(1-EXP(-LN(2)/25))/(LN(2)/25)*Calculateur!ER28*Calculateur!ET28*VLOOKUP('Données projet'!$B$15,Paramètres!$A$1:$I$89,3,0)*0.475*44/12</f>
        <v>19.710642661663179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21.139608607111462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5.3214035087719296</v>
      </c>
      <c r="FE28" s="12">
        <f>IF('Données projet'!$A$218&gt;35,FE27+FD28-FM27,IF(A28&lt;'Données projet'!$A$218,$FB$205^A28,IF(A28='Données projet'!$A$218,'Données projet'!$B$218,FE27+FD28-FM27)))</f>
        <v>133.03508771929833</v>
      </c>
      <c r="FF28" s="17">
        <f>FE28*VLOOKUP('Données projet'!$B$16,Paramètres!$A$1:$I$89,3,0)*VLOOKUP('Données projet'!$B$16,Paramètres!$A$1:$I$89,5,0)</f>
        <v>114.14410526315798</v>
      </c>
      <c r="FG28" s="13">
        <f t="shared" si="47"/>
        <v>30.305256697687661</v>
      </c>
      <c r="FH28" s="20">
        <f t="shared" si="22"/>
        <v>251.58263874847276</v>
      </c>
      <c r="FI28" s="59">
        <f t="shared" si="23"/>
        <v>538.80486097069502</v>
      </c>
      <c r="FJ28" s="59">
        <f ca="1">AVERAGE(OFFSET($FI$3,0,0,'Données projet'!$E$16+1,1))-AVERAGE(OFFSET($H$3,0,0,'Données projet'!$E$16+1,1))</f>
        <v>337.15023592377008</v>
      </c>
      <c r="FK28" s="59">
        <f t="shared" si="48"/>
        <v>286.60608582587099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4.0942857142857143</v>
      </c>
      <c r="FZ28" s="12">
        <f>IF('Données projet'!$A$244&gt;35,FZ27+FY28-GH27,IF(A28&lt;'Données projet'!$A$244,$FW$205^A28,IF(A28='Données projet'!$A$244,'Données projet'!$B$244,FZ27+FY28-GH27)))</f>
        <v>102.35714285714292</v>
      </c>
      <c r="GA28" s="17">
        <f>FZ28*VLOOKUP('Données projet'!$B$17,Paramètres!$A$1:$I$89,3,0)*VLOOKUP('Données projet'!$B$17,Paramètres!$A$1:$I$89,5,0)</f>
        <v>92.612742857142905</v>
      </c>
      <c r="GB28" s="13">
        <f t="shared" si="49"/>
        <v>25.194302332262133</v>
      </c>
      <c r="GC28" s="20">
        <f t="shared" si="25"/>
        <v>205.18060370488044</v>
      </c>
      <c r="GD28" s="59">
        <f t="shared" si="26"/>
        <v>492.40282592710264</v>
      </c>
      <c r="GE28" s="59">
        <f ca="1">AVERAGE(OFFSET($GD$3,0,0,'Données projet'!$E$17+1,1))-AVERAGE(OFFSET($H$3,0,0,'Données projet'!$E$17+1,1))</f>
        <v>486.55344536255876</v>
      </c>
      <c r="GF28" s="59">
        <f t="shared" si="50"/>
        <v>231.14794884432229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300.7251136741441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8.2014285714285702</v>
      </c>
      <c r="N29" s="13">
        <f>IF('Données projet'!$A$36&gt;35,N28+M29-V28,IF(A29&lt;'Données projet'!$A$36,$K$205^A29,IF(A29='Données projet'!$A$36,'Données projet'!$B$36,N28+M29-V28)))</f>
        <v>213.23714285714289</v>
      </c>
      <c r="O29" s="13">
        <f>N29*VLOOKUP('Données projet'!$B$9,Paramètres!$A$1:$I$89,3,0)*VLOOKUP('Données projet'!$B$9,Paramètres!$A$1:$I$89,5,0)</f>
        <v>99.794982857142884</v>
      </c>
      <c r="P29" s="13">
        <f t="shared" si="33"/>
        <v>26.913149208844544</v>
      </c>
      <c r="Q29" s="20">
        <f t="shared" si="2"/>
        <v>220.68333001492809</v>
      </c>
      <c r="R29" s="59">
        <f t="shared" si="0"/>
        <v>509.12777445937252</v>
      </c>
      <c r="S29" s="59">
        <f ca="1">AVERAGE(OFFSET($R$3,0,0,'Données projet'!$E$9+1,1))-AVERAGE(OFFSET($H$3,0,0,'Données projet'!$E$9+1,1))</f>
        <v>252.08270526008477</v>
      </c>
      <c r="T29" s="59">
        <f t="shared" si="34"/>
        <v>239.77811108960179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18.678333333333331</v>
      </c>
      <c r="AI29" s="13">
        <f>IF('Données projet'!$A$62&gt;35,AI28+AH29-AQ28,IF(A29&lt;'Données projet'!$A$62,$AF$205^A29,IF(A29='Données projet'!$A$62,'Données projet'!$B$62,AI28+AH29-AQ28)))</f>
        <v>186.87499999999997</v>
      </c>
      <c r="AJ29" s="13">
        <f>AI29*VLOOKUP('Données projet'!$B$10,Paramètres!$A$1:$I$89,3,0)*VLOOKUP('Données projet'!$B$10,Paramètres!$A$1:$I$89,5,0)</f>
        <v>111.75125</v>
      </c>
      <c r="AK29" s="13">
        <f t="shared" si="35"/>
        <v>29.743212667393731</v>
      </c>
      <c r="AL29" s="20">
        <f t="shared" si="4"/>
        <v>246.4361891457107</v>
      </c>
      <c r="AM29" s="59">
        <f t="shared" si="5"/>
        <v>534.88063359015518</v>
      </c>
      <c r="AN29" s="59">
        <f ca="1">AVERAGE(OFFSET($AM$3,0,0,'Données projet'!$E$10+1,1))-AVERAGE(OFFSET($H$3,0,0,'Données projet'!$E$10+1,1))</f>
        <v>251.64326096359997</v>
      </c>
      <c r="AO29" s="59">
        <f t="shared" si="36"/>
        <v>256.72142151189894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4.908730455760308</v>
      </c>
      <c r="AV29" s="21">
        <f>EXP(-LN(2)/25)*AV28+(1-EXP(-LN(2)/25))/(LN(2)/25)*Calculateur!AQ29*Calculateur!AS29*VLOOKUP('Données projet'!$B$10,Paramètres!$A$1:$I$89,3,0)*0.475*44/12</f>
        <v>12.770828408766588</v>
      </c>
      <c r="AW29" s="21">
        <f>EXP(-LN(2)/2)*AW28+(1-EXP(-LN(2)/2))/(LN(2)/2)*AQ29*AT29*VLOOKUP('Données projet'!$B$10,Paramètres!$A$1:$I$89,3,0)*0.475*44/12</f>
        <v>5.9257490669553796</v>
      </c>
      <c r="AX29" s="21">
        <f t="shared" si="6"/>
        <v>23.605307931482276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7.2</v>
      </c>
      <c r="BD29" s="12">
        <f>IF('Données projet'!$A$88&gt;35,BD28+BC29-BL28,IF(A29&lt;'Données projet'!$A$88,$BA$205^A29,IF(A29='Données projet'!$A$88,'Données projet'!$B$88,BD28+BC29-BL28)))</f>
        <v>97.199999999999989</v>
      </c>
      <c r="BE29" s="13">
        <f>BD29*VLOOKUP('Données projet'!$B$11,Paramètres!$A$1:$I$89,3,0)*VLOOKUP('Données projet'!$B$11,Paramètres!$A$1:$I$89,5,0)</f>
        <v>87.946559999999991</v>
      </c>
      <c r="BF29" s="13">
        <f t="shared" si="37"/>
        <v>24.06932143542004</v>
      </c>
      <c r="BG29" s="20">
        <f t="shared" si="7"/>
        <v>195.09432683335652</v>
      </c>
      <c r="BH29" s="59">
        <f t="shared" si="8"/>
        <v>483.53877127780095</v>
      </c>
      <c r="BI29" s="59">
        <f ca="1">AVERAGE(OFFSET($BH$3,0,0,'Données projet'!$E$11+1,1))-AVERAGE(OFFSET($H$3,0,0,'Données projet'!$E$11+1,1))</f>
        <v>199.29783428981898</v>
      </c>
      <c r="BJ29" s="59">
        <f t="shared" si="38"/>
        <v>237.32002274562547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1.2061573196554694</v>
      </c>
      <c r="BQ29" s="21">
        <f>EXP(-LN(2)/25)*BQ28+(1-EXP(-LN(2)/25))/(LN(2)/25)*Calculateur!BL29*Calculateur!BN29*VLOOKUP('Données projet'!$B$11,Paramètres!$A$1:$I$89,3,0)*0.475*44/12</f>
        <v>16.506025797468425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17.712183117123892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4.016578947368421</v>
      </c>
      <c r="BY29" s="12">
        <f>IF('Données projet'!$A$114&gt;35,BY28+BX29-CG28,IF(A29&lt;'Données projet'!$A$114,$BV$205^A29,IF(A29='Données projet'!$A$114,'Données projet'!$B$114,BY28+BX29-CG28)))</f>
        <v>104.43105263157891</v>
      </c>
      <c r="BZ29" s="13">
        <f>BY29*VLOOKUP('Données projet'!$B$12,Paramètres!$A$1:$I$89,3,0)*VLOOKUP('Données projet'!$B$12,Paramètres!$A$1:$I$89,5,0)</f>
        <v>87.972718736842083</v>
      </c>
      <c r="CA29" s="13">
        <f t="shared" si="39"/>
        <v>24.075647155190005</v>
      </c>
      <c r="CB29" s="20">
        <f t="shared" si="10"/>
        <v>195.15090392862251</v>
      </c>
      <c r="CC29" s="59">
        <f t="shared" si="11"/>
        <v>483.59534837306694</v>
      </c>
      <c r="CD29" s="59">
        <f ca="1">AVERAGE(OFFSET($CC$3,0,0,'Données projet'!$E$12+1,1))-AVERAGE(OFFSET($H$3,0,0,'Données projet'!$E$12+1,1))</f>
        <v>295.59075210589327</v>
      </c>
      <c r="CE29" s="59">
        <f t="shared" si="40"/>
        <v>210.41181542059576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25.6</v>
      </c>
      <c r="CT29" s="12">
        <f>IF('Données projet'!$A$140&gt;35,CT28+CS29-DB28,IF(A29&lt;'Données projet'!$A$140,$CQ$205^A29,IF(A29='Données projet'!$A$140,'Données projet'!$B$140,CT28+CS29-DB28)))</f>
        <v>205.60000000000008</v>
      </c>
      <c r="CU29" s="17">
        <f>CT29*VLOOKUP('Données projet'!$B$13,Paramètres!$A$1:$I$89,3,0)*VLOOKUP('Données projet'!$B$13,Paramètres!$A$1:$I$89,5,0)</f>
        <v>93.54800000000003</v>
      </c>
      <c r="CV29" s="13">
        <f t="shared" si="41"/>
        <v>25.41898209649429</v>
      </c>
      <c r="CW29" s="20">
        <f t="shared" si="13"/>
        <v>207.20082715139426</v>
      </c>
      <c r="CX29" s="59">
        <f t="shared" si="14"/>
        <v>495.64527159583872</v>
      </c>
      <c r="CY29" s="59">
        <f ca="1">AVERAGE(OFFSET($CX$3,0,0,'Données projet'!$E$13+1,1))-AVERAGE(OFFSET($H$3,0,0,'Données projet'!$E$13+1,1))</f>
        <v>338.22448697444298</v>
      </c>
      <c r="CZ29" s="59">
        <f t="shared" si="42"/>
        <v>293.3872365640849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5.494516198954793</v>
      </c>
      <c r="DG29" s="21">
        <f>EXP(-LN(2)/25)*DG28+(1-EXP(-LN(2)/25))/(LN(2)/25)*Calculateur!DB29*Calculateur!DD29*VLOOKUP('Données projet'!$B$13,Paramètres!$A$1:$I$89,3,0)*0.475*44/12</f>
        <v>8.01502644154656</v>
      </c>
      <c r="DH29" s="21">
        <f>EXP(-LN(2)/2)*DH28+(1-EXP(-LN(2)/2))/(LN(2)/2)*DB29*DE29*VLOOKUP('Données projet'!$B$13,Paramètres!$A$1:$I$89,3,0)*0.475*44/12</f>
        <v>8.8431469824699374</v>
      </c>
      <c r="DI29" s="22">
        <f t="shared" si="15"/>
        <v>22.35268962297129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21.61428571428571</v>
      </c>
      <c r="DO29" s="12">
        <f>IF('Données projet'!$A$166&gt;35,DO28+DN29-DW28,IF(A29&lt;'Données projet'!$A$166,$DL$205^A29,IF(A29='Données projet'!$A$166,'Données projet'!$B$166,DO28+DN29-DW28)))</f>
        <v>238.78142857142851</v>
      </c>
      <c r="DP29" s="17">
        <f>DO29*VLOOKUP('Données projet'!$B$14,Paramètres!$A$1:$I$89,3,0)*VLOOKUP('Données projet'!$B$14,Paramètres!$A$1:$I$89,5,0)</f>
        <v>133.47881857142855</v>
      </c>
      <c r="DQ29" s="13">
        <f t="shared" si="43"/>
        <v>34.798972504515248</v>
      </c>
      <c r="DR29" s="20">
        <f t="shared" si="16"/>
        <v>293.08381945726882</v>
      </c>
      <c r="DS29" s="59">
        <f t="shared" si="17"/>
        <v>581.52826390171322</v>
      </c>
      <c r="DT29" s="59">
        <f ca="1">AVERAGE(OFFSET($DS$3,0,0,'Données projet'!$E$14+1,1))-AVERAGE(OFFSET($H$3,0,0,'Données projet'!$E$14+1,1))</f>
        <v>328.15217666639006</v>
      </c>
      <c r="DU29" s="59">
        <f t="shared" si="44"/>
        <v>305.59175773326308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5.9658330451437456</v>
      </c>
      <c r="EB29" s="21">
        <f>EXP(-LN(2)/25)*EB28+(1-EXP(-LN(2)/25))/(LN(2)/25)*Calculateur!DW29*Calculateur!DY29*VLOOKUP('Données projet'!$B$14,Paramètres!$A$1:$I$89,3,0)*0.475*44/12</f>
        <v>8.453133709792148</v>
      </c>
      <c r="EC29" s="21">
        <f>EXP(-LN(2)/2)*EC28+(1-EXP(-LN(2)/2))/(LN(2)/2)*DW29*DZ29*VLOOKUP('Données projet'!$B$14,Paramètres!$A$1:$I$89,3,0)*0.475*44/12</f>
        <v>2.7465560897516772</v>
      </c>
      <c r="ED29" s="22">
        <f t="shared" si="18"/>
        <v>17.165522844687573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7.2</v>
      </c>
      <c r="EJ29" s="12">
        <f>IF('Données projet'!$A$192&gt;35,EJ28+EI29-ER28,IF(A29&lt;'Données projet'!$A$192,$EG$205^A29,IF(A29='Données projet'!$A$192,'Données projet'!$B$192,EJ28+EI29-ER28)))</f>
        <v>97.199999999999989</v>
      </c>
      <c r="EK29" s="17">
        <f>EJ29*VLOOKUP('Données projet'!$B$15,Paramètres!$A$1:$I$89,3,0)*VLOOKUP('Données projet'!$B$15,Paramètres!$A$1:$I$89,5,0)</f>
        <v>71.267039999999994</v>
      </c>
      <c r="EL29" s="13">
        <f t="shared" si="45"/>
        <v>19.987779001267139</v>
      </c>
      <c r="EM29" s="20">
        <f t="shared" si="19"/>
        <v>158.93547642720694</v>
      </c>
      <c r="EN29" s="59">
        <f t="shared" si="20"/>
        <v>447.37992087165139</v>
      </c>
      <c r="EO29" s="59">
        <f ca="1">AVERAGE(OFFSET($EN$3,0,0,'Données projet'!$E$15+1,1))-AVERAGE(OFFSET($H$3,0,0,'Données projet'!$E$15+1,1))</f>
        <v>159.78276497127206</v>
      </c>
      <c r="EP29" s="59">
        <f t="shared" si="46"/>
        <v>190.72163407919857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1.400944794841209</v>
      </c>
      <c r="EW29" s="21">
        <f>EXP(-LN(2)/25)*EW28+(1-EXP(-LN(2)/25))/(LN(2)/25)*Calculateur!ER29*Calculateur!ET29*VLOOKUP('Données projet'!$B$15,Paramètres!$A$1:$I$89,3,0)*0.475*44/12</f>
        <v>19.171654101542352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20.57259889638356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5.3214035087719296</v>
      </c>
      <c r="FE29" s="12">
        <f>IF('Données projet'!$A$218&gt;35,FE28+FD29-FM28,IF(A29&lt;'Données projet'!$A$218,$FB$205^A29,IF(A29='Données projet'!$A$218,'Données projet'!$B$218,FE28+FD29-FM28)))</f>
        <v>138.35649122807027</v>
      </c>
      <c r="FF29" s="17">
        <f>FE29*VLOOKUP('Données projet'!$B$16,Paramètres!$A$1:$I$89,3,0)*VLOOKUP('Données projet'!$B$16,Paramètres!$A$1:$I$89,5,0)</f>
        <v>118.70986947368431</v>
      </c>
      <c r="FG29" s="13">
        <f t="shared" si="47"/>
        <v>31.373908499389618</v>
      </c>
      <c r="FH29" s="20">
        <f t="shared" si="22"/>
        <v>261.39591330310378</v>
      </c>
      <c r="FI29" s="59">
        <f t="shared" si="23"/>
        <v>549.8403577475483</v>
      </c>
      <c r="FJ29" s="59">
        <f ca="1">AVERAGE(OFFSET($FI$3,0,0,'Données projet'!$E$16+1,1))-AVERAGE(OFFSET($H$3,0,0,'Données projet'!$E$16+1,1))</f>
        <v>337.15023592377008</v>
      </c>
      <c r="FK29" s="59">
        <f t="shared" si="48"/>
        <v>286.60608582587099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4.0942857142857143</v>
      </c>
      <c r="FZ29" s="12">
        <f>IF('Données projet'!$A$244&gt;35,FZ28+FY29-GH28,IF(A29&lt;'Données projet'!$A$244,$FW$205^A29,IF(A29='Données projet'!$A$244,'Données projet'!$B$244,FZ28+FY29-GH28)))</f>
        <v>106.45142857142864</v>
      </c>
      <c r="GA29" s="17">
        <f>FZ29*VLOOKUP('Données projet'!$B$17,Paramètres!$A$1:$I$89,3,0)*VLOOKUP('Données projet'!$B$17,Paramètres!$A$1:$I$89,5,0)</f>
        <v>96.317252571428625</v>
      </c>
      <c r="GB29" s="13">
        <f t="shared" si="49"/>
        <v>26.082726965934707</v>
      </c>
      <c r="GC29" s="20">
        <f t="shared" si="25"/>
        <v>213.1799643609078</v>
      </c>
      <c r="GD29" s="59">
        <f t="shared" si="26"/>
        <v>501.62440880535223</v>
      </c>
      <c r="GE29" s="59">
        <f ca="1">AVERAGE(OFFSET($GD$3,0,0,'Données projet'!$E$17+1,1))-AVERAGE(OFFSET($H$3,0,0,'Données projet'!$E$17+1,1))</f>
        <v>486.55344536255876</v>
      </c>
      <c r="GF29" s="59">
        <f t="shared" si="50"/>
        <v>231.14794884432229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302.37025036719342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8.2014285714285702</v>
      </c>
      <c r="N30" s="13">
        <f>IF('Données projet'!$A$36&gt;35,N29+M30-V29,IF(A30&lt;'Données projet'!$A$36,$K$205^A30,IF(A30='Données projet'!$A$36,'Données projet'!$B$36,N29+M30-V29)))</f>
        <v>221.43857142857146</v>
      </c>
      <c r="O30" s="13">
        <f>N30*VLOOKUP('Données projet'!$B$9,Paramètres!$A$1:$I$89,3,0)*VLOOKUP('Données projet'!$B$9,Paramètres!$A$1:$I$89,5,0)</f>
        <v>103.63325142857146</v>
      </c>
      <c r="P30" s="13">
        <f t="shared" si="33"/>
        <v>27.825763583899054</v>
      </c>
      <c r="Q30" s="20">
        <f t="shared" si="2"/>
        <v>228.95778448005277</v>
      </c>
      <c r="R30" s="59">
        <f t="shared" si="0"/>
        <v>518.62445114671948</v>
      </c>
      <c r="S30" s="59">
        <f ca="1">AVERAGE(OFFSET($R$3,0,0,'Données projet'!$E$9+1,1))-AVERAGE(OFFSET($H$3,0,0,'Données projet'!$E$9+1,1))</f>
        <v>252.08270526008477</v>
      </c>
      <c r="T30" s="59">
        <f t="shared" si="34"/>
        <v>239.77811108960179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18.678333333333331</v>
      </c>
      <c r="AI30" s="13">
        <f>IF('Données projet'!$A$62&gt;35,AI29+AH30-AQ29,IF(A30&lt;'Données projet'!$A$62,$AF$205^A30,IF(A30='Données projet'!$A$62,'Données projet'!$B$62,AI29+AH30-AQ29)))</f>
        <v>205.55333333333331</v>
      </c>
      <c r="AJ30" s="13">
        <f>AI30*VLOOKUP('Données projet'!$B$10,Paramètres!$A$1:$I$89,3,0)*VLOOKUP('Données projet'!$B$10,Paramètres!$A$1:$I$89,5,0)</f>
        <v>122.92089333333332</v>
      </c>
      <c r="AK30" s="13">
        <f t="shared" si="35"/>
        <v>32.355293246449399</v>
      </c>
      <c r="AL30" s="20">
        <f t="shared" si="4"/>
        <v>270.43935829312153</v>
      </c>
      <c r="AM30" s="59">
        <f t="shared" si="5"/>
        <v>560.10602495978821</v>
      </c>
      <c r="AN30" s="59">
        <f ca="1">AVERAGE(OFFSET($AM$3,0,0,'Données projet'!$E$10+1,1))-AVERAGE(OFFSET($H$3,0,0,'Données projet'!$E$10+1,1))</f>
        <v>251.64326096359997</v>
      </c>
      <c r="AO30" s="59">
        <f t="shared" si="36"/>
        <v>256.72142151189894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4.8124732455527903</v>
      </c>
      <c r="AV30" s="21">
        <f>EXP(-LN(2)/25)*AV29+(1-EXP(-LN(2)/25))/(LN(2)/25)*Calculateur!AQ30*Calculateur!AS30*VLOOKUP('Données projet'!$B$10,Paramètres!$A$1:$I$89,3,0)*0.475*44/12</f>
        <v>12.421609434340189</v>
      </c>
      <c r="AW30" s="21">
        <f>EXP(-LN(2)/2)*AW29+(1-EXP(-LN(2)/2))/(LN(2)/2)*AQ30*AT30*VLOOKUP('Données projet'!$B$10,Paramètres!$A$1:$I$89,3,0)*0.475*44/12</f>
        <v>4.1901373488540061</v>
      </c>
      <c r="AX30" s="21">
        <f t="shared" si="6"/>
        <v>21.424220028746984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7.2</v>
      </c>
      <c r="BD30" s="12">
        <f>IF('Données projet'!$A$88&gt;35,BD29+BC30-BL29,IF(A30&lt;'Données projet'!$A$88,$BA$205^A30,IF(A30='Données projet'!$A$88,'Données projet'!$B$88,BD29+BC30-BL29)))</f>
        <v>104.39999999999999</v>
      </c>
      <c r="BE30" s="13">
        <f>BD30*VLOOKUP('Données projet'!$B$11,Paramètres!$A$1:$I$89,3,0)*VLOOKUP('Données projet'!$B$11,Paramètres!$A$1:$I$89,5,0)</f>
        <v>94.461119999999994</v>
      </c>
      <c r="BF30" s="13">
        <f t="shared" si="37"/>
        <v>25.638091650443638</v>
      </c>
      <c r="BG30" s="20">
        <f t="shared" si="7"/>
        <v>209.17279362452265</v>
      </c>
      <c r="BH30" s="59">
        <f t="shared" si="8"/>
        <v>498.83946029118931</v>
      </c>
      <c r="BI30" s="59">
        <f ca="1">AVERAGE(OFFSET($BH$3,0,0,'Données projet'!$E$11+1,1))-AVERAGE(OFFSET($H$3,0,0,'Données projet'!$E$11+1,1))</f>
        <v>199.29783428981898</v>
      </c>
      <c r="BJ30" s="59">
        <f t="shared" si="38"/>
        <v>237.32002274562547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1.182505310300348</v>
      </c>
      <c r="BQ30" s="21">
        <f>EXP(-LN(2)/25)*BQ29+(1-EXP(-LN(2)/25))/(LN(2)/25)*Calculateur!BL30*Calculateur!BN30*VLOOKUP('Données projet'!$B$11,Paramètres!$A$1:$I$89,3,0)*0.475*44/12</f>
        <v>16.054667654022477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17.237172964322824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4.016578947368421</v>
      </c>
      <c r="BY30" s="12">
        <f>IF('Données projet'!$A$114&gt;35,BY29+BX30-CG29,IF(A30&lt;'Données projet'!$A$114,$BV$205^A30,IF(A30='Données projet'!$A$114,'Données projet'!$B$114,BY29+BX30-CG29)))</f>
        <v>108.44763157894732</v>
      </c>
      <c r="BZ30" s="13">
        <f>BY30*VLOOKUP('Données projet'!$B$12,Paramètres!$A$1:$I$89,3,0)*VLOOKUP('Données projet'!$B$12,Paramètres!$A$1:$I$89,5,0)</f>
        <v>91.356284842105239</v>
      </c>
      <c r="CA30" s="13">
        <f t="shared" si="39"/>
        <v>24.89204294418024</v>
      </c>
      <c r="CB30" s="20">
        <f t="shared" si="10"/>
        <v>202.46583756111386</v>
      </c>
      <c r="CC30" s="59">
        <f t="shared" si="11"/>
        <v>492.13250422778054</v>
      </c>
      <c r="CD30" s="59">
        <f ca="1">AVERAGE(OFFSET($CC$3,0,0,'Données projet'!$E$12+1,1))-AVERAGE(OFFSET($H$3,0,0,'Données projet'!$E$12+1,1))</f>
        <v>295.59075210589327</v>
      </c>
      <c r="CE30" s="59">
        <f t="shared" si="40"/>
        <v>210.41181542059576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25.6</v>
      </c>
      <c r="CT30" s="12">
        <f>IF('Données projet'!$A$140&gt;35,CT29+CS30-DB29,IF(A30&lt;'Données projet'!$A$140,$CQ$205^A30,IF(A30='Données projet'!$A$140,'Données projet'!$B$140,CT29+CS30-DB29)))</f>
        <v>231.20000000000007</v>
      </c>
      <c r="CU30" s="17">
        <f>CT30*VLOOKUP('Données projet'!$B$13,Paramètres!$A$1:$I$89,3,0)*VLOOKUP('Données projet'!$B$13,Paramètres!$A$1:$I$89,5,0)</f>
        <v>105.19600000000003</v>
      </c>
      <c r="CV30" s="13">
        <f t="shared" si="41"/>
        <v>28.196199928386477</v>
      </c>
      <c r="CW30" s="20">
        <f t="shared" si="13"/>
        <v>232.32474820860648</v>
      </c>
      <c r="CX30" s="59">
        <f t="shared" si="14"/>
        <v>521.99141487527322</v>
      </c>
      <c r="CY30" s="59">
        <f ca="1">AVERAGE(OFFSET($CX$3,0,0,'Données projet'!$E$13+1,1))-AVERAGE(OFFSET($H$3,0,0,'Données projet'!$E$13+1,1))</f>
        <v>338.22448697444298</v>
      </c>
      <c r="CZ30" s="59">
        <f t="shared" si="42"/>
        <v>293.3872365640849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5.3867720876172553</v>
      </c>
      <c r="DG30" s="21">
        <f>EXP(-LN(2)/25)*DG29+(1-EXP(-LN(2)/25))/(LN(2)/25)*Calculateur!DB30*Calculateur!DD30*VLOOKUP('Données projet'!$B$13,Paramètres!$A$1:$I$89,3,0)*0.475*44/12</f>
        <v>7.795855122010547</v>
      </c>
      <c r="DH30" s="21">
        <f>EXP(-LN(2)/2)*DH29+(1-EXP(-LN(2)/2))/(LN(2)/2)*DB30*DE30*VLOOKUP('Données projet'!$B$13,Paramètres!$A$1:$I$89,3,0)*0.475*44/12</f>
        <v>6.2530491983338488</v>
      </c>
      <c r="DI30" s="22">
        <f t="shared" si="15"/>
        <v>19.435676407961651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21.61428571428571</v>
      </c>
      <c r="DO30" s="12">
        <f>IF('Données projet'!$A$166&gt;35,DO29+DN30-DW29,IF(A30&lt;'Données projet'!$A$166,$DL$205^A30,IF(A30='Données projet'!$A$166,'Données projet'!$B$166,DO29+DN30-DW29)))</f>
        <v>260.39571428571423</v>
      </c>
      <c r="DP30" s="17">
        <f>DO30*VLOOKUP('Données projet'!$B$14,Paramètres!$A$1:$I$89,3,0)*VLOOKUP('Données projet'!$B$14,Paramètres!$A$1:$I$89,5,0)</f>
        <v>145.56120428571427</v>
      </c>
      <c r="DQ30" s="13">
        <f t="shared" si="43"/>
        <v>37.568096638366988</v>
      </c>
      <c r="DR30" s="20">
        <f t="shared" si="16"/>
        <v>318.95019910944154</v>
      </c>
      <c r="DS30" s="59">
        <f t="shared" si="17"/>
        <v>608.61686577610817</v>
      </c>
      <c r="DT30" s="59">
        <f ca="1">AVERAGE(OFFSET($DS$3,0,0,'Données projet'!$E$14+1,1))-AVERAGE(OFFSET($H$3,0,0,'Données projet'!$E$14+1,1))</f>
        <v>328.15217666639006</v>
      </c>
      <c r="DU30" s="59">
        <f t="shared" si="44"/>
        <v>305.59175773326308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5.8488466979273328</v>
      </c>
      <c r="EB30" s="21">
        <f>EXP(-LN(2)/25)*EB29+(1-EXP(-LN(2)/25))/(LN(2)/25)*Calculateur!DW30*Calculateur!DY30*VLOOKUP('Données projet'!$B$14,Paramètres!$A$1:$I$89,3,0)*0.475*44/12</f>
        <v>8.2219823239669001</v>
      </c>
      <c r="EC30" s="21">
        <f>EXP(-LN(2)/2)*EC29+(1-EXP(-LN(2)/2))/(LN(2)/2)*DW30*DZ30*VLOOKUP('Données projet'!$B$14,Paramètres!$A$1:$I$89,3,0)*0.475*44/12</f>
        <v>1.9421084359726188</v>
      </c>
      <c r="ED30" s="22">
        <f t="shared" si="18"/>
        <v>16.012937457866851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7.2</v>
      </c>
      <c r="EJ30" s="12">
        <f>IF('Données projet'!$A$192&gt;35,EJ29+EI30-ER29,IF(A30&lt;'Données projet'!$A$192,$EG$205^A30,IF(A30='Données projet'!$A$192,'Données projet'!$B$192,EJ29+EI30-ER29)))</f>
        <v>104.39999999999999</v>
      </c>
      <c r="EK30" s="17">
        <f>EJ30*VLOOKUP('Données projet'!$B$15,Paramètres!$A$1:$I$89,3,0)*VLOOKUP('Données projet'!$B$15,Paramètres!$A$1:$I$89,5,0)</f>
        <v>76.546079999999989</v>
      </c>
      <c r="EL30" s="13">
        <f t="shared" si="45"/>
        <v>21.290525837973497</v>
      </c>
      <c r="EM30" s="20">
        <f t="shared" si="19"/>
        <v>170.39875516780378</v>
      </c>
      <c r="EN30" s="59">
        <f t="shared" si="20"/>
        <v>460.0654218344705</v>
      </c>
      <c r="EO30" s="59">
        <f ca="1">AVERAGE(OFFSET($EN$3,0,0,'Données projet'!$E$15+1,1))-AVERAGE(OFFSET($H$3,0,0,'Données projet'!$E$15+1,1))</f>
        <v>159.78276497127206</v>
      </c>
      <c r="EP30" s="59">
        <f t="shared" si="46"/>
        <v>190.72163407919857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1.3734731219063236</v>
      </c>
      <c r="EW30" s="21">
        <f>EXP(-LN(2)/25)*EW29+(1-EXP(-LN(2)/25))/(LN(2)/25)*Calculateur!ER30*Calculateur!ET30*VLOOKUP('Données projet'!$B$15,Paramètres!$A$1:$I$89,3,0)*0.475*44/12</f>
        <v>18.647404211942206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20.020877333848528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5.3214035087719296</v>
      </c>
      <c r="FE30" s="12">
        <f>IF('Données projet'!$A$218&gt;35,FE29+FD30-FM29,IF(A30&lt;'Données projet'!$A$218,$FB$205^A30,IF(A30='Données projet'!$A$218,'Données projet'!$B$218,FE29+FD30-FM29)))</f>
        <v>143.67789473684221</v>
      </c>
      <c r="FF30" s="17">
        <f>FE30*VLOOKUP('Données projet'!$B$16,Paramètres!$A$1:$I$89,3,0)*VLOOKUP('Données projet'!$B$16,Paramètres!$A$1:$I$89,5,0)</f>
        <v>123.27563368421063</v>
      </c>
      <c r="FG30" s="13">
        <f t="shared" si="47"/>
        <v>32.437785479225838</v>
      </c>
      <c r="FH30" s="20">
        <f t="shared" si="22"/>
        <v>271.20087170965184</v>
      </c>
      <c r="FI30" s="59">
        <f t="shared" si="23"/>
        <v>560.86753837631852</v>
      </c>
      <c r="FJ30" s="59">
        <f ca="1">AVERAGE(OFFSET($FI$3,0,0,'Données projet'!$E$16+1,1))-AVERAGE(OFFSET($H$3,0,0,'Données projet'!$E$16+1,1))</f>
        <v>337.15023592377008</v>
      </c>
      <c r="FK30" s="59">
        <f t="shared" si="48"/>
        <v>286.60608582587099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4.0942857142857143</v>
      </c>
      <c r="FZ30" s="12">
        <f>IF('Données projet'!$A$244&gt;35,FZ29+FY30-GH29,IF(A30&lt;'Données projet'!$A$244,$FW$205^A30,IF(A30='Données projet'!$A$244,'Données projet'!$B$244,FZ29+FY30-GH29)))</f>
        <v>110.54571428571435</v>
      </c>
      <c r="GA30" s="17">
        <f>FZ30*VLOOKUP('Données projet'!$B$17,Paramètres!$A$1:$I$89,3,0)*VLOOKUP('Données projet'!$B$17,Paramètres!$A$1:$I$89,5,0)</f>
        <v>100.02176228571433</v>
      </c>
      <c r="GB30" s="13">
        <f t="shared" si="49"/>
        <v>26.967182047167292</v>
      </c>
      <c r="GC30" s="20">
        <f t="shared" si="25"/>
        <v>221.17241137976885</v>
      </c>
      <c r="GD30" s="59">
        <f t="shared" si="26"/>
        <v>510.83907804643553</v>
      </c>
      <c r="GE30" s="59">
        <f ca="1">AVERAGE(OFFSET($GD$3,0,0,'Données projet'!$E$17+1,1))-AVERAGE(OFFSET($H$3,0,0,'Données projet'!$E$17+1,1))</f>
        <v>486.55344536255876</v>
      </c>
      <c r="GF30" s="59">
        <f t="shared" si="50"/>
        <v>231.14794884432229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304.01380297262153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8.2014285714285702</v>
      </c>
      <c r="N31" s="13">
        <f>IF('Données projet'!$A$36&gt;35,N30+M31-V30,IF(A31&lt;'Données projet'!$A$36,$K$205^A31,IF(A31='Données projet'!$A$36,'Données projet'!$B$36,N30+M31-V30)))</f>
        <v>229.64000000000004</v>
      </c>
      <c r="O31" s="13">
        <f>N31*VLOOKUP('Données projet'!$B$9,Paramètres!$A$1:$I$89,3,0)*VLOOKUP('Données projet'!$B$9,Paramètres!$A$1:$I$89,5,0)</f>
        <v>107.47152000000003</v>
      </c>
      <c r="P31" s="13">
        <f t="shared" si="33"/>
        <v>28.734451097292908</v>
      </c>
      <c r="Q31" s="20">
        <f t="shared" si="2"/>
        <v>237.22539966111853</v>
      </c>
      <c r="R31" s="59">
        <f t="shared" si="0"/>
        <v>528.11428855000736</v>
      </c>
      <c r="S31" s="59">
        <f ca="1">AVERAGE(OFFSET($R$3,0,0,'Données projet'!$E$9+1,1))-AVERAGE(OFFSET($H$3,0,0,'Données projet'!$E$9+1,1))</f>
        <v>252.08270526008477</v>
      </c>
      <c r="T31" s="59">
        <f t="shared" si="34"/>
        <v>239.77811108960179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18.678333333333331</v>
      </c>
      <c r="AI31" s="13">
        <f>IF('Données projet'!$A$62&gt;35,AI30+AH31-AQ30,IF(A31&lt;'Données projet'!$A$62,$AF$205^A31,IF(A31='Données projet'!$A$62,'Données projet'!$B$62,AI30+AH31-AQ30)))</f>
        <v>224.23166666666665</v>
      </c>
      <c r="AJ31" s="13">
        <f>AI31*VLOOKUP('Données projet'!$B$10,Paramètres!$A$1:$I$89,3,0)*VLOOKUP('Données projet'!$B$10,Paramètres!$A$1:$I$89,5,0)</f>
        <v>134.09053666666668</v>
      </c>
      <c r="AK31" s="13">
        <f t="shared" si="35"/>
        <v>34.93985124057766</v>
      </c>
      <c r="AL31" s="20">
        <f t="shared" si="4"/>
        <v>294.39459227178389</v>
      </c>
      <c r="AM31" s="59">
        <f t="shared" si="5"/>
        <v>585.28348116067275</v>
      </c>
      <c r="AN31" s="59">
        <f ca="1">AVERAGE(OFFSET($AM$3,0,0,'Données projet'!$E$10+1,1))-AVERAGE(OFFSET($H$3,0,0,'Données projet'!$E$10+1,1))</f>
        <v>251.64326096359997</v>
      </c>
      <c r="AO31" s="59">
        <f t="shared" si="36"/>
        <v>256.72142151189894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4.7181035805263409</v>
      </c>
      <c r="AV31" s="21">
        <f>EXP(-LN(2)/25)*AV30+(1-EXP(-LN(2)/25))/(LN(2)/25)*Calculateur!AQ31*Calculateur!AS31*VLOOKUP('Données projet'!$B$10,Paramètres!$A$1:$I$89,3,0)*0.475*44/12</f>
        <v>12.081939871134106</v>
      </c>
      <c r="AW31" s="21">
        <f>EXP(-LN(2)/2)*AW30+(1-EXP(-LN(2)/2))/(LN(2)/2)*AQ31*AT31*VLOOKUP('Données projet'!$B$10,Paramètres!$A$1:$I$89,3,0)*0.475*44/12</f>
        <v>2.9628745334776903</v>
      </c>
      <c r="AX31" s="21">
        <f t="shared" si="6"/>
        <v>19.762917985138138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7.2</v>
      </c>
      <c r="BD31" s="12">
        <f>IF('Données projet'!$A$88&gt;35,BD30+BC31-BL30,IF(A31&lt;'Données projet'!$A$88,$BA$205^A31,IF(A31='Données projet'!$A$88,'Données projet'!$B$88,BD30+BC31-BL30)))</f>
        <v>111.6</v>
      </c>
      <c r="BE31" s="13">
        <f>BD31*VLOOKUP('Données projet'!$B$11,Paramètres!$A$1:$I$89,3,0)*VLOOKUP('Données projet'!$B$11,Paramètres!$A$1:$I$89,5,0)</f>
        <v>100.97568</v>
      </c>
      <c r="BF31" s="13">
        <f t="shared" si="37"/>
        <v>27.194308339454352</v>
      </c>
      <c r="BG31" s="20">
        <f t="shared" si="7"/>
        <v>223.22939635788296</v>
      </c>
      <c r="BH31" s="59">
        <f t="shared" si="8"/>
        <v>514.11828524677185</v>
      </c>
      <c r="BI31" s="59">
        <f ca="1">AVERAGE(OFFSET($BH$3,0,0,'Données projet'!$E$11+1,1))-AVERAGE(OFFSET($H$3,0,0,'Données projet'!$E$11+1,1))</f>
        <v>199.29783428981898</v>
      </c>
      <c r="BJ31" s="59">
        <f t="shared" si="38"/>
        <v>237.32002274562547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1.1593171024223792</v>
      </c>
      <c r="BQ31" s="21">
        <f>EXP(-LN(2)/25)*BQ30+(1-EXP(-LN(2)/25))/(LN(2)/25)*Calculateur!BL31*Calculateur!BN31*VLOOKUP('Données projet'!$B$11,Paramètres!$A$1:$I$89,3,0)*0.475*44/12</f>
        <v>15.615651922744954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16.774969025167334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4.016578947368421</v>
      </c>
      <c r="BY31" s="12">
        <f>IF('Données projet'!$A$114&gt;35,BY30+BX31-CG30,IF(A31&lt;'Données projet'!$A$114,$BV$205^A31,IF(A31='Données projet'!$A$114,'Données projet'!$B$114,BY30+BX31-CG30)))</f>
        <v>112.46421052631574</v>
      </c>
      <c r="BZ31" s="13">
        <f>BY31*VLOOKUP('Données projet'!$B$12,Paramètres!$A$1:$I$89,3,0)*VLOOKUP('Données projet'!$B$12,Paramètres!$A$1:$I$89,5,0)</f>
        <v>94.739850947368382</v>
      </c>
      <c r="CA31" s="13">
        <f t="shared" si="39"/>
        <v>25.704925887645185</v>
      </c>
      <c r="CB31" s="20">
        <f t="shared" si="10"/>
        <v>209.77465298764864</v>
      </c>
      <c r="CC31" s="59">
        <f t="shared" si="11"/>
        <v>500.66354187653747</v>
      </c>
      <c r="CD31" s="59">
        <f ca="1">AVERAGE(OFFSET($CC$3,0,0,'Données projet'!$E$12+1,1))-AVERAGE(OFFSET($H$3,0,0,'Données projet'!$E$12+1,1))</f>
        <v>295.59075210589327</v>
      </c>
      <c r="CE31" s="59">
        <f t="shared" si="40"/>
        <v>210.41181542059576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25.6</v>
      </c>
      <c r="CT31" s="12">
        <f>IF('Données projet'!$A$140&gt;35,CT30+CS31-DB30,IF(A31&lt;'Données projet'!$A$140,$CQ$205^A31,IF(A31='Données projet'!$A$140,'Données projet'!$B$140,CT30+CS31-DB30)))</f>
        <v>256.80000000000007</v>
      </c>
      <c r="CU31" s="17">
        <f>CT31*VLOOKUP('Données projet'!$B$13,Paramètres!$A$1:$I$89,3,0)*VLOOKUP('Données projet'!$B$13,Paramètres!$A$1:$I$89,5,0)</f>
        <v>116.84400000000004</v>
      </c>
      <c r="CV31" s="13">
        <f t="shared" si="41"/>
        <v>30.93777624229395</v>
      </c>
      <c r="CW31" s="20">
        <f t="shared" si="13"/>
        <v>257.38659362199536</v>
      </c>
      <c r="CX31" s="59">
        <f t="shared" si="14"/>
        <v>548.27548251088422</v>
      </c>
      <c r="CY31" s="59">
        <f ca="1">AVERAGE(OFFSET($CX$3,0,0,'Données projet'!$E$13+1,1))-AVERAGE(OFFSET($H$3,0,0,'Données projet'!$E$13+1,1))</f>
        <v>338.22448697444298</v>
      </c>
      <c r="CZ31" s="59">
        <f t="shared" si="42"/>
        <v>293.3872365640849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5.2811407725856281</v>
      </c>
      <c r="DG31" s="21">
        <f>EXP(-LN(2)/25)*DG30+(1-EXP(-LN(2)/25))/(LN(2)/25)*Calculateur!DB31*Calculateur!DD31*VLOOKUP('Données projet'!$B$13,Paramètres!$A$1:$I$89,3,0)*0.475*44/12</f>
        <v>7.5826770537329651</v>
      </c>
      <c r="DH31" s="21">
        <f>EXP(-LN(2)/2)*DH30+(1-EXP(-LN(2)/2))/(LN(2)/2)*DB31*DE31*VLOOKUP('Données projet'!$B$13,Paramètres!$A$1:$I$89,3,0)*0.475*44/12</f>
        <v>4.4215734912349696</v>
      </c>
      <c r="DI31" s="22">
        <f t="shared" si="15"/>
        <v>17.285391317553561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>
        <f>VLOOKUP(A31,'Données projet'!$A$165:$I$185,2,0)</f>
        <v>282.01</v>
      </c>
      <c r="DM31" s="12">
        <f>VLOOKUP(A31,'Données projet'!$A$165:$I$185,9,0)</f>
        <v>21.61428571428571</v>
      </c>
      <c r="DN31" s="12">
        <f t="array" ref="DN31">INDEX(DM:DM,MIN(IF(ISNUMBER(DM31:DM227),ROW(DM31:DM227),"")))</f>
        <v>21.61428571428571</v>
      </c>
      <c r="DO31" s="12">
        <f>IF('Données projet'!$A$166&gt;35,DO30+DN31-DW30,IF(A31&lt;'Données projet'!$A$166,$DL$205^A31,IF(A31='Données projet'!$A$166,'Données projet'!$B$166,DO30+DN31-DW30)))</f>
        <v>282.00999999999993</v>
      </c>
      <c r="DP31" s="17">
        <f>DO31*VLOOKUP('Données projet'!$B$14,Paramètres!$A$1:$I$89,3,0)*VLOOKUP('Données projet'!$B$14,Paramètres!$A$1:$I$89,5,0)</f>
        <v>157.64358999999996</v>
      </c>
      <c r="DQ31" s="13">
        <f t="shared" si="43"/>
        <v>40.310562469543989</v>
      </c>
      <c r="DR31" s="20">
        <f t="shared" si="16"/>
        <v>344.77014888445569</v>
      </c>
      <c r="DS31" s="59">
        <f t="shared" si="17"/>
        <v>635.65903777334461</v>
      </c>
      <c r="DT31" s="59">
        <f ca="1">AVERAGE(OFFSET($DS$3,0,0,'Données projet'!$E$14+1,1))-AVERAGE(OFFSET($H$3,0,0,'Données projet'!$E$14+1,1))</f>
        <v>328.15217666639006</v>
      </c>
      <c r="DU31" s="59">
        <f t="shared" si="44"/>
        <v>305.59175773326308</v>
      </c>
      <c r="DV31" s="15">
        <f>IF(ISNA(VLOOKUP(A31,'Données projet'!$A$165:$I$185,3,0)),0,VLOOKUP(A31,'Données projet'!$A$165:$I$185,3,0))</f>
        <v>2</v>
      </c>
      <c r="DW31" s="15">
        <f>IF(ISNA(VLOOKUP(A31,'Données projet'!$A$165:$I$185,4,0)),0,VLOOKUP(A31,'Données projet'!$A$165:$I$185,4,0))</f>
        <v>67.639999999999986</v>
      </c>
      <c r="DX31" s="16">
        <f>IF(ISNA(VLOOKUP(A31,'Données projet'!$A$165:$I$185,5,0)),0%,VLOOKUP(A31,'Données projet'!$A$165:$I$185,5,0)*VLOOKUP('Données projet'!$B$14,Paramètres!$A$1:$I$89,7,0))</f>
        <v>0.13750000000000001</v>
      </c>
      <c r="DY31" s="16">
        <f>IF(ISNA(VLOOKUP(A31,'Données projet'!$A$165:$I$185,6,0)),0%,VLOOKUP(A31,'Données projet'!$A$165:$I$185,6,0)*VLOOKUP('Données projet'!$B$14,Paramètres!$A$1:$I$89,7,0))</f>
        <v>0.20350000000000001</v>
      </c>
      <c r="DZ31" s="16">
        <f>IF(ISNA(VLOOKUP(A31,'Données projet'!$A$165:$I$185,7,0)),0%,VLOOKUP(A31,'Données projet'!$A$165:$I$185,7,0))</f>
        <v>0.38</v>
      </c>
      <c r="EA31" s="21">
        <f>EXP(-LN(2)/35)*EA30+(1-EXP(-LN(2)/35))/(LN(2)/35)*DW31*DX31*VLOOKUP('Données projet'!$B$14,Paramètres!$A$1:$I$89,3,0)*0.475*44/12</f>
        <v>12.630935790884042</v>
      </c>
      <c r="EB31" s="21">
        <f>EXP(-LN(2)/25)*EB30+(1-EXP(-LN(2)/25))/(LN(2)/25)*Calculateur!DW31*Calculateur!DY31*VLOOKUP('Données projet'!$B$14,Paramètres!$A$1:$I$89,3,0)*0.475*44/12</f>
        <v>18.164198491339612</v>
      </c>
      <c r="EC31" s="21">
        <f>EXP(-LN(2)/2)*EC30+(1-EXP(-LN(2)/2))/(LN(2)/2)*DW31*DZ31*VLOOKUP('Données projet'!$B$14,Paramètres!$A$1:$I$89,3,0)*0.475*44/12</f>
        <v>17.641292237964119</v>
      </c>
      <c r="ED31" s="22">
        <f t="shared" si="18"/>
        <v>48.436426520187773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7.2</v>
      </c>
      <c r="EJ31" s="12">
        <f>IF('Données projet'!$A$192&gt;35,EJ30+EI31-ER30,IF(A31&lt;'Données projet'!$A$192,$EG$205^A31,IF(A31='Données projet'!$A$192,'Données projet'!$B$192,EJ30+EI31-ER30)))</f>
        <v>111.6</v>
      </c>
      <c r="EK31" s="17">
        <f>EJ31*VLOOKUP('Données projet'!$B$15,Paramètres!$A$1:$I$89,3,0)*VLOOKUP('Données projet'!$B$15,Paramètres!$A$1:$I$89,5,0)</f>
        <v>81.825119999999984</v>
      </c>
      <c r="EL31" s="13">
        <f t="shared" si="45"/>
        <v>22.582847906191663</v>
      </c>
      <c r="EM31" s="20">
        <f t="shared" si="19"/>
        <v>181.84387743661708</v>
      </c>
      <c r="EN31" s="59">
        <f t="shared" si="20"/>
        <v>472.73276632550596</v>
      </c>
      <c r="EO31" s="59">
        <f ca="1">AVERAGE(OFFSET($EN$3,0,0,'Données projet'!$E$15+1,1))-AVERAGE(OFFSET($H$3,0,0,'Données projet'!$E$15+1,1))</f>
        <v>159.78276497127206</v>
      </c>
      <c r="EP31" s="59">
        <f t="shared" si="46"/>
        <v>190.72163407919857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1.3465401517216256</v>
      </c>
      <c r="EW31" s="21">
        <f>EXP(-LN(2)/25)*EW30+(1-EXP(-LN(2)/25))/(LN(2)/25)*Calculateur!ER31*Calculateur!ET31*VLOOKUP('Données projet'!$B$15,Paramètres!$A$1:$I$89,3,0)*0.475*44/12</f>
        <v>18.137489963142279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19.484030114863906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5.3214035087719296</v>
      </c>
      <c r="FE31" s="12">
        <f>IF('Données projet'!$A$218&gt;35,FE30+FD31-FM30,IF(A31&lt;'Données projet'!$A$218,$FB$205^A31,IF(A31='Données projet'!$A$218,'Données projet'!$B$218,FE30+FD31-FM30)))</f>
        <v>148.99929824561414</v>
      </c>
      <c r="FF31" s="17">
        <f>FE31*VLOOKUP('Données projet'!$B$16,Paramètres!$A$1:$I$89,3,0)*VLOOKUP('Données projet'!$B$16,Paramètres!$A$1:$I$89,5,0)</f>
        <v>127.84139789473696</v>
      </c>
      <c r="FG31" s="13">
        <f t="shared" si="47"/>
        <v>33.49708473397034</v>
      </c>
      <c r="FH31" s="20">
        <f t="shared" si="22"/>
        <v>280.99785724499856</v>
      </c>
      <c r="FI31" s="59">
        <f t="shared" si="23"/>
        <v>571.88674613388741</v>
      </c>
      <c r="FJ31" s="59">
        <f ca="1">AVERAGE(OFFSET($FI$3,0,0,'Données projet'!$E$16+1,1))-AVERAGE(OFFSET($H$3,0,0,'Données projet'!$E$16+1,1))</f>
        <v>337.15023592377008</v>
      </c>
      <c r="FK31" s="59">
        <f t="shared" si="48"/>
        <v>286.60608582587099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4.0942857142857143</v>
      </c>
      <c r="FZ31" s="12">
        <f>IF('Données projet'!$A$244&gt;35,FZ30+FY31-GH30,IF(A31&lt;'Données projet'!$A$244,$FW$205^A31,IF(A31='Données projet'!$A$244,'Données projet'!$B$244,FZ30+FY31-GH30)))</f>
        <v>114.64000000000007</v>
      </c>
      <c r="GA31" s="17">
        <f>FZ31*VLOOKUP('Données projet'!$B$17,Paramètres!$A$1:$I$89,3,0)*VLOOKUP('Données projet'!$B$17,Paramètres!$A$1:$I$89,5,0)</f>
        <v>103.72627200000005</v>
      </c>
      <c r="GB31" s="13">
        <f t="shared" si="49"/>
        <v>27.847831432539717</v>
      </c>
      <c r="GC31" s="20">
        <f t="shared" si="25"/>
        <v>229.15823014500677</v>
      </c>
      <c r="GD31" s="59">
        <f t="shared" si="26"/>
        <v>520.04711903389557</v>
      </c>
      <c r="GE31" s="59">
        <f ca="1">AVERAGE(OFFSET($GD$3,0,0,'Données projet'!$E$17+1,1))-AVERAGE(OFFSET($H$3,0,0,'Données projet'!$E$17+1,1))</f>
        <v>486.55344536255876</v>
      </c>
      <c r="GF31" s="59">
        <f t="shared" si="50"/>
        <v>231.14794884432229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305.65583454642342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8.2014285714285702</v>
      </c>
      <c r="N32" s="13">
        <f>IF('Données projet'!$A$36&gt;35,N31+M32-V31,IF(A32&lt;'Données projet'!$A$36,$K$205^A32,IF(A32='Données projet'!$A$36,'Données projet'!$B$36,N31+M32-V31)))</f>
        <v>237.84142857142862</v>
      </c>
      <c r="O32" s="13">
        <f>N32*VLOOKUP('Données projet'!$B$9,Paramètres!$A$1:$I$89,3,0)*VLOOKUP('Données projet'!$B$9,Paramètres!$A$1:$I$89,5,0)</f>
        <v>111.3097885714286</v>
      </c>
      <c r="P32" s="13">
        <f t="shared" si="33"/>
        <v>29.639368061193167</v>
      </c>
      <c r="Q32" s="20">
        <f t="shared" si="2"/>
        <v>245.48644780181621</v>
      </c>
      <c r="R32" s="59">
        <f t="shared" si="0"/>
        <v>537.5975589129273</v>
      </c>
      <c r="S32" s="59">
        <f ca="1">AVERAGE(OFFSET($R$3,0,0,'Données projet'!$E$9+1,1))-AVERAGE(OFFSET($H$3,0,0,'Données projet'!$E$9+1,1))</f>
        <v>252.08270526008477</v>
      </c>
      <c r="T32" s="59">
        <f t="shared" si="34"/>
        <v>239.77811108960179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242.91</v>
      </c>
      <c r="AG32" s="12">
        <f>VLOOKUP(A32,'Données projet'!$A$61:$I$81,9,0)</f>
        <v>18.678333333333331</v>
      </c>
      <c r="AH32" s="12">
        <f t="array" ref="AH32">INDEX(AG:AG,MIN(IF(ISNUMBER(AG32:AG228),ROW(AG32:AG228),"")))</f>
        <v>18.678333333333331</v>
      </c>
      <c r="AI32" s="13">
        <f>IF('Données projet'!$A$62&gt;35,AI31+AH32-AQ31,IF(A32&lt;'Données projet'!$A$62,$AF$205^A32,IF(A32='Données projet'!$A$62,'Données projet'!$B$62,AI31+AH32-AQ31)))</f>
        <v>242.91</v>
      </c>
      <c r="AJ32" s="13">
        <f>AI32*VLOOKUP('Données projet'!$B$10,Paramètres!$A$1:$I$89,3,0)*VLOOKUP('Données projet'!$B$10,Paramètres!$A$1:$I$89,5,0)</f>
        <v>145.26018000000002</v>
      </c>
      <c r="AK32" s="13">
        <f t="shared" si="35"/>
        <v>37.499439910321911</v>
      </c>
      <c r="AL32" s="20">
        <f t="shared" si="4"/>
        <v>318.30633801047736</v>
      </c>
      <c r="AM32" s="59">
        <f t="shared" si="5"/>
        <v>610.41744912158856</v>
      </c>
      <c r="AN32" s="59">
        <f ca="1">AVERAGE(OFFSET($AM$3,0,0,'Données projet'!$E$10+1,1))-AVERAGE(OFFSET($H$3,0,0,'Données projet'!$E$10+1,1))</f>
        <v>251.64326096359997</v>
      </c>
      <c r="AO32" s="59">
        <f t="shared" si="36"/>
        <v>256.72142151189894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54.97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16.399449167801741</v>
      </c>
      <c r="AV32" s="21">
        <f>EXP(-LN(2)/25)*AV31+(1-EXP(-LN(2)/25))/(LN(2)/25)*Calculateur!AQ32*Calculateur!AS32*VLOOKUP('Données projet'!$B$10,Paramètres!$A$1:$I$89,3,0)*0.475*44/12</f>
        <v>15.66072743303994</v>
      </c>
      <c r="AW32" s="21">
        <f>EXP(-LN(2)/2)*AW31+(1-EXP(-LN(2)/2))/(LN(2)/2)*AQ32*AT32*VLOOKUP('Données projet'!$B$10,Paramètres!$A$1:$I$89,3,0)*0.475*44/12</f>
        <v>9.5388302780725702</v>
      </c>
      <c r="AX32" s="21">
        <f t="shared" si="6"/>
        <v>41.599006878914253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7.2</v>
      </c>
      <c r="BD32" s="12">
        <f>IF('Données projet'!$A$88&gt;35,BD31+BC32-BL31,IF(A32&lt;'Données projet'!$A$88,$BA$205^A32,IF(A32='Données projet'!$A$88,'Données projet'!$B$88,BD31+BC32-BL31)))</f>
        <v>118.8</v>
      </c>
      <c r="BE32" s="13">
        <f>BD32*VLOOKUP('Données projet'!$B$11,Paramètres!$A$1:$I$89,3,0)*VLOOKUP('Données projet'!$B$11,Paramètres!$A$1:$I$89,5,0)</f>
        <v>107.49024</v>
      </c>
      <c r="BF32" s="13">
        <f t="shared" si="37"/>
        <v>28.738873585294066</v>
      </c>
      <c r="BG32" s="20">
        <f t="shared" si="7"/>
        <v>237.26570616105383</v>
      </c>
      <c r="BH32" s="59">
        <f t="shared" si="8"/>
        <v>529.376817272165</v>
      </c>
      <c r="BI32" s="59">
        <f ca="1">AVERAGE(OFFSET($BH$3,0,0,'Données projet'!$E$11+1,1))-AVERAGE(OFFSET($H$3,0,0,'Données projet'!$E$11+1,1))</f>
        <v>199.29783428981898</v>
      </c>
      <c r="BJ32" s="59">
        <f t="shared" si="38"/>
        <v>237.32002274562547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1.136583601157487</v>
      </c>
      <c r="BQ32" s="21">
        <f>EXP(-LN(2)/25)*BQ31+(1-EXP(-LN(2)/25))/(LN(2)/25)*Calculateur!BL32*Calculateur!BN32*VLOOKUP('Données projet'!$B$11,Paramètres!$A$1:$I$89,3,0)*0.475*44/12</f>
        <v>15.188641099726048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16.325224700883535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4.016578947368421</v>
      </c>
      <c r="BY32" s="12">
        <f>IF('Données projet'!$A$114&gt;35,BY31+BX32-CG31,IF(A32&lt;'Données projet'!$A$114,$BV$205^A32,IF(A32='Données projet'!$A$114,'Données projet'!$B$114,BY31+BX32-CG31)))</f>
        <v>116.48078947368415</v>
      </c>
      <c r="BZ32" s="13">
        <f>BY32*VLOOKUP('Données projet'!$B$12,Paramètres!$A$1:$I$89,3,0)*VLOOKUP('Données projet'!$B$12,Paramètres!$A$1:$I$89,5,0)</f>
        <v>98.123417052631538</v>
      </c>
      <c r="CA32" s="13">
        <f t="shared" si="39"/>
        <v>26.514435817477153</v>
      </c>
      <c r="CB32" s="20">
        <f t="shared" si="10"/>
        <v>217.07759374877261</v>
      </c>
      <c r="CC32" s="59">
        <f t="shared" si="11"/>
        <v>509.18870485988373</v>
      </c>
      <c r="CD32" s="59">
        <f ca="1">AVERAGE(OFFSET($CC$3,0,0,'Données projet'!$E$12+1,1))-AVERAGE(OFFSET($H$3,0,0,'Données projet'!$E$12+1,1))</f>
        <v>295.59075210589327</v>
      </c>
      <c r="CE32" s="59">
        <f t="shared" si="40"/>
        <v>210.41181542059576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25.6</v>
      </c>
      <c r="CT32" s="12">
        <f>IF('Données projet'!$A$140&gt;35,CT31+CS32-DB31,IF(A32&lt;'Données projet'!$A$140,$CQ$205^A32,IF(A32='Données projet'!$A$140,'Données projet'!$B$140,CT31+CS32-DB31)))</f>
        <v>282.40000000000009</v>
      </c>
      <c r="CU32" s="17">
        <f>CT32*VLOOKUP('Données projet'!$B$13,Paramètres!$A$1:$I$89,3,0)*VLOOKUP('Données projet'!$B$13,Paramètres!$A$1:$I$89,5,0)</f>
        <v>128.49200000000005</v>
      </c>
      <c r="CV32" s="13">
        <f t="shared" si="41"/>
        <v>33.647668537914321</v>
      </c>
      <c r="CW32" s="20">
        <f t="shared" si="13"/>
        <v>282.39325603686751</v>
      </c>
      <c r="CX32" s="59">
        <f t="shared" si="14"/>
        <v>574.50436714797866</v>
      </c>
      <c r="CY32" s="59">
        <f ca="1">AVERAGE(OFFSET($CX$3,0,0,'Données projet'!$E$13+1,1))-AVERAGE(OFFSET($H$3,0,0,'Données projet'!$E$13+1,1))</f>
        <v>338.22448697444298</v>
      </c>
      <c r="CZ32" s="59">
        <f t="shared" si="42"/>
        <v>293.3872365640849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5.17758082321303</v>
      </c>
      <c r="DG32" s="21">
        <f>EXP(-LN(2)/25)*DG31+(1-EXP(-LN(2)/25))/(LN(2)/25)*Calculateur!DB32*Calculateur!DD32*VLOOKUP('Données projet'!$B$13,Paramètres!$A$1:$I$89,3,0)*0.475*44/12</f>
        <v>7.375328350942981</v>
      </c>
      <c r="DH32" s="21">
        <f>EXP(-LN(2)/2)*DH31+(1-EXP(-LN(2)/2))/(LN(2)/2)*DB32*DE32*VLOOKUP('Données projet'!$B$13,Paramètres!$A$1:$I$89,3,0)*0.475*44/12</f>
        <v>3.1265245991669248</v>
      </c>
      <c r="DI32" s="22">
        <f t="shared" si="15"/>
        <v>15.679433773322934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23.265714285714289</v>
      </c>
      <c r="DO32" s="12">
        <f>IF('Données projet'!$A$166&gt;35,DO31+DN32-DW31,IF(A32&lt;'Données projet'!$A$166,$DL$205^A32,IF(A32='Données projet'!$A$166,'Données projet'!$B$166,DO31+DN32-DW31)))</f>
        <v>237.63571428571424</v>
      </c>
      <c r="DP32" s="17">
        <f>DO32*VLOOKUP('Données projet'!$B$14,Paramètres!$A$1:$I$89,3,0)*VLOOKUP('Données projet'!$B$14,Paramètres!$A$1:$I$89,5,0)</f>
        <v>132.83836428571425</v>
      </c>
      <c r="DQ32" s="13">
        <f t="shared" si="43"/>
        <v>34.651395262904387</v>
      </c>
      <c r="DR32" s="20">
        <f t="shared" si="16"/>
        <v>291.71133121384406</v>
      </c>
      <c r="DS32" s="59">
        <f t="shared" si="17"/>
        <v>583.8224423249552</v>
      </c>
      <c r="DT32" s="59">
        <f ca="1">AVERAGE(OFFSET($DS$3,0,0,'Données projet'!$E$14+1,1))-AVERAGE(OFFSET($H$3,0,0,'Données projet'!$E$14+1,1))</f>
        <v>328.15217666639006</v>
      </c>
      <c r="DU32" s="59">
        <f t="shared" si="44"/>
        <v>305.59175773326308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12.38325084413492</v>
      </c>
      <c r="EB32" s="21">
        <f>EXP(-LN(2)/25)*EB31+(1-EXP(-LN(2)/25))/(LN(2)/25)*Calculateur!DW32*Calculateur!DY32*VLOOKUP('Données projet'!$B$14,Paramètres!$A$1:$I$89,3,0)*0.475*44/12</f>
        <v>17.667497528380245</v>
      </c>
      <c r="EC32" s="21">
        <f>EXP(-LN(2)/2)*EC31+(1-EXP(-LN(2)/2))/(LN(2)/2)*DW32*DZ32*VLOOKUP('Données projet'!$B$14,Paramètres!$A$1:$I$89,3,0)*0.475*44/12</f>
        <v>12.474277370358035</v>
      </c>
      <c r="ED32" s="22">
        <f t="shared" si="18"/>
        <v>42.525025742873197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7.2</v>
      </c>
      <c r="EJ32" s="12">
        <f>IF('Données projet'!$A$192&gt;35,EJ31+EI32-ER31,IF(A32&lt;'Données projet'!$A$192,$EG$205^A32,IF(A32='Données projet'!$A$192,'Données projet'!$B$192,EJ31+EI32-ER31)))</f>
        <v>118.8</v>
      </c>
      <c r="EK32" s="17">
        <f>EJ32*VLOOKUP('Données projet'!$B$15,Paramètres!$A$1:$I$89,3,0)*VLOOKUP('Données projet'!$B$15,Paramètres!$A$1:$I$89,5,0)</f>
        <v>87.104160000000007</v>
      </c>
      <c r="EL32" s="13">
        <f t="shared" si="45"/>
        <v>23.865494318543401</v>
      </c>
      <c r="EM32" s="20">
        <f t="shared" si="19"/>
        <v>193.27214793812973</v>
      </c>
      <c r="EN32" s="59">
        <f t="shared" si="20"/>
        <v>485.38325904924091</v>
      </c>
      <c r="EO32" s="59">
        <f ca="1">AVERAGE(OFFSET($EN$3,0,0,'Données projet'!$E$15+1,1))-AVERAGE(OFFSET($H$3,0,0,'Données projet'!$E$15+1,1))</f>
        <v>159.78276497127206</v>
      </c>
      <c r="EP32" s="59">
        <f t="shared" si="46"/>
        <v>190.72163407919857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1.3201353206547595</v>
      </c>
      <c r="EW32" s="21">
        <f>EXP(-LN(2)/25)*EW31+(1-EXP(-LN(2)/25))/(LN(2)/25)*Calculateur!ER32*Calculateur!ET32*VLOOKUP('Données projet'!$B$15,Paramètres!$A$1:$I$89,3,0)*0.475*44/12</f>
        <v>17.641519346291009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18.961654666945769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5.3214035087719296</v>
      </c>
      <c r="FE32" s="12">
        <f>IF('Données projet'!$A$218&gt;35,FE31+FD32-FM31,IF(A32&lt;'Données projet'!$A$218,$FB$205^A32,IF(A32='Données projet'!$A$218,'Données projet'!$B$218,FE31+FD32-FM31)))</f>
        <v>154.32070175438608</v>
      </c>
      <c r="FF32" s="17">
        <f>FE32*VLOOKUP('Données projet'!$B$16,Paramètres!$A$1:$I$89,3,0)*VLOOKUP('Données projet'!$B$16,Paramètres!$A$1:$I$89,5,0)</f>
        <v>132.40716210526327</v>
      </c>
      <c r="FG32" s="13">
        <f t="shared" si="47"/>
        <v>34.551988483979009</v>
      </c>
      <c r="FH32" s="20">
        <f t="shared" si="22"/>
        <v>290.78718727626364</v>
      </c>
      <c r="FI32" s="59">
        <f t="shared" si="23"/>
        <v>582.89829838737478</v>
      </c>
      <c r="FJ32" s="59">
        <f ca="1">AVERAGE(OFFSET($FI$3,0,0,'Données projet'!$E$16+1,1))-AVERAGE(OFFSET($H$3,0,0,'Données projet'!$E$16+1,1))</f>
        <v>337.15023592377008</v>
      </c>
      <c r="FK32" s="59">
        <f t="shared" si="48"/>
        <v>286.60608582587099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4.0942857142857143</v>
      </c>
      <c r="FZ32" s="12">
        <f>IF('Données projet'!$A$244&gt;35,FZ31+FY32-GH31,IF(A32&lt;'Données projet'!$A$244,$FW$205^A32,IF(A32='Données projet'!$A$244,'Données projet'!$B$244,FZ31+FY32-GH31)))</f>
        <v>118.73428571428579</v>
      </c>
      <c r="GA32" s="17">
        <f>FZ32*VLOOKUP('Données projet'!$B$17,Paramètres!$A$1:$I$89,3,0)*VLOOKUP('Données projet'!$B$17,Paramètres!$A$1:$I$89,5,0)</f>
        <v>107.43078171428577</v>
      </c>
      <c r="GB32" s="13">
        <f t="shared" si="49"/>
        <v>28.724826611108305</v>
      </c>
      <c r="GC32" s="20">
        <f t="shared" si="25"/>
        <v>237.13768450006134</v>
      </c>
      <c r="GD32" s="59">
        <f t="shared" si="26"/>
        <v>529.24879561117245</v>
      </c>
      <c r="GE32" s="59">
        <f ca="1">AVERAGE(OFFSET($GD$3,0,0,'Données projet'!$E$17+1,1))-AVERAGE(OFFSET($H$3,0,0,'Données projet'!$E$17+1,1))</f>
        <v>486.55344536255876</v>
      </c>
      <c r="GF32" s="59">
        <f t="shared" si="50"/>
        <v>231.14794884432229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307.2964035492613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8.2014285714285702</v>
      </c>
      <c r="N33" s="13">
        <f>IF('Données projet'!$A$36&gt;35,N32+M33-V32,IF(A33&lt;'Données projet'!$A$36,$K$205^A33,IF(A33='Données projet'!$A$36,'Données projet'!$B$36,N32+M33-V32)))</f>
        <v>246.0428571428572</v>
      </c>
      <c r="O33" s="13">
        <f>N33*VLOOKUP('Données projet'!$B$9,Paramètres!$A$1:$I$89,3,0)*VLOOKUP('Données projet'!$B$9,Paramètres!$A$1:$I$89,5,0)</f>
        <v>115.14805714285717</v>
      </c>
      <c r="P33" s="13">
        <f t="shared" si="33"/>
        <v>30.540659396202962</v>
      </c>
      <c r="Q33" s="20">
        <f t="shared" si="2"/>
        <v>253.74118130552972</v>
      </c>
      <c r="R33" s="59">
        <f t="shared" si="0"/>
        <v>547.07451463886309</v>
      </c>
      <c r="S33" s="59">
        <f ca="1">AVERAGE(OFFSET($R$3,0,0,'Données projet'!$E$9+1,1))-AVERAGE(OFFSET($H$3,0,0,'Données projet'!$E$9+1,1))</f>
        <v>252.08270526008477</v>
      </c>
      <c r="T33" s="59">
        <f t="shared" si="34"/>
        <v>239.77811108960179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17.804285714285715</v>
      </c>
      <c r="AI33" s="13">
        <f>IF('Données projet'!$A$62&gt;35,AI32+AH33-AQ32,IF(A33&lt;'Données projet'!$A$62,$AF$205^A33,IF(A33='Données projet'!$A$62,'Données projet'!$B$62,AI32+AH33-AQ32)))</f>
        <v>205.74428571428572</v>
      </c>
      <c r="AJ33" s="13">
        <f>AI33*VLOOKUP('Données projet'!$B$10,Paramètres!$A$1:$I$89,3,0)*VLOOKUP('Données projet'!$B$10,Paramètres!$A$1:$I$89,5,0)</f>
        <v>123.03508285714287</v>
      </c>
      <c r="AK33" s="13">
        <f t="shared" si="35"/>
        <v>32.381850192327164</v>
      </c>
      <c r="AL33" s="20">
        <f t="shared" si="4"/>
        <v>270.68449172782698</v>
      </c>
      <c r="AM33" s="59">
        <f t="shared" si="5"/>
        <v>564.01782506116024</v>
      </c>
      <c r="AN33" s="59">
        <f ca="1">AVERAGE(OFFSET($AM$3,0,0,'Données projet'!$E$10+1,1))-AVERAGE(OFFSET($H$3,0,0,'Données projet'!$E$10+1,1))</f>
        <v>251.64326096359997</v>
      </c>
      <c r="AO33" s="59">
        <f t="shared" si="36"/>
        <v>256.72142151189894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16.07786597229746</v>
      </c>
      <c r="AV33" s="21">
        <f>EXP(-LN(2)/25)*AV32+(1-EXP(-LN(2)/25))/(LN(2)/25)*Calculateur!AQ33*Calculateur!AS33*VLOOKUP('Données projet'!$B$10,Paramètres!$A$1:$I$89,3,0)*0.475*44/12</f>
        <v>15.2324840178216</v>
      </c>
      <c r="AW33" s="21">
        <f>EXP(-LN(2)/2)*AW32+(1-EXP(-LN(2)/2))/(LN(2)/2)*AQ33*AT33*VLOOKUP('Données projet'!$B$10,Paramètres!$A$1:$I$89,3,0)*0.475*44/12</f>
        <v>6.7449715742126752</v>
      </c>
      <c r="AX33" s="21">
        <f t="shared" si="6"/>
        <v>38.055321564331734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126</v>
      </c>
      <c r="BB33" s="12">
        <f>VLOOKUP(A33,'Données projet'!$A$87:$I$107,9,0)</f>
        <v>7.2</v>
      </c>
      <c r="BC33" s="12">
        <f t="array" ref="BC33">INDEX(BB:BB,MIN(IF(ISNUMBER(BB33:BB229),ROW(BB33:BB229),"")))</f>
        <v>7.2</v>
      </c>
      <c r="BD33" s="12">
        <f>IF('Données projet'!$A$88&gt;35,BD32+BC33-BL32,IF(A33&lt;'Données projet'!$A$88,$BA$205^A33,IF(A33='Données projet'!$A$88,'Données projet'!$B$88,BD32+BC33-BL32)))</f>
        <v>126</v>
      </c>
      <c r="BE33" s="13">
        <f>BD33*VLOOKUP('Données projet'!$B$11,Paramètres!$A$1:$I$89,3,0)*VLOOKUP('Données projet'!$B$11,Paramètres!$A$1:$I$89,5,0)</f>
        <v>114.0048</v>
      </c>
      <c r="BF33" s="13">
        <f t="shared" si="37"/>
        <v>30.272573949217303</v>
      </c>
      <c r="BG33" s="20">
        <f t="shared" si="7"/>
        <v>251.28309296155342</v>
      </c>
      <c r="BH33" s="59">
        <f t="shared" si="8"/>
        <v>544.61642629488676</v>
      </c>
      <c r="BI33" s="59">
        <f ca="1">AVERAGE(OFFSET($BH$3,0,0,'Données projet'!$E$11+1,1))-AVERAGE(OFFSET($H$3,0,0,'Données projet'!$E$11+1,1))</f>
        <v>199.29783428981898</v>
      </c>
      <c r="BJ33" s="59">
        <f t="shared" si="38"/>
        <v>237.32002274562547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0.03</v>
      </c>
      <c r="BN33" s="16">
        <f>IF(ISNA(VLOOKUP(A33,'Données projet'!$A$87:$I$107,6,0)),0%,VLOOKUP(A33,'Données projet'!$A$87:$I$107,6,0)*VLOOKUP('Données projet'!$B$11,Paramètres!$A$1:$I$89,7,0))</f>
        <v>0.15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1.1142958899863329</v>
      </c>
      <c r="BQ33" s="21">
        <f>EXP(-LN(2)/25)*BQ32+(1-EXP(-LN(2)/25))/(LN(2)/25)*Calculateur!BL33*Calculateur!BN33*VLOOKUP('Données projet'!$B$11,Paramètres!$A$1:$I$89,3,0)*0.475*44/12</f>
        <v>14.773306910118118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15.88760280010445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4.016578947368421</v>
      </c>
      <c r="BY33" s="12">
        <f>IF('Données projet'!$A$114&gt;35,BY32+BX33-CG32,IF(A33&lt;'Données projet'!$A$114,$BV$205^A33,IF(A33='Données projet'!$A$114,'Données projet'!$B$114,BY32+BX33-CG32)))</f>
        <v>120.49736842105257</v>
      </c>
      <c r="BZ33" s="13">
        <f>BY33*VLOOKUP('Données projet'!$B$12,Paramètres!$A$1:$I$89,3,0)*VLOOKUP('Données projet'!$B$12,Paramètres!$A$1:$I$89,5,0)</f>
        <v>101.50698315789469</v>
      </c>
      <c r="CA33" s="13">
        <f t="shared" si="39"/>
        <v>27.320702375037609</v>
      </c>
      <c r="CB33" s="20">
        <f t="shared" si="10"/>
        <v>224.37488563652371</v>
      </c>
      <c r="CC33" s="59">
        <f t="shared" si="11"/>
        <v>517.70821896985706</v>
      </c>
      <c r="CD33" s="59">
        <f ca="1">AVERAGE(OFFSET($CC$3,0,0,'Données projet'!$E$12+1,1))-AVERAGE(OFFSET($H$3,0,0,'Données projet'!$E$12+1,1))</f>
        <v>295.59075210589327</v>
      </c>
      <c r="CE33" s="59">
        <f t="shared" si="40"/>
        <v>210.41181542059576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308</v>
      </c>
      <c r="CR33" s="12">
        <f>VLOOKUP(A33,'Données projet'!$A$139:$I$159,9,0)</f>
        <v>25.6</v>
      </c>
      <c r="CS33" s="12">
        <f t="array" ref="CS33">INDEX(CR:CR,MIN(IF(ISNUMBER(CR33:CR229),ROW(CR33:CR229),"")))</f>
        <v>25.6</v>
      </c>
      <c r="CT33" s="12">
        <f>IF('Données projet'!$A$140&gt;35,CT32+CS33-DB32,IF(A33&lt;'Données projet'!$A$140,$CQ$205^A33,IF(A33='Données projet'!$A$140,'Données projet'!$B$140,CT32+CS33-DB32)))</f>
        <v>308.00000000000011</v>
      </c>
      <c r="CU33" s="17">
        <f>CT33*VLOOKUP('Données projet'!$B$13,Paramètres!$A$1:$I$89,3,0)*VLOOKUP('Données projet'!$B$13,Paramètres!$A$1:$I$89,5,0)</f>
        <v>140.14000000000004</v>
      </c>
      <c r="CV33" s="13">
        <f t="shared" si="41"/>
        <v>36.329075663165291</v>
      </c>
      <c r="CW33" s="20">
        <f t="shared" si="13"/>
        <v>307.35030678001294</v>
      </c>
      <c r="CX33" s="59">
        <f t="shared" si="14"/>
        <v>600.6836401133462</v>
      </c>
      <c r="CY33" s="59">
        <f ca="1">AVERAGE(OFFSET($CX$3,0,0,'Données projet'!$E$13+1,1))-AVERAGE(OFFSET($H$3,0,0,'Données projet'!$E$13+1,1))</f>
        <v>338.22448697444298</v>
      </c>
      <c r="CZ33" s="59">
        <f t="shared" si="42"/>
        <v>293.3872365640849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63</v>
      </c>
      <c r="DC33" s="16">
        <f>IF(ISNA(VLOOKUP(A33,'Données projet'!$A$139:$I$159,5,0)),0%,VLOOKUP(A33,'Données projet'!$A$139:$I$159,5,0)*VLOOKUP('Données projet'!$B$13,Paramètres!$A$1:$I$89,7,0))</f>
        <v>0.13750000000000001</v>
      </c>
      <c r="DD33" s="16">
        <f>IF(ISNA(VLOOKUP(A33,'Données projet'!$A$139:$I$159,6,0)),0%,VLOOKUP(A33,'Données projet'!$A$139:$I$159,6,0)*VLOOKUP('Données projet'!$B$13,Paramètres!$A$1:$I$89,7,0))</f>
        <v>0.20350000000000001</v>
      </c>
      <c r="DE33" s="16">
        <f>IF(ISNA(VLOOKUP(A33,'Données projet'!$A$139:$I$159,7,0)),0%,VLOOKUP(A33,'Données projet'!$A$139:$I$159,7,0))</f>
        <v>0.38</v>
      </c>
      <c r="DF33" s="21">
        <f>EXP(-LN(2)/35)*DF32+(1-EXP(-LN(2)/35))/(LN(2)/35)*DB33*DC33*VLOOKUP('Données projet'!$B$13,Paramètres!$A$1:$I$89,3,0)*0.475*44/12</f>
        <v>10.30462251211878</v>
      </c>
      <c r="DG33" s="21">
        <f>EXP(-LN(2)/25)*DG32+(1-EXP(-LN(2)/25))/(LN(2)/25)*Calculateur!DB33*Calculateur!DD33*VLOOKUP('Données projet'!$B$13,Paramètres!$A$1:$I$89,3,0)*0.475*44/12</f>
        <v>14.881465951531176</v>
      </c>
      <c r="DH33" s="21">
        <f>EXP(-LN(2)/2)*DH32+(1-EXP(-LN(2)/2))/(LN(2)/2)*DB33*DE33*VLOOKUP('Données projet'!$B$13,Paramètres!$A$1:$I$89,3,0)*0.475*44/12</f>
        <v>14.543853492884018</v>
      </c>
      <c r="DI33" s="22">
        <f t="shared" si="15"/>
        <v>39.729941956533978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23.265714285714289</v>
      </c>
      <c r="DO33" s="12">
        <f>IF('Données projet'!$A$166&gt;35,DO32+DN33-DW32,IF(A33&lt;'Données projet'!$A$166,$DL$205^A33,IF(A33='Données projet'!$A$166,'Données projet'!$B$166,DO32+DN33-DW32)))</f>
        <v>260.90142857142854</v>
      </c>
      <c r="DP33" s="17">
        <f>DO33*VLOOKUP('Données projet'!$B$14,Paramètres!$A$1:$I$89,3,0)*VLOOKUP('Données projet'!$B$14,Paramètres!$A$1:$I$89,5,0)</f>
        <v>145.84389857142855</v>
      </c>
      <c r="DQ33" s="13">
        <f t="shared" si="43"/>
        <v>37.632557667341459</v>
      </c>
      <c r="DR33" s="20">
        <f t="shared" si="16"/>
        <v>319.55482794919106</v>
      </c>
      <c r="DS33" s="59">
        <f t="shared" si="17"/>
        <v>612.88816128252438</v>
      </c>
      <c r="DT33" s="59">
        <f ca="1">AVERAGE(OFFSET($DS$3,0,0,'Données projet'!$E$14+1,1))-AVERAGE(OFFSET($H$3,0,0,'Données projet'!$E$14+1,1))</f>
        <v>328.15217666639006</v>
      </c>
      <c r="DU33" s="59">
        <f t="shared" si="44"/>
        <v>305.59175773326308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12.14042284811865</v>
      </c>
      <c r="EB33" s="21">
        <f>EXP(-LN(2)/25)*EB32+(1-EXP(-LN(2)/25))/(LN(2)/25)*Calculateur!DW33*Calculateur!DY33*VLOOKUP('Données projet'!$B$14,Paramètres!$A$1:$I$89,3,0)*0.475*44/12</f>
        <v>17.184378879373373</v>
      </c>
      <c r="EC33" s="21">
        <f>EXP(-LN(2)/2)*EC32+(1-EXP(-LN(2)/2))/(LN(2)/2)*DW33*DZ33*VLOOKUP('Données projet'!$B$14,Paramètres!$A$1:$I$89,3,0)*0.475*44/12</f>
        <v>8.8206461189820615</v>
      </c>
      <c r="ED33" s="22">
        <f t="shared" si="18"/>
        <v>38.145447846474084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126</v>
      </c>
      <c r="EH33" s="12">
        <f>VLOOKUP(A33,'Données projet'!$A$191:$I$211,9,0)</f>
        <v>7.2</v>
      </c>
      <c r="EI33" s="12">
        <f t="array" ref="EI33">INDEX(EH:EH,MIN(IF(ISNUMBER(EH33:EH229),ROW(EH33:EH229),"")))</f>
        <v>7.2</v>
      </c>
      <c r="EJ33" s="12">
        <f>IF('Données projet'!$A$192&gt;35,EJ32+EI33-ER32,IF(A33&lt;'Données projet'!$A$192,$EG$205^A33,IF(A33='Données projet'!$A$192,'Données projet'!$B$192,EJ32+EI33-ER32)))</f>
        <v>126</v>
      </c>
      <c r="EK33" s="17">
        <f>EJ33*VLOOKUP('Données projet'!$B$15,Paramètres!$A$1:$I$89,3,0)*VLOOKUP('Données projet'!$B$15,Paramètres!$A$1:$I$89,5,0)</f>
        <v>92.383200000000002</v>
      </c>
      <c r="EL33" s="13">
        <f t="shared" si="45"/>
        <v>25.13911825557507</v>
      </c>
      <c r="EM33" s="20">
        <f t="shared" si="19"/>
        <v>204.68470429512658</v>
      </c>
      <c r="EN33" s="59">
        <f t="shared" si="20"/>
        <v>498.01803762845987</v>
      </c>
      <c r="EO33" s="59">
        <f ca="1">AVERAGE(OFFSET($EN$3,0,0,'Données projet'!$E$15+1,1))-AVERAGE(OFFSET($H$3,0,0,'Données projet'!$E$15+1,1))</f>
        <v>159.78276497127206</v>
      </c>
      <c r="EP33" s="59">
        <f t="shared" si="46"/>
        <v>190.72163407919857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4.3000000000000003E-2</v>
      </c>
      <c r="ET33" s="16">
        <f>IF(ISNA(VLOOKUP(A33,'Données projet'!$A$191:$I$211,6,0)),0%,VLOOKUP(A33,'Données projet'!$A$191:$I$211,6,0)*VLOOKUP('Données projet'!$B$15,Paramètres!$A$1:$I$89,7,0))</f>
        <v>0.215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1.2942482722197581</v>
      </c>
      <c r="EW33" s="21">
        <f>EXP(-LN(2)/25)*EW32+(1-EXP(-LN(2)/25))/(LN(2)/25)*Calculateur!ER33*Calculateur!ET33*VLOOKUP('Données projet'!$B$15,Paramètres!$A$1:$I$89,3,0)*0.475*44/12</f>
        <v>17.159111072039501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18.453359344259258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5.3214035087719296</v>
      </c>
      <c r="FE33" s="12">
        <f>IF('Données projet'!$A$218&gt;35,FE32+FD33-FM32,IF(A33&lt;'Données projet'!$A$218,$FB$205^A33,IF(A33='Données projet'!$A$218,'Données projet'!$B$218,FE32+FD33-FM32)))</f>
        <v>159.64210526315802</v>
      </c>
      <c r="FF33" s="17">
        <f>FE33*VLOOKUP('Données projet'!$B$16,Paramètres!$A$1:$I$89,3,0)*VLOOKUP('Données projet'!$B$16,Paramètres!$A$1:$I$89,5,0)</f>
        <v>136.97292631578958</v>
      </c>
      <c r="FG33" s="13">
        <f t="shared" si="47"/>
        <v>35.602665669932307</v>
      </c>
      <c r="FH33" s="20">
        <f t="shared" si="22"/>
        <v>300.56915604179892</v>
      </c>
      <c r="FI33" s="59">
        <f t="shared" si="23"/>
        <v>593.90248937513229</v>
      </c>
      <c r="FJ33" s="59">
        <f ca="1">AVERAGE(OFFSET($FI$3,0,0,'Données projet'!$E$16+1,1))-AVERAGE(OFFSET($H$3,0,0,'Données projet'!$E$16+1,1))</f>
        <v>337.15023592377008</v>
      </c>
      <c r="FK33" s="59">
        <f t="shared" si="48"/>
        <v>286.60608582587099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4.0942857142857143</v>
      </c>
      <c r="FZ33" s="12">
        <f>IF('Données projet'!$A$244&gt;35,FZ32+FY33-GH32,IF(A33&lt;'Données projet'!$A$244,$FW$205^A33,IF(A33='Données projet'!$A$244,'Données projet'!$B$244,FZ32+FY33-GH32)))</f>
        <v>122.82857142857151</v>
      </c>
      <c r="GA33" s="17">
        <f>FZ33*VLOOKUP('Données projet'!$B$17,Paramètres!$A$1:$I$89,3,0)*VLOOKUP('Données projet'!$B$17,Paramètres!$A$1:$I$89,5,0)</f>
        <v>111.13529142857149</v>
      </c>
      <c r="GB33" s="13">
        <f t="shared" si="49"/>
        <v>29.598308031859261</v>
      </c>
      <c r="GC33" s="20">
        <f t="shared" si="25"/>
        <v>245.11101906025024</v>
      </c>
      <c r="GD33" s="59">
        <f t="shared" si="26"/>
        <v>538.44435239358359</v>
      </c>
      <c r="GE33" s="59">
        <f ca="1">AVERAGE(OFFSET($GD$3,0,0,'Données projet'!$E$17+1,1))-AVERAGE(OFFSET($H$3,0,0,'Données projet'!$E$17+1,1))</f>
        <v>486.55344536255876</v>
      </c>
      <c r="GF33" s="59">
        <f t="shared" si="50"/>
        <v>231.14794884432229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308.93556432326409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8.2014285714285702</v>
      </c>
      <c r="N34" s="13">
        <f>IF('Données projet'!$A$36&gt;35,N33+M34-V33,IF(A34&lt;'Données projet'!$A$36,$K$205^A34,IF(A34='Données projet'!$A$36,'Données projet'!$B$36,N33+M34-V33)))</f>
        <v>254.24428571428578</v>
      </c>
      <c r="O34" s="13">
        <f>N34*VLOOKUP('Données projet'!$B$9,Paramètres!$A$1:$I$89,3,0)*VLOOKUP('Données projet'!$B$9,Paramètres!$A$1:$I$89,5,0)</f>
        <v>118.98632571428574</v>
      </c>
      <c r="P34" s="13">
        <f t="shared" si="33"/>
        <v>31.438459813319049</v>
      </c>
      <c r="Q34" s="20">
        <f t="shared" si="2"/>
        <v>261.98983479391171</v>
      </c>
      <c r="R34" s="59">
        <f t="shared" si="0"/>
        <v>555.32316812724503</v>
      </c>
      <c r="S34" s="59">
        <f ca="1">AVERAGE(OFFSET($R$3,0,0,'Données projet'!$E$9+1,1))-AVERAGE(OFFSET($H$3,0,0,'Données projet'!$E$9+1,1))</f>
        <v>252.08270526008477</v>
      </c>
      <c r="T34" s="59">
        <f t="shared" si="34"/>
        <v>239.77811108960179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17.804285714285715</v>
      </c>
      <c r="AI34" s="13">
        <f>IF('Données projet'!$A$62&gt;35,AI33+AH34-AQ33,IF(A34&lt;'Données projet'!$A$62,$AF$205^A34,IF(A34='Données projet'!$A$62,'Données projet'!$B$62,AI33+AH34-AQ33)))</f>
        <v>223.54857142857145</v>
      </c>
      <c r="AJ34" s="13">
        <f>AI34*VLOOKUP('Données projet'!$B$10,Paramètres!$A$1:$I$89,3,0)*VLOOKUP('Données projet'!$B$10,Paramètres!$A$1:$I$89,5,0)</f>
        <v>133.68204571428575</v>
      </c>
      <c r="AK34" s="13">
        <f t="shared" si="35"/>
        <v>34.84578405456601</v>
      </c>
      <c r="AL34" s="20">
        <f t="shared" si="4"/>
        <v>293.51930351408345</v>
      </c>
      <c r="AM34" s="59">
        <f t="shared" si="5"/>
        <v>586.85263684741676</v>
      </c>
      <c r="AN34" s="59">
        <f ca="1">AVERAGE(OFFSET($AM$3,0,0,'Données projet'!$E$10+1,1))-AVERAGE(OFFSET($H$3,0,0,'Données projet'!$E$10+1,1))</f>
        <v>251.64326096359997</v>
      </c>
      <c r="AO34" s="59">
        <f t="shared" si="36"/>
        <v>256.72142151189894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15.762588827110635</v>
      </c>
      <c r="AV34" s="21">
        <f>EXP(-LN(2)/25)*AV33+(1-EXP(-LN(2)/25))/(LN(2)/25)*Calculateur!AQ34*Calculateur!AS34*VLOOKUP('Données projet'!$B$10,Paramètres!$A$1:$I$89,3,0)*0.475*44/12</f>
        <v>14.815950941312748</v>
      </c>
      <c r="AW34" s="21">
        <f>EXP(-LN(2)/2)*AW33+(1-EXP(-LN(2)/2))/(LN(2)/2)*AQ34*AT34*VLOOKUP('Données projet'!$B$10,Paramètres!$A$1:$I$89,3,0)*0.475*44/12</f>
        <v>4.7694151390362851</v>
      </c>
      <c r="AX34" s="21">
        <f t="shared" si="6"/>
        <v>35.347954907459666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133.19999999999999</v>
      </c>
      <c r="BE34" s="13">
        <f>BD34*VLOOKUP('Données projet'!$B$11,Paramètres!$A$1:$I$89,3,0)*VLOOKUP('Données projet'!$B$11,Paramètres!$A$1:$I$89,5,0)</f>
        <v>120.51935999999998</v>
      </c>
      <c r="BF34" s="13">
        <f t="shared" si="37"/>
        <v>31.796101022354524</v>
      </c>
      <c r="BG34" s="20">
        <f t="shared" si="7"/>
        <v>265.28276128060071</v>
      </c>
      <c r="BH34" s="59">
        <f t="shared" si="8"/>
        <v>558.61609461393402</v>
      </c>
      <c r="BI34" s="59">
        <f ca="1">AVERAGE(OFFSET($BH$3,0,0,'Données projet'!$E$11+1,1))-AVERAGE(OFFSET($H$3,0,0,'Données projet'!$E$11+1,1))</f>
        <v>199.29783428981898</v>
      </c>
      <c r="BJ34" s="59">
        <f t="shared" si="38"/>
        <v>237.32002274562547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1.0924452272370837</v>
      </c>
      <c r="BQ34" s="21">
        <f>EXP(-LN(2)/25)*BQ33+(1-EXP(-LN(2)/25))/(LN(2)/25)*Calculateur!BL34*Calculateur!BN34*VLOOKUP('Données projet'!$B$11,Paramètres!$A$1:$I$89,3,0)*0.475*44/12</f>
        <v>14.369330055766492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15.461775283003576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4.016578947368421</v>
      </c>
      <c r="BY34" s="12">
        <f>IF('Données projet'!$A$114&gt;35,BY33+BX34-CG33,IF(A34&lt;'Données projet'!$A$114,$BV$205^A34,IF(A34='Données projet'!$A$114,'Données projet'!$B$114,BY33+BX34-CG33)))</f>
        <v>124.51394736842099</v>
      </c>
      <c r="BZ34" s="13">
        <f>BY34*VLOOKUP('Données projet'!$B$12,Paramètres!$A$1:$I$89,3,0)*VLOOKUP('Données projet'!$B$12,Paramètres!$A$1:$I$89,5,0)</f>
        <v>104.89054926315785</v>
      </c>
      <c r="CA34" s="13">
        <f t="shared" si="39"/>
        <v>28.123846068498963</v>
      </c>
      <c r="CB34" s="20">
        <f t="shared" si="10"/>
        <v>231.66673853596896</v>
      </c>
      <c r="CC34" s="59">
        <f t="shared" si="11"/>
        <v>525.00007186930225</v>
      </c>
      <c r="CD34" s="59">
        <f ca="1">AVERAGE(OFFSET($CC$3,0,0,'Données projet'!$E$12+1,1))-AVERAGE(OFFSET($H$3,0,0,'Données projet'!$E$12+1,1))</f>
        <v>295.59075210589327</v>
      </c>
      <c r="CE34" s="59">
        <f t="shared" si="40"/>
        <v>210.41181542059576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26.2</v>
      </c>
      <c r="CT34" s="12">
        <f>IF('Données projet'!$A$140&gt;35,CT33+CS34-DB33,IF(A34&lt;'Données projet'!$A$140,$CQ$205^A34,IF(A34='Données projet'!$A$140,'Données projet'!$B$140,CT33+CS34-DB33)))</f>
        <v>271.2000000000001</v>
      </c>
      <c r="CU34" s="17">
        <f>CT34*VLOOKUP('Données projet'!$B$13,Paramètres!$A$1:$I$89,3,0)*VLOOKUP('Données projet'!$B$13,Paramètres!$A$1:$I$89,5,0)</f>
        <v>123.39600000000004</v>
      </c>
      <c r="CV34" s="13">
        <f t="shared" si="41"/>
        <v>32.465769489878191</v>
      </c>
      <c r="CW34" s="20">
        <f t="shared" si="13"/>
        <v>271.45924852820457</v>
      </c>
      <c r="CX34" s="59">
        <f t="shared" si="14"/>
        <v>564.79258186153788</v>
      </c>
      <c r="CY34" s="59">
        <f ca="1">AVERAGE(OFFSET($CX$3,0,0,'Données projet'!$E$13+1,1))-AVERAGE(OFFSET($H$3,0,0,'Données projet'!$E$13+1,1))</f>
        <v>338.22448697444298</v>
      </c>
      <c r="CZ34" s="59">
        <f t="shared" si="42"/>
        <v>293.3872365640849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10.102555149855251</v>
      </c>
      <c r="DG34" s="21">
        <f>EXP(-LN(2)/25)*DG33+(1-EXP(-LN(2)/25))/(LN(2)/25)*Calculateur!DB34*Calculateur!DD34*VLOOKUP('Données projet'!$B$13,Paramètres!$A$1:$I$89,3,0)*0.475*44/12</f>
        <v>14.474531482504274</v>
      </c>
      <c r="DH34" s="21">
        <f>EXP(-LN(2)/2)*DH33+(1-EXP(-LN(2)/2))/(LN(2)/2)*DB34*DE34*VLOOKUP('Données projet'!$B$13,Paramètres!$A$1:$I$89,3,0)*0.475*44/12</f>
        <v>10.284057429401946</v>
      </c>
      <c r="DI34" s="22">
        <f t="shared" si="15"/>
        <v>34.861144061761472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23.265714285714289</v>
      </c>
      <c r="DO34" s="12">
        <f>IF('Données projet'!$A$166&gt;35,DO33+DN34-DW33,IF(A34&lt;'Données projet'!$A$166,$DL$205^A34,IF(A34='Données projet'!$A$166,'Données projet'!$B$166,DO33+DN34-DW33)))</f>
        <v>284.16714285714284</v>
      </c>
      <c r="DP34" s="17">
        <f>DO34*VLOOKUP('Données projet'!$B$14,Paramètres!$A$1:$I$89,3,0)*VLOOKUP('Données projet'!$B$14,Paramètres!$A$1:$I$89,5,0)</f>
        <v>158.84943285714286</v>
      </c>
      <c r="DQ34" s="13">
        <f t="shared" si="43"/>
        <v>40.582892872917235</v>
      </c>
      <c r="DR34" s="20">
        <f t="shared" si="16"/>
        <v>347.34463397985468</v>
      </c>
      <c r="DS34" s="59">
        <f t="shared" si="17"/>
        <v>640.67796731318799</v>
      </c>
      <c r="DT34" s="59">
        <f ca="1">AVERAGE(OFFSET($DS$3,0,0,'Données projet'!$E$14+1,1))-AVERAGE(OFFSET($H$3,0,0,'Données projet'!$E$14+1,1))</f>
        <v>328.15217666639006</v>
      </c>
      <c r="DU34" s="59">
        <f t="shared" si="44"/>
        <v>305.59175773326308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11.902356560993805</v>
      </c>
      <c r="EB34" s="21">
        <f>EXP(-LN(2)/25)*EB33+(1-EXP(-LN(2)/25))/(LN(2)/25)*Calculateur!DW34*Calculateur!DY34*VLOOKUP('Données projet'!$B$14,Paramètres!$A$1:$I$89,3,0)*0.475*44/12</f>
        <v>16.714471135229697</v>
      </c>
      <c r="EC34" s="21">
        <f>EXP(-LN(2)/2)*EC33+(1-EXP(-LN(2)/2))/(LN(2)/2)*DW34*DZ34*VLOOKUP('Données projet'!$B$14,Paramètres!$A$1:$I$89,3,0)*0.475*44/12</f>
        <v>6.2371386851790183</v>
      </c>
      <c r="ED34" s="22">
        <f t="shared" si="18"/>
        <v>34.853966381402522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7.2</v>
      </c>
      <c r="EJ34" s="12">
        <f>IF('Données projet'!$A$192&gt;35,EJ33+EI34-ER33,IF(A34&lt;'Données projet'!$A$192,$EG$205^A34,IF(A34='Données projet'!$A$192,'Données projet'!$B$192,EJ33+EI34-ER33)))</f>
        <v>133.19999999999999</v>
      </c>
      <c r="EK34" s="17">
        <f>EJ34*VLOOKUP('Données projet'!$B$15,Paramètres!$A$1:$I$89,3,0)*VLOOKUP('Données projet'!$B$15,Paramètres!$A$1:$I$89,5,0)</f>
        <v>97.662239999999997</v>
      </c>
      <c r="EL34" s="13">
        <f t="shared" si="45"/>
        <v>26.404294032217511</v>
      </c>
      <c r="EM34" s="20">
        <f t="shared" si="19"/>
        <v>216.08254677277884</v>
      </c>
      <c r="EN34" s="59">
        <f t="shared" si="20"/>
        <v>509.41588010611213</v>
      </c>
      <c r="EO34" s="59">
        <f ca="1">AVERAGE(OFFSET($EN$3,0,0,'Données projet'!$E$15+1,1))-AVERAGE(OFFSET($H$3,0,0,'Données projet'!$E$15+1,1))</f>
        <v>159.78276497127206</v>
      </c>
      <c r="EP34" s="59">
        <f t="shared" si="46"/>
        <v>190.72163407919857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1.2688688530150267</v>
      </c>
      <c r="EW34" s="21">
        <f>EXP(-LN(2)/25)*EW33+(1-EXP(-LN(2)/25))/(LN(2)/25)*Calculateur!ER34*Calculateur!ET34*VLOOKUP('Données projet'!$B$15,Paramètres!$A$1:$I$89,3,0)*0.475*44/12</f>
        <v>16.689894277416148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17.958763130431173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5.3214035087719296</v>
      </c>
      <c r="FE34" s="12">
        <f>IF('Données projet'!$A$218&gt;35,FE33+FD34-FM33,IF(A34&lt;'Données projet'!$A$218,$FB$205^A34,IF(A34='Données projet'!$A$218,'Données projet'!$B$218,FE33+FD34-FM33)))</f>
        <v>164.96350877192995</v>
      </c>
      <c r="FF34" s="17">
        <f>FE34*VLOOKUP('Données projet'!$B$16,Paramètres!$A$1:$I$89,3,0)*VLOOKUP('Données projet'!$B$16,Paramètres!$A$1:$I$89,5,0)</f>
        <v>141.53869052631592</v>
      </c>
      <c r="FG34" s="13">
        <f t="shared" si="47"/>
        <v>36.6492733306982</v>
      </c>
      <c r="FH34" s="20">
        <f t="shared" si="22"/>
        <v>310.34403705096628</v>
      </c>
      <c r="FI34" s="59">
        <f t="shared" si="23"/>
        <v>603.67737038429959</v>
      </c>
      <c r="FJ34" s="59">
        <f ca="1">AVERAGE(OFFSET($FI$3,0,0,'Données projet'!$E$16+1,1))-AVERAGE(OFFSET($H$3,0,0,'Données projet'!$E$16+1,1))</f>
        <v>337.15023592377008</v>
      </c>
      <c r="FK34" s="59">
        <f t="shared" si="48"/>
        <v>286.60608582587099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4.0942857142857143</v>
      </c>
      <c r="FZ34" s="12">
        <f>IF('Données projet'!$A$244&gt;35,FZ33+FY34-GH33,IF(A34&lt;'Données projet'!$A$244,$FW$205^A34,IF(A34='Données projet'!$A$244,'Données projet'!$B$244,FZ33+FY34-GH33)))</f>
        <v>126.92285714285723</v>
      </c>
      <c r="GA34" s="17">
        <f>FZ34*VLOOKUP('Données projet'!$B$17,Paramètres!$A$1:$I$89,3,0)*VLOOKUP('Données projet'!$B$17,Paramètres!$A$1:$I$89,5,0)</f>
        <v>114.83980114285721</v>
      </c>
      <c r="GB34" s="13">
        <f t="shared" si="49"/>
        <v>30.468406249196239</v>
      </c>
      <c r="GC34" s="20">
        <f t="shared" si="25"/>
        <v>253.07846120782642</v>
      </c>
      <c r="GD34" s="59">
        <f t="shared" si="26"/>
        <v>546.41179454115968</v>
      </c>
      <c r="GE34" s="59">
        <f ca="1">AVERAGE(OFFSET($GD$3,0,0,'Données projet'!$E$17+1,1))-AVERAGE(OFFSET($H$3,0,0,'Données projet'!$E$17+1,1))</f>
        <v>486.55344536255876</v>
      </c>
      <c r="GF34" s="59">
        <f t="shared" si="50"/>
        <v>231.14794884432229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310.57336750557573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8.2014285714285702</v>
      </c>
      <c r="N35" s="13">
        <f>IF('Données projet'!$A$36&gt;35,N34+M35-V34,IF(A35&lt;'Données projet'!$A$36,$K$205^A35,IF(A35='Données projet'!$A$36,'Données projet'!$B$36,N34+M35-V34)))</f>
        <v>262.44571428571436</v>
      </c>
      <c r="O35" s="13">
        <f>N35*VLOOKUP('Données projet'!$B$9,Paramètres!$A$1:$I$89,3,0)*VLOOKUP('Données projet'!$B$9,Paramètres!$A$1:$I$89,5,0)</f>
        <v>122.82459428571431</v>
      </c>
      <c r="P35" s="13">
        <f t="shared" si="33"/>
        <v>32.332894839094592</v>
      </c>
      <c r="Q35" s="20">
        <f t="shared" ref="Q35:Q66" si="53">(O35+P35)*0.475*44/12</f>
        <v>270.23262689237549</v>
      </c>
      <c r="R35" s="59">
        <f t="shared" si="0"/>
        <v>563.56596022570875</v>
      </c>
      <c r="S35" s="59">
        <f ca="1">AVERAGE(OFFSET($R$3,0,0,'Données projet'!$E$9+1,1))-AVERAGE(OFFSET($H$3,0,0,'Données projet'!$E$9+1,1))</f>
        <v>252.08270526008477</v>
      </c>
      <c r="T35" s="59">
        <f t="shared" si="34"/>
        <v>239.77811108960179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17.804285714285715</v>
      </c>
      <c r="AI35" s="13">
        <f>IF('Données projet'!$A$62&gt;35,AI34+AH35-AQ34,IF(A35&lt;'Données projet'!$A$62,$AF$205^A35,IF(A35='Données projet'!$A$62,'Données projet'!$B$62,AI34+AH35-AQ34)))</f>
        <v>241.35285714285718</v>
      </c>
      <c r="AJ35" s="13">
        <f>AI35*VLOOKUP('Données projet'!$B$10,Paramètres!$A$1:$I$89,3,0)*VLOOKUP('Données projet'!$B$10,Paramètres!$A$1:$I$89,5,0)</f>
        <v>144.3290085714286</v>
      </c>
      <c r="AK35" s="13">
        <f t="shared" si="35"/>
        <v>37.286956054873187</v>
      </c>
      <c r="AL35" s="20">
        <f t="shared" si="4"/>
        <v>316.31447172414227</v>
      </c>
      <c r="AM35" s="59">
        <f t="shared" si="5"/>
        <v>609.64780505747558</v>
      </c>
      <c r="AN35" s="59">
        <f ca="1">AVERAGE(OFFSET($AM$3,0,0,'Données projet'!$E$10+1,1))-AVERAGE(OFFSET($H$3,0,0,'Données projet'!$E$10+1,1))</f>
        <v>251.64326096359997</v>
      </c>
      <c r="AO35" s="59">
        <f t="shared" si="36"/>
        <v>256.72142151189894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15.453494074440854</v>
      </c>
      <c r="AV35" s="21">
        <f>EXP(-LN(2)/25)*AV34+(1-EXP(-LN(2)/25))/(LN(2)/25)*Calculateur!AQ35*Calculateur!AS35*VLOOKUP('Données projet'!$B$10,Paramètres!$A$1:$I$89,3,0)*0.475*44/12</f>
        <v>14.410807983685553</v>
      </c>
      <c r="AW35" s="21">
        <f>EXP(-LN(2)/2)*AW34+(1-EXP(-LN(2)/2))/(LN(2)/2)*AQ35*AT35*VLOOKUP('Données projet'!$B$10,Paramètres!$A$1:$I$89,3,0)*0.475*44/12</f>
        <v>3.3724857871063376</v>
      </c>
      <c r="AX35" s="21">
        <f t="shared" si="6"/>
        <v>33.23678784523274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140.39999999999998</v>
      </c>
      <c r="BE35" s="13">
        <f>BD35*VLOOKUP('Données projet'!$B$11,Paramètres!$A$1:$I$89,3,0)*VLOOKUP('Données projet'!$B$11,Paramètres!$A$1:$I$89,5,0)</f>
        <v>127.03391999999998</v>
      </c>
      <c r="BF35" s="13">
        <f t="shared" si="37"/>
        <v>33.31006740655728</v>
      </c>
      <c r="BG35" s="20">
        <f t="shared" si="7"/>
        <v>279.26577806642058</v>
      </c>
      <c r="BH35" s="59">
        <f t="shared" si="8"/>
        <v>572.59911139975384</v>
      </c>
      <c r="BI35" s="59">
        <f ca="1">AVERAGE(OFFSET($BH$3,0,0,'Données projet'!$E$11+1,1))-AVERAGE(OFFSET($H$3,0,0,'Données projet'!$E$11+1,1))</f>
        <v>199.29783428981898</v>
      </c>
      <c r="BJ35" s="59">
        <f t="shared" si="38"/>
        <v>237.32002274562547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1.0710230426567589</v>
      </c>
      <c r="BQ35" s="21">
        <f>EXP(-LN(2)/25)*BQ34+(1-EXP(-LN(2)/25))/(LN(2)/25)*Calculateur!BL35*Calculateur!BN35*VLOOKUP('Données projet'!$B$11,Paramètres!$A$1:$I$89,3,0)*0.475*44/12</f>
        <v>13.976399969741331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15.04742301239809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4.016578947368421</v>
      </c>
      <c r="BY35" s="12">
        <f>IF('Données projet'!$A$114&gt;35,BY34+BX35-CG34,IF(A35&lt;'Données projet'!$A$114,$BV$205^A35,IF(A35='Données projet'!$A$114,'Données projet'!$B$114,BY34+BX35-CG34)))</f>
        <v>128.53052631578942</v>
      </c>
      <c r="BZ35" s="13">
        <f>BY35*VLOOKUP('Données projet'!$B$12,Paramètres!$A$1:$I$89,3,0)*VLOOKUP('Données projet'!$B$12,Paramètres!$A$1:$I$89,5,0)</f>
        <v>108.27411536842101</v>
      </c>
      <c r="CA35" s="13">
        <f t="shared" si="39"/>
        <v>28.923979189922736</v>
      </c>
      <c r="CB35" s="20">
        <f t="shared" si="10"/>
        <v>238.95334802244869</v>
      </c>
      <c r="CC35" s="59">
        <f t="shared" si="11"/>
        <v>532.28668135578198</v>
      </c>
      <c r="CD35" s="59">
        <f ca="1">AVERAGE(OFFSET($CC$3,0,0,'Données projet'!$E$12+1,1))-AVERAGE(OFFSET($H$3,0,0,'Données projet'!$E$12+1,1))</f>
        <v>295.59075210589327</v>
      </c>
      <c r="CE35" s="59">
        <f t="shared" si="40"/>
        <v>210.41181542059576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26.2</v>
      </c>
      <c r="CT35" s="12">
        <f>IF('Données projet'!$A$140&gt;35,CT34+CS35-DB34,IF(A35&lt;'Données projet'!$A$140,$CQ$205^A35,IF(A35='Données projet'!$A$140,'Données projet'!$B$140,CT34+CS35-DB34)))</f>
        <v>297.40000000000009</v>
      </c>
      <c r="CU35" s="17">
        <f>CT35*VLOOKUP('Données projet'!$B$13,Paramètres!$A$1:$I$89,3,0)*VLOOKUP('Données projet'!$B$13,Paramètres!$A$1:$I$89,5,0)</f>
        <v>135.31700000000004</v>
      </c>
      <c r="CV35" s="13">
        <f t="shared" si="41"/>
        <v>35.222080953244955</v>
      </c>
      <c r="CW35" s="20">
        <f t="shared" si="13"/>
        <v>297.02223266023503</v>
      </c>
      <c r="CX35" s="59">
        <f t="shared" si="14"/>
        <v>590.35556599356835</v>
      </c>
      <c r="CY35" s="59">
        <f ca="1">AVERAGE(OFFSET($CX$3,0,0,'Données projet'!$E$13+1,1))-AVERAGE(OFFSET($H$3,0,0,'Données projet'!$E$13+1,1))</f>
        <v>338.22448697444298</v>
      </c>
      <c r="CZ35" s="59">
        <f t="shared" si="42"/>
        <v>293.3872365640849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9.9044502053167882</v>
      </c>
      <c r="DG35" s="21">
        <f>EXP(-LN(2)/25)*DG34+(1-EXP(-LN(2)/25))/(LN(2)/25)*Calculateur!DB35*Calculateur!DD35*VLOOKUP('Données projet'!$B$13,Paramètres!$A$1:$I$89,3,0)*0.475*44/12</f>
        <v>14.078724657932666</v>
      </c>
      <c r="DH35" s="21">
        <f>EXP(-LN(2)/2)*DH34+(1-EXP(-LN(2)/2))/(LN(2)/2)*DB35*DE35*VLOOKUP('Données projet'!$B$13,Paramètres!$A$1:$I$89,3,0)*0.475*44/12</f>
        <v>7.271926746442011</v>
      </c>
      <c r="DI35" s="22">
        <f t="shared" si="15"/>
        <v>31.255101609691465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23.265714285714289</v>
      </c>
      <c r="DO35" s="12">
        <f>IF('Données projet'!$A$166&gt;35,DO34+DN35-DW34,IF(A35&lt;'Données projet'!$A$166,$DL$205^A35,IF(A35='Données projet'!$A$166,'Données projet'!$B$166,DO34+DN35-DW34)))</f>
        <v>307.43285714285713</v>
      </c>
      <c r="DP35" s="17">
        <f>DO35*VLOOKUP('Données projet'!$B$14,Paramètres!$A$1:$I$89,3,0)*VLOOKUP('Données projet'!$B$14,Paramètres!$A$1:$I$89,5,0)</f>
        <v>171.85496714285716</v>
      </c>
      <c r="DQ35" s="13">
        <f t="shared" si="43"/>
        <v>43.505211750246715</v>
      </c>
      <c r="DR35" s="20">
        <f t="shared" si="16"/>
        <v>375.08564490548923</v>
      </c>
      <c r="DS35" s="59">
        <f t="shared" si="17"/>
        <v>668.41897823882255</v>
      </c>
      <c r="DT35" s="59">
        <f ca="1">AVERAGE(OFFSET($DS$3,0,0,'Données projet'!$E$14+1,1))-AVERAGE(OFFSET($H$3,0,0,'Données projet'!$E$14+1,1))</f>
        <v>328.15217666639006</v>
      </c>
      <c r="DU35" s="59">
        <f t="shared" si="44"/>
        <v>305.59175773326308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11.668958608553382</v>
      </c>
      <c r="EB35" s="21">
        <f>EXP(-LN(2)/25)*EB34+(1-EXP(-LN(2)/25))/(LN(2)/25)*Calculateur!DW35*Calculateur!DY35*VLOOKUP('Données projet'!$B$14,Paramètres!$A$1:$I$89,3,0)*0.475*44/12</f>
        <v>16.257413043061007</v>
      </c>
      <c r="EC35" s="21">
        <f>EXP(-LN(2)/2)*EC34+(1-EXP(-LN(2)/2))/(LN(2)/2)*DW35*DZ35*VLOOKUP('Données projet'!$B$14,Paramètres!$A$1:$I$89,3,0)*0.475*44/12</f>
        <v>4.4103230594910308</v>
      </c>
      <c r="ED35" s="22">
        <f t="shared" si="18"/>
        <v>32.336694711105423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7.2</v>
      </c>
      <c r="EJ35" s="12">
        <f>IF('Données projet'!$A$192&gt;35,EJ34+EI35-ER34,IF(A35&lt;'Données projet'!$A$192,$EG$205^A35,IF(A35='Données projet'!$A$192,'Données projet'!$B$192,EJ34+EI35-ER34)))</f>
        <v>140.39999999999998</v>
      </c>
      <c r="EK35" s="17">
        <f>EJ35*VLOOKUP('Données projet'!$B$15,Paramètres!$A$1:$I$89,3,0)*VLOOKUP('Données projet'!$B$15,Paramètres!$A$1:$I$89,5,0)</f>
        <v>102.94127999999998</v>
      </c>
      <c r="EL35" s="13">
        <f t="shared" si="45"/>
        <v>27.661530368687725</v>
      </c>
      <c r="EM35" s="20">
        <f t="shared" si="19"/>
        <v>227.46656139213107</v>
      </c>
      <c r="EN35" s="59">
        <f t="shared" si="20"/>
        <v>520.79989472546436</v>
      </c>
      <c r="EO35" s="59">
        <f ca="1">AVERAGE(OFFSET($EN$3,0,0,'Données projet'!$E$15+1,1))-AVERAGE(OFFSET($H$3,0,0,'Données projet'!$E$15+1,1))</f>
        <v>159.78276497127206</v>
      </c>
      <c r="EP35" s="59">
        <f t="shared" si="46"/>
        <v>190.72163407919857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1.2439871087409828</v>
      </c>
      <c r="EW35" s="21">
        <f>EXP(-LN(2)/25)*EW34+(1-EXP(-LN(2)/25))/(LN(2)/25)*Calculateur!ER35*Calculateur!ET35*VLOOKUP('Données projet'!$B$15,Paramètres!$A$1:$I$89,3,0)*0.475*44/12</f>
        <v>16.233508240716809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17.47749534945779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5.3214035087719296</v>
      </c>
      <c r="FE35" s="12">
        <f>IF('Données projet'!$A$218&gt;35,FE34+FD35-FM34,IF(A35&lt;'Données projet'!$A$218,$FB$205^A35,IF(A35='Données projet'!$A$218,'Données projet'!$B$218,FE34+FD35-FM34)))</f>
        <v>170.28491228070189</v>
      </c>
      <c r="FF35" s="17">
        <f>FE35*VLOOKUP('Données projet'!$B$16,Paramètres!$A$1:$I$89,3,0)*VLOOKUP('Données projet'!$B$16,Paramètres!$A$1:$I$89,5,0)</f>
        <v>146.10445473684223</v>
      </c>
      <c r="FG35" s="13">
        <f t="shared" si="47"/>
        <v>37.69195779841224</v>
      </c>
      <c r="FH35" s="20">
        <f t="shared" si="22"/>
        <v>320.1120851655682</v>
      </c>
      <c r="FI35" s="59">
        <f t="shared" si="23"/>
        <v>613.44541849890152</v>
      </c>
      <c r="FJ35" s="59">
        <f ca="1">AVERAGE(OFFSET($FI$3,0,0,'Données projet'!$E$16+1,1))-AVERAGE(OFFSET($H$3,0,0,'Données projet'!$E$16+1,1))</f>
        <v>337.15023592377008</v>
      </c>
      <c r="FK35" s="59">
        <f t="shared" si="48"/>
        <v>286.60608582587099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4.0942857142857143</v>
      </c>
      <c r="FZ35" s="12">
        <f>IF('Données projet'!$A$244&gt;35,FZ34+FY35-GH34,IF(A35&lt;'Données projet'!$A$244,$FW$205^A35,IF(A35='Données projet'!$A$244,'Données projet'!$B$244,FZ34+FY35-GH34)))</f>
        <v>131.01714285714294</v>
      </c>
      <c r="GA35" s="17">
        <f>FZ35*VLOOKUP('Données projet'!$B$17,Paramètres!$A$1:$I$89,3,0)*VLOOKUP('Données projet'!$B$17,Paramètres!$A$1:$I$89,5,0)</f>
        <v>118.54431085714293</v>
      </c>
      <c r="GB35" s="13">
        <f t="shared" si="49"/>
        <v>31.335242916471387</v>
      </c>
      <c r="GC35" s="20">
        <f t="shared" si="25"/>
        <v>261.04022282237821</v>
      </c>
      <c r="GD35" s="59">
        <f t="shared" si="26"/>
        <v>554.37355615571153</v>
      </c>
      <c r="GE35" s="59">
        <f ca="1">AVERAGE(OFFSET($GD$3,0,0,'Données projet'!$E$17+1,1))-AVERAGE(OFFSET($H$3,0,0,'Données projet'!$E$17+1,1))</f>
        <v>486.55344536255876</v>
      </c>
      <c r="GF35" s="59">
        <f t="shared" si="50"/>
        <v>231.14794884432229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312.20986038875799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8.2014285714285702</v>
      </c>
      <c r="N36" s="13">
        <f>IF('Données projet'!$A$36&gt;35,N35+M36-V35,IF(A36&lt;'Données projet'!$A$36,$K$205^A36,IF(A36='Données projet'!$A$36,'Données projet'!$B$36,N35+M36-V35)))</f>
        <v>270.64714285714291</v>
      </c>
      <c r="O36" s="13">
        <f>N36*VLOOKUP('Données projet'!$B$9,Paramètres!$A$1:$I$89,3,0)*VLOOKUP('Données projet'!$B$9,Paramètres!$A$1:$I$89,5,0)</f>
        <v>126.66286285714288</v>
      </c>
      <c r="P36" s="13">
        <f t="shared" si="33"/>
        <v>33.224081709057053</v>
      </c>
      <c r="Q36" s="20">
        <f t="shared" si="53"/>
        <v>278.46976178613153</v>
      </c>
      <c r="R36" s="59">
        <f t="shared" si="0"/>
        <v>571.80309511946484</v>
      </c>
      <c r="S36" s="59">
        <f ca="1">AVERAGE(OFFSET($R$3,0,0,'Données projet'!$E$9+1,1))-AVERAGE(OFFSET($H$3,0,0,'Données projet'!$E$9+1,1))</f>
        <v>252.08270526008477</v>
      </c>
      <c r="T36" s="59">
        <f t="shared" si="34"/>
        <v>239.77811108960179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17.804285714285715</v>
      </c>
      <c r="AI36" s="13">
        <f>IF('Données projet'!$A$62&gt;35,AI35+AH36-AQ35,IF(A36&lt;'Données projet'!$A$62,$AF$205^A36,IF(A36='Données projet'!$A$62,'Données projet'!$B$62,AI35+AH36-AQ35)))</f>
        <v>259.1571428571429</v>
      </c>
      <c r="AJ36" s="13">
        <f>AI36*VLOOKUP('Données projet'!$B$10,Paramètres!$A$1:$I$89,3,0)*VLOOKUP('Données projet'!$B$10,Paramètres!$A$1:$I$89,5,0)</f>
        <v>154.97597142857146</v>
      </c>
      <c r="AK36" s="13">
        <f t="shared" si="35"/>
        <v>39.70723624796571</v>
      </c>
      <c r="AL36" s="20">
        <f t="shared" si="4"/>
        <v>339.07325336996888</v>
      </c>
      <c r="AM36" s="59">
        <f t="shared" si="5"/>
        <v>632.4065867033022</v>
      </c>
      <c r="AN36" s="59">
        <f ca="1">AVERAGE(OFFSET($AM$3,0,0,'Données projet'!$E$10+1,1))-AVERAGE(OFFSET($H$3,0,0,'Données projet'!$E$10+1,1))</f>
        <v>251.64326096359997</v>
      </c>
      <c r="AO36" s="59">
        <f t="shared" si="36"/>
        <v>256.72142151189894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15.150460481341744</v>
      </c>
      <c r="AV36" s="21">
        <f>EXP(-LN(2)/25)*AV35+(1-EXP(-LN(2)/25))/(LN(2)/25)*Calculateur!AQ36*Calculateur!AS36*VLOOKUP('Données projet'!$B$10,Paramètres!$A$1:$I$89,3,0)*0.475*44/12</f>
        <v>14.016743681540216</v>
      </c>
      <c r="AW36" s="21">
        <f>EXP(-LN(2)/2)*AW35+(1-EXP(-LN(2)/2))/(LN(2)/2)*AQ36*AT36*VLOOKUP('Données projet'!$B$10,Paramètres!$A$1:$I$89,3,0)*0.475*44/12</f>
        <v>2.3847075695181426</v>
      </c>
      <c r="AX36" s="21">
        <f t="shared" si="6"/>
        <v>31.5519117324001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147.59999999999997</v>
      </c>
      <c r="BE36" s="13">
        <f>BD36*VLOOKUP('Données projet'!$B$11,Paramètres!$A$1:$I$89,3,0)*VLOOKUP('Données projet'!$B$11,Paramètres!$A$1:$I$89,5,0)</f>
        <v>133.54847999999996</v>
      </c>
      <c r="BF36" s="13">
        <f t="shared" si="37"/>
        <v>34.81501932379426</v>
      </c>
      <c r="BG36" s="20">
        <f t="shared" si="7"/>
        <v>293.23309465560823</v>
      </c>
      <c r="BH36" s="59">
        <f t="shared" si="8"/>
        <v>586.56642798894154</v>
      </c>
      <c r="BI36" s="59">
        <f ca="1">AVERAGE(OFFSET($BH$3,0,0,'Données projet'!$E$11+1,1))-AVERAGE(OFFSET($H$3,0,0,'Données projet'!$E$11+1,1))</f>
        <v>199.29783428981898</v>
      </c>
      <c r="BJ36" s="59">
        <f t="shared" si="38"/>
        <v>237.32002274562547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1.0500209340498119</v>
      </c>
      <c r="BQ36" s="21">
        <f>EXP(-LN(2)/25)*BQ35+(1-EXP(-LN(2)/25))/(LN(2)/25)*Calculateur!BL36*Calculateur!BN36*VLOOKUP('Données projet'!$B$11,Paramètres!$A$1:$I$89,3,0)*0.475*44/12</f>
        <v>13.594214577581823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14.644235511631635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4.016578947368421</v>
      </c>
      <c r="BY36" s="12">
        <f>IF('Données projet'!$A$114&gt;35,BY35+BX36-CG35,IF(A36&lt;'Données projet'!$A$114,$BV$205^A36,IF(A36='Données projet'!$A$114,'Données projet'!$B$114,BY35+BX36-CG35)))</f>
        <v>132.54710526315785</v>
      </c>
      <c r="BZ36" s="13">
        <f>BY36*VLOOKUP('Données projet'!$B$12,Paramètres!$A$1:$I$89,3,0)*VLOOKUP('Données projet'!$B$12,Paramètres!$A$1:$I$89,5,0)</f>
        <v>111.65768147368419</v>
      </c>
      <c r="CA36" s="13">
        <f t="shared" si="39"/>
        <v>29.721206614482305</v>
      </c>
      <c r="CB36" s="20">
        <f t="shared" si="10"/>
        <v>246.23489675355663</v>
      </c>
      <c r="CC36" s="59">
        <f t="shared" si="11"/>
        <v>539.56823008688991</v>
      </c>
      <c r="CD36" s="59">
        <f ca="1">AVERAGE(OFFSET($CC$3,0,0,'Données projet'!$E$12+1,1))-AVERAGE(OFFSET($H$3,0,0,'Données projet'!$E$12+1,1))</f>
        <v>295.59075210589327</v>
      </c>
      <c r="CE36" s="59">
        <f t="shared" si="40"/>
        <v>210.41181542059576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26.2</v>
      </c>
      <c r="CT36" s="12">
        <f>IF('Données projet'!$A$140&gt;35,CT35+CS36-DB35,IF(A36&lt;'Données projet'!$A$140,$CQ$205^A36,IF(A36='Données projet'!$A$140,'Données projet'!$B$140,CT35+CS36-DB35)))</f>
        <v>323.60000000000008</v>
      </c>
      <c r="CU36" s="17">
        <f>CT36*VLOOKUP('Données projet'!$B$13,Paramètres!$A$1:$I$89,3,0)*VLOOKUP('Données projet'!$B$13,Paramètres!$A$1:$I$89,5,0)</f>
        <v>147.23800000000003</v>
      </c>
      <c r="CV36" s="13">
        <f t="shared" si="41"/>
        <v>37.950233904167689</v>
      </c>
      <c r="CW36" s="20">
        <f t="shared" si="13"/>
        <v>322.5361740497587</v>
      </c>
      <c r="CX36" s="59">
        <f t="shared" si="14"/>
        <v>615.86950738309201</v>
      </c>
      <c r="CY36" s="59">
        <f ca="1">AVERAGE(OFFSET($CX$3,0,0,'Données projet'!$E$13+1,1))-AVERAGE(OFFSET($H$3,0,0,'Données projet'!$E$13+1,1))</f>
        <v>338.22448697444298</v>
      </c>
      <c r="CZ36" s="59">
        <f t="shared" si="42"/>
        <v>293.3872365640849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9.7102299779086412</v>
      </c>
      <c r="DG36" s="21">
        <f>EXP(-LN(2)/25)*DG35+(1-EXP(-LN(2)/25))/(LN(2)/25)*Calculateur!DB36*Calculateur!DD36*VLOOKUP('Données projet'!$B$13,Paramètres!$A$1:$I$89,3,0)*0.475*44/12</f>
        <v>13.693741191793546</v>
      </c>
      <c r="DH36" s="21">
        <f>EXP(-LN(2)/2)*DH35+(1-EXP(-LN(2)/2))/(LN(2)/2)*DB36*DE36*VLOOKUP('Données projet'!$B$13,Paramètres!$A$1:$I$89,3,0)*0.475*44/12</f>
        <v>5.1420287147009738</v>
      </c>
      <c r="DI36" s="22">
        <f t="shared" si="15"/>
        <v>28.545999884403162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23.265714285714289</v>
      </c>
      <c r="DO36" s="12">
        <f>IF('Données projet'!$A$166&gt;35,DO35+DN36-DW35,IF(A36&lt;'Données projet'!$A$166,$DL$205^A36,IF(A36='Données projet'!$A$166,'Données projet'!$B$166,DO35+DN36-DW35)))</f>
        <v>330.69857142857143</v>
      </c>
      <c r="DP36" s="17">
        <f>DO36*VLOOKUP('Données projet'!$B$14,Paramètres!$A$1:$I$89,3,0)*VLOOKUP('Données projet'!$B$14,Paramètres!$A$1:$I$89,5,0)</f>
        <v>184.86050142857144</v>
      </c>
      <c r="DQ36" s="13">
        <f t="shared" si="43"/>
        <v>46.401875578821517</v>
      </c>
      <c r="DR36" s="20">
        <f t="shared" si="16"/>
        <v>402.7819732878761</v>
      </c>
      <c r="DS36" s="59">
        <f t="shared" si="17"/>
        <v>696.11530662120936</v>
      </c>
      <c r="DT36" s="59">
        <f ca="1">AVERAGE(OFFSET($DS$3,0,0,'Données projet'!$E$14+1,1))-AVERAGE(OFFSET($H$3,0,0,'Données projet'!$E$14+1,1))</f>
        <v>328.15217666639006</v>
      </c>
      <c r="DU36" s="59">
        <f t="shared" si="44"/>
        <v>305.59175773326308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11.44013744760162</v>
      </c>
      <c r="EB36" s="21">
        <f>EXP(-LN(2)/25)*EB35+(1-EXP(-LN(2)/25))/(LN(2)/25)*Calculateur!DW36*Calculateur!DY36*VLOOKUP('Données projet'!$B$14,Paramètres!$A$1:$I$89,3,0)*0.475*44/12</f>
        <v>15.812853228458309</v>
      </c>
      <c r="EC36" s="21">
        <f>EXP(-LN(2)/2)*EC35+(1-EXP(-LN(2)/2))/(LN(2)/2)*DW36*DZ36*VLOOKUP('Données projet'!$B$14,Paramètres!$A$1:$I$89,3,0)*0.475*44/12</f>
        <v>3.1185693425895091</v>
      </c>
      <c r="ED36" s="22">
        <f t="shared" si="18"/>
        <v>30.37156001864944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7.2</v>
      </c>
      <c r="EJ36" s="12">
        <f>IF('Données projet'!$A$192&gt;35,EJ35+EI36-ER35,IF(A36&lt;'Données projet'!$A$192,$EG$205^A36,IF(A36='Données projet'!$A$192,'Données projet'!$B$192,EJ35+EI36-ER35)))</f>
        <v>147.59999999999997</v>
      </c>
      <c r="EK36" s="17">
        <f>EJ36*VLOOKUP('Données projet'!$B$15,Paramètres!$A$1:$I$89,3,0)*VLOOKUP('Données projet'!$B$15,Paramètres!$A$1:$I$89,5,0)</f>
        <v>108.22031999999999</v>
      </c>
      <c r="EL36" s="13">
        <f t="shared" si="45"/>
        <v>28.911280861653452</v>
      </c>
      <c r="EM36" s="20">
        <f t="shared" si="19"/>
        <v>238.83753816737973</v>
      </c>
      <c r="EN36" s="59">
        <f t="shared" si="20"/>
        <v>532.17087150071302</v>
      </c>
      <c r="EO36" s="59">
        <f ca="1">AVERAGE(OFFSET($EN$3,0,0,'Données projet'!$E$15+1,1))-AVERAGE(OFFSET($H$3,0,0,'Données projet'!$E$15+1,1))</f>
        <v>159.78276497127206</v>
      </c>
      <c r="EP36" s="59">
        <f t="shared" si="46"/>
        <v>190.72163407919857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1.2195932802957874</v>
      </c>
      <c r="EW36" s="21">
        <f>EXP(-LN(2)/25)*EW35+(1-EXP(-LN(2)/25))/(LN(2)/25)*Calculateur!ER36*Calculateur!ET36*VLOOKUP('Données projet'!$B$15,Paramètres!$A$1:$I$89,3,0)*0.475*44/12</f>
        <v>15.789602104191312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17.0091953844871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5.3214035087719296</v>
      </c>
      <c r="FE36" s="12">
        <f>IF('Données projet'!$A$218&gt;35,FE35+FD36-FM35,IF(A36&lt;'Données projet'!$A$218,$FB$205^A36,IF(A36='Données projet'!$A$218,'Données projet'!$B$218,FE35+FD36-FM35)))</f>
        <v>175.60631578947383</v>
      </c>
      <c r="FF36" s="17">
        <f>FE36*VLOOKUP('Données projet'!$B$16,Paramètres!$A$1:$I$89,3,0)*VLOOKUP('Données projet'!$B$16,Paramètres!$A$1:$I$89,5,0)</f>
        <v>150.67021894736857</v>
      </c>
      <c r="FG36" s="13">
        <f t="shared" si="47"/>
        <v>38.730855739975738</v>
      </c>
      <c r="FH36" s="20">
        <f t="shared" si="22"/>
        <v>329.87353841379132</v>
      </c>
      <c r="FI36" s="59">
        <f t="shared" si="23"/>
        <v>623.20687174712464</v>
      </c>
      <c r="FJ36" s="59">
        <f ca="1">AVERAGE(OFFSET($FI$3,0,0,'Données projet'!$E$16+1,1))-AVERAGE(OFFSET($H$3,0,0,'Données projet'!$E$16+1,1))</f>
        <v>337.15023592377008</v>
      </c>
      <c r="FK36" s="59">
        <f t="shared" si="48"/>
        <v>286.60608582587099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4.0942857142857143</v>
      </c>
      <c r="FZ36" s="12">
        <f>IF('Données projet'!$A$244&gt;35,FZ35+FY36-GH35,IF(A36&lt;'Données projet'!$A$244,$FW$205^A36,IF(A36='Données projet'!$A$244,'Données projet'!$B$244,FZ35+FY36-GH35)))</f>
        <v>135.11142857142866</v>
      </c>
      <c r="GA36" s="17">
        <f>FZ36*VLOOKUP('Données projet'!$B$17,Paramètres!$A$1:$I$89,3,0)*VLOOKUP('Données projet'!$B$17,Paramètres!$A$1:$I$89,5,0)</f>
        <v>122.24882057142865</v>
      </c>
      <c r="GB36" s="13">
        <f t="shared" si="49"/>
        <v>32.198931651835657</v>
      </c>
      <c r="GC36" s="20">
        <f t="shared" si="25"/>
        <v>268.99650178885196</v>
      </c>
      <c r="GD36" s="59">
        <f t="shared" si="26"/>
        <v>562.32983512218527</v>
      </c>
      <c r="GE36" s="59">
        <f ca="1">AVERAGE(OFFSET($GD$3,0,0,'Données projet'!$E$17+1,1))-AVERAGE(OFFSET($H$3,0,0,'Données projet'!$E$17+1,1))</f>
        <v>486.55344536255876</v>
      </c>
      <c r="GF36" s="59">
        <f t="shared" si="50"/>
        <v>231.14794884432229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313.84508723628062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8.2014285714285702</v>
      </c>
      <c r="N37" s="13">
        <f>IF('Données projet'!$A$36&gt;35,N36+M37-V36,IF(A37&lt;'Données projet'!$A$36,$K$205^A37,IF(A37='Données projet'!$A$36,'Données projet'!$B$36,N36+M37-V36)))</f>
        <v>278.84857142857146</v>
      </c>
      <c r="O37" s="13">
        <f>N37*VLOOKUP('Données projet'!$B$9,Paramètres!$A$1:$I$89,3,0)*VLOOKUP('Données projet'!$B$9,Paramètres!$A$1:$I$89,5,0)</f>
        <v>130.50113142857145</v>
      </c>
      <c r="P37" s="13">
        <f t="shared" si="33"/>
        <v>34.11213014978982</v>
      </c>
      <c r="Q37" s="20">
        <f t="shared" si="53"/>
        <v>286.70143058231258</v>
      </c>
      <c r="R37" s="59">
        <f t="shared" si="0"/>
        <v>580.03476391564595</v>
      </c>
      <c r="S37" s="59">
        <f ca="1">AVERAGE(OFFSET($R$3,0,0,'Données projet'!$E$9+1,1))-AVERAGE(OFFSET($H$3,0,0,'Données projet'!$E$9+1,1))</f>
        <v>252.08270526008477</v>
      </c>
      <c r="T37" s="59">
        <f t="shared" si="34"/>
        <v>239.77811108960179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17.804285714285715</v>
      </c>
      <c r="AI37" s="13">
        <f>IF('Données projet'!$A$62&gt;35,AI36+AH37-AQ36,IF(A37&lt;'Données projet'!$A$62,$AF$205^A37,IF(A37='Données projet'!$A$62,'Données projet'!$B$62,AI36+AH37-AQ36)))</f>
        <v>276.9614285714286</v>
      </c>
      <c r="AJ37" s="13">
        <f>AI37*VLOOKUP('Données projet'!$B$10,Paramètres!$A$1:$I$89,3,0)*VLOOKUP('Données projet'!$B$10,Paramètres!$A$1:$I$89,5,0)</f>
        <v>165.62293428571431</v>
      </c>
      <c r="AK37" s="13">
        <f t="shared" si="35"/>
        <v>42.108223194605671</v>
      </c>
      <c r="AL37" s="20">
        <f t="shared" si="4"/>
        <v>361.7984326115573</v>
      </c>
      <c r="AM37" s="59">
        <f t="shared" si="5"/>
        <v>655.13176594489062</v>
      </c>
      <c r="AN37" s="59">
        <f ca="1">AVERAGE(OFFSET($AM$3,0,0,'Données projet'!$E$10+1,1))-AVERAGE(OFFSET($H$3,0,0,'Données projet'!$E$10+1,1))</f>
        <v>251.64326096359997</v>
      </c>
      <c r="AO37" s="59">
        <f t="shared" si="36"/>
        <v>256.72142151189894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14.853369192171066</v>
      </c>
      <c r="AV37" s="21">
        <f>EXP(-LN(2)/25)*AV36+(1-EXP(-LN(2)/25))/(LN(2)/25)*Calculateur!AQ37*Calculateur!AS37*VLOOKUP('Données projet'!$B$10,Paramètres!$A$1:$I$89,3,0)*0.475*44/12</f>
        <v>13.633455088459984</v>
      </c>
      <c r="AW37" s="21">
        <f>EXP(-LN(2)/2)*AW36+(1-EXP(-LN(2)/2))/(LN(2)/2)*AQ37*AT37*VLOOKUP('Données projet'!$B$10,Paramètres!$A$1:$I$89,3,0)*0.475*44/12</f>
        <v>1.6862428935531688</v>
      </c>
      <c r="AX37" s="21">
        <f t="shared" si="6"/>
        <v>30.173067174184215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154.79999999999995</v>
      </c>
      <c r="BE37" s="13">
        <f>BD37*VLOOKUP('Données projet'!$B$11,Paramètres!$A$1:$I$89,3,0)*VLOOKUP('Données projet'!$B$11,Paramètres!$A$1:$I$89,5,0)</f>
        <v>140.06303999999994</v>
      </c>
      <c r="BF37" s="13">
        <f t="shared" si="37"/>
        <v>36.31144669536954</v>
      </c>
      <c r="BG37" s="20">
        <f t="shared" si="7"/>
        <v>307.18556432776847</v>
      </c>
      <c r="BH37" s="59">
        <f t="shared" si="8"/>
        <v>600.51889766110185</v>
      </c>
      <c r="BI37" s="59">
        <f ca="1">AVERAGE(OFFSET($BH$3,0,0,'Données projet'!$E$11+1,1))-AVERAGE(OFFSET($H$3,0,0,'Données projet'!$E$11+1,1))</f>
        <v>199.29783428981898</v>
      </c>
      <c r="BJ37" s="59">
        <f t="shared" si="38"/>
        <v>237.32002274562547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1.0294306639826256</v>
      </c>
      <c r="BQ37" s="21">
        <f>EXP(-LN(2)/25)*BQ36+(1-EXP(-LN(2)/25))/(LN(2)/25)*Calculateur!BL37*Calculateur!BN37*VLOOKUP('Données projet'!$B$11,Paramètres!$A$1:$I$89,3,0)*0.475*44/12</f>
        <v>13.222480065069174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14.251910729051799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4.016578947368421</v>
      </c>
      <c r="BY37" s="12">
        <f>IF('Données projet'!$A$114&gt;35,BY36+BX37-CG36,IF(A37&lt;'Données projet'!$A$114,$BV$205^A37,IF(A37='Données projet'!$A$114,'Données projet'!$B$114,BY36+BX37-CG36)))</f>
        <v>136.56368421052628</v>
      </c>
      <c r="BZ37" s="13">
        <f>BY37*VLOOKUP('Données projet'!$B$12,Paramètres!$A$1:$I$89,3,0)*VLOOKUP('Données projet'!$B$12,Paramètres!$A$1:$I$89,5,0)</f>
        <v>115.04124757894735</v>
      </c>
      <c r="CA37" s="13">
        <f t="shared" si="39"/>
        <v>30.515626500088722</v>
      </c>
      <c r="CB37" s="20">
        <f t="shared" si="10"/>
        <v>253.51155568765446</v>
      </c>
      <c r="CC37" s="59">
        <f t="shared" si="11"/>
        <v>546.84488902098781</v>
      </c>
      <c r="CD37" s="59">
        <f ca="1">AVERAGE(OFFSET($CC$3,0,0,'Données projet'!$E$12+1,1))-AVERAGE(OFFSET($H$3,0,0,'Données projet'!$E$12+1,1))</f>
        <v>295.59075210589327</v>
      </c>
      <c r="CE37" s="59">
        <f t="shared" si="40"/>
        <v>210.41181542059576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26.2</v>
      </c>
      <c r="CT37" s="12">
        <f>IF('Données projet'!$A$140&gt;35,CT36+CS37-DB36,IF(A37&lt;'Données projet'!$A$140,$CQ$205^A37,IF(A37='Données projet'!$A$140,'Données projet'!$B$140,CT36+CS37-DB36)))</f>
        <v>349.80000000000007</v>
      </c>
      <c r="CU37" s="17">
        <f>CT37*VLOOKUP('Données projet'!$B$13,Paramètres!$A$1:$I$89,3,0)*VLOOKUP('Données projet'!$B$13,Paramètres!$A$1:$I$89,5,0)</f>
        <v>159.15900000000002</v>
      </c>
      <c r="CV37" s="13">
        <f t="shared" si="41"/>
        <v>40.65276736661405</v>
      </c>
      <c r="CW37" s="20">
        <f t="shared" si="13"/>
        <v>348.00549483018614</v>
      </c>
      <c r="CX37" s="59">
        <f t="shared" si="14"/>
        <v>641.33882816351945</v>
      </c>
      <c r="CY37" s="59">
        <f ca="1">AVERAGE(OFFSET($CX$3,0,0,'Données projet'!$E$13+1,1))-AVERAGE(OFFSET($H$3,0,0,'Données projet'!$E$13+1,1))</f>
        <v>338.22448697444298</v>
      </c>
      <c r="CZ37" s="59">
        <f t="shared" si="42"/>
        <v>293.3872365640849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9.5198182906973248</v>
      </c>
      <c r="DG37" s="21">
        <f>EXP(-LN(2)/25)*DG36+(1-EXP(-LN(2)/25))/(LN(2)/25)*Calculateur!DB37*Calculateur!DD37*VLOOKUP('Données projet'!$B$13,Paramètres!$A$1:$I$89,3,0)*0.475*44/12</f>
        <v>13.3192851187814</v>
      </c>
      <c r="DH37" s="21">
        <f>EXP(-LN(2)/2)*DH36+(1-EXP(-LN(2)/2))/(LN(2)/2)*DB37*DE37*VLOOKUP('Données projet'!$B$13,Paramètres!$A$1:$I$89,3,0)*0.475*44/12</f>
        <v>3.6359633732210059</v>
      </c>
      <c r="DI37" s="22">
        <f t="shared" si="15"/>
        <v>26.475066782699731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23.265714285714289</v>
      </c>
      <c r="DO37" s="12">
        <f>IF('Données projet'!$A$166&gt;35,DO36+DN37-DW36,IF(A37&lt;'Données projet'!$A$166,$DL$205^A37,IF(A37='Données projet'!$A$166,'Données projet'!$B$166,DO36+DN37-DW36)))</f>
        <v>353.96428571428572</v>
      </c>
      <c r="DP37" s="17">
        <f>DO37*VLOOKUP('Données projet'!$B$14,Paramètres!$A$1:$I$89,3,0)*VLOOKUP('Données projet'!$B$14,Paramètres!$A$1:$I$89,5,0)</f>
        <v>197.86603571428572</v>
      </c>
      <c r="DQ37" s="13">
        <f t="shared" si="43"/>
        <v>49.274894571766396</v>
      </c>
      <c r="DR37" s="20">
        <f t="shared" si="16"/>
        <v>430.43712024820735</v>
      </c>
      <c r="DS37" s="59">
        <f t="shared" si="17"/>
        <v>723.77045358154066</v>
      </c>
      <c r="DT37" s="59">
        <f ca="1">AVERAGE(OFFSET($DS$3,0,0,'Données projet'!$E$14+1,1))-AVERAGE(OFFSET($H$3,0,0,'Données projet'!$E$14+1,1))</f>
        <v>328.15217666639006</v>
      </c>
      <c r="DU37" s="59">
        <f t="shared" si="44"/>
        <v>305.59175773326308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11.215803330048995</v>
      </c>
      <c r="EB37" s="21">
        <f>EXP(-LN(2)/25)*EB36+(1-EXP(-LN(2)/25))/(LN(2)/25)*Calculateur!DW37*Calculateur!DY37*VLOOKUP('Données projet'!$B$14,Paramètres!$A$1:$I$89,3,0)*0.475*44/12</f>
        <v>15.380449925364307</v>
      </c>
      <c r="EC37" s="21">
        <f>EXP(-LN(2)/2)*EC36+(1-EXP(-LN(2)/2))/(LN(2)/2)*DW37*DZ37*VLOOKUP('Données projet'!$B$14,Paramètres!$A$1:$I$89,3,0)*0.475*44/12</f>
        <v>2.2051615297455154</v>
      </c>
      <c r="ED37" s="22">
        <f t="shared" si="18"/>
        <v>28.801414785158819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7.2</v>
      </c>
      <c r="EJ37" s="12">
        <f>IF('Données projet'!$A$192&gt;35,EJ36+EI37-ER36,IF(A37&lt;'Données projet'!$A$192,$EG$205^A37,IF(A37='Données projet'!$A$192,'Données projet'!$B$192,EJ36+EI37-ER36)))</f>
        <v>154.79999999999995</v>
      </c>
      <c r="EK37" s="17">
        <f>EJ37*VLOOKUP('Données projet'!$B$15,Paramètres!$A$1:$I$89,3,0)*VLOOKUP('Données projet'!$B$15,Paramètres!$A$1:$I$89,5,0)</f>
        <v>113.49935999999995</v>
      </c>
      <c r="EL37" s="13">
        <f t="shared" si="45"/>
        <v>30.153952354273027</v>
      </c>
      <c r="EM37" s="20">
        <f t="shared" si="19"/>
        <v>250.19618568369205</v>
      </c>
      <c r="EN37" s="59">
        <f t="shared" si="20"/>
        <v>543.52951901702534</v>
      </c>
      <c r="EO37" s="59">
        <f ca="1">AVERAGE(OFFSET($EN$3,0,0,'Données projet'!$E$15+1,1))-AVERAGE(OFFSET($H$3,0,0,'Données projet'!$E$15+1,1))</f>
        <v>159.78276497127206</v>
      </c>
      <c r="EP37" s="59">
        <f t="shared" si="46"/>
        <v>190.72163407919857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1.195677799947636</v>
      </c>
      <c r="EW37" s="21">
        <f>EXP(-LN(2)/25)*EW36+(1-EXP(-LN(2)/25))/(LN(2)/25)*Calculateur!ER37*Calculateur!ET37*VLOOKUP('Données projet'!$B$15,Paramètres!$A$1:$I$89,3,0)*0.475*44/12</f>
        <v>15.357834604313114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16.553512404260751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5.3214035087719296</v>
      </c>
      <c r="FE37" s="12">
        <f>IF('Données projet'!$A$218&gt;35,FE36+FD37-FM36,IF(A37&lt;'Données projet'!$A$218,$FB$205^A37,IF(A37='Données projet'!$A$218,'Données projet'!$B$218,FE36+FD37-FM36)))</f>
        <v>180.92771929824576</v>
      </c>
      <c r="FF37" s="17">
        <f>FE37*VLOOKUP('Données projet'!$B$16,Paramètres!$A$1:$I$89,3,0)*VLOOKUP('Données projet'!$B$16,Paramètres!$A$1:$I$89,5,0)</f>
        <v>155.23598315789488</v>
      </c>
      <c r="FG37" s="13">
        <f t="shared" si="47"/>
        <v>39.766095068765182</v>
      </c>
      <c r="FH37" s="20">
        <f t="shared" si="22"/>
        <v>339.62861957809957</v>
      </c>
      <c r="FI37" s="59">
        <f t="shared" si="23"/>
        <v>632.96195291143295</v>
      </c>
      <c r="FJ37" s="59">
        <f ca="1">AVERAGE(OFFSET($FI$3,0,0,'Données projet'!$E$16+1,1))-AVERAGE(OFFSET($H$3,0,0,'Données projet'!$E$16+1,1))</f>
        <v>337.15023592377008</v>
      </c>
      <c r="FK37" s="59">
        <f t="shared" si="48"/>
        <v>286.60608582587099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4.0942857142857143</v>
      </c>
      <c r="FZ37" s="12">
        <f>IF('Données projet'!$A$244&gt;35,FZ36+FY37-GH36,IF(A37&lt;'Données projet'!$A$244,$FW$205^A37,IF(A37='Données projet'!$A$244,'Données projet'!$B$244,FZ36+FY37-GH36)))</f>
        <v>139.20571428571438</v>
      </c>
      <c r="GA37" s="17">
        <f>FZ37*VLOOKUP('Données projet'!$B$17,Paramètres!$A$1:$I$89,3,0)*VLOOKUP('Données projet'!$B$17,Paramètres!$A$1:$I$89,5,0)</f>
        <v>125.95333028571436</v>
      </c>
      <c r="GB37" s="13">
        <f t="shared" si="49"/>
        <v>33.059578796189285</v>
      </c>
      <c r="GC37" s="20">
        <f t="shared" si="25"/>
        <v>276.94748331764885</v>
      </c>
      <c r="GD37" s="59">
        <f t="shared" si="26"/>
        <v>570.28081665098216</v>
      </c>
      <c r="GE37" s="59">
        <f ca="1">AVERAGE(OFFSET($GD$3,0,0,'Données projet'!$E$17+1,1))-AVERAGE(OFFSET($H$3,0,0,'Données projet'!$E$17+1,1))</f>
        <v>486.55344536255876</v>
      </c>
      <c r="GF37" s="59">
        <f t="shared" si="50"/>
        <v>231.14794884432229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315.47908955985213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8.2014285714285702</v>
      </c>
      <c r="N38" s="13">
        <f>IF('Données projet'!$A$36&gt;35,N37+M38-V37,IF(A38&lt;'Données projet'!$A$36,$K$205^A38,IF(A38='Données projet'!$A$36,'Données projet'!$B$36,N37+M38-V37)))</f>
        <v>287.05</v>
      </c>
      <c r="O38" s="13">
        <f>N38*VLOOKUP('Données projet'!$B$9,Paramètres!$A$1:$I$89,3,0)*VLOOKUP('Données projet'!$B$9,Paramètres!$A$1:$I$89,5,0)</f>
        <v>134.33939999999998</v>
      </c>
      <c r="P38" s="13">
        <f t="shared" si="33"/>
        <v>34.997143066419042</v>
      </c>
      <c r="Q38" s="20">
        <f t="shared" si="53"/>
        <v>294.92781250734646</v>
      </c>
      <c r="R38" s="59">
        <f t="shared" si="0"/>
        <v>588.26114584067977</v>
      </c>
      <c r="S38" s="59">
        <f ca="1">AVERAGE(OFFSET($R$3,0,0,'Données projet'!$E$9+1,1))-AVERAGE(OFFSET($H$3,0,0,'Données projet'!$E$9+1,1))</f>
        <v>252.08270526008477</v>
      </c>
      <c r="T38" s="59">
        <f t="shared" si="34"/>
        <v>239.77811108960179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17.804285714285715</v>
      </c>
      <c r="AI38" s="13">
        <f>IF('Données projet'!$A$62&gt;35,AI37+AH38-AQ37,IF(A38&lt;'Données projet'!$A$62,$AF$205^A38,IF(A38='Données projet'!$A$62,'Données projet'!$B$62,AI37+AH38-AQ37)))</f>
        <v>294.7657142857143</v>
      </c>
      <c r="AJ38" s="13">
        <f>AI38*VLOOKUP('Données projet'!$B$10,Paramètres!$A$1:$I$89,3,0)*VLOOKUP('Données projet'!$B$10,Paramètres!$A$1:$I$89,5,0)</f>
        <v>176.26989714285719</v>
      </c>
      <c r="AK38" s="13">
        <f t="shared" si="35"/>
        <v>44.491298310145091</v>
      </c>
      <c r="AL38" s="20">
        <f t="shared" si="4"/>
        <v>384.49241541397896</v>
      </c>
      <c r="AM38" s="59">
        <f t="shared" si="5"/>
        <v>677.82574874731222</v>
      </c>
      <c r="AN38" s="59">
        <f ca="1">AVERAGE(OFFSET($AM$3,0,0,'Données projet'!$E$10+1,1))-AVERAGE(OFFSET($H$3,0,0,'Données projet'!$E$10+1,1))</f>
        <v>251.64326096359997</v>
      </c>
      <c r="AO38" s="59">
        <f t="shared" si="36"/>
        <v>256.72142151189894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14.56210368197323</v>
      </c>
      <c r="AV38" s="21">
        <f>EXP(-LN(2)/25)*AV37+(1-EXP(-LN(2)/25))/(LN(2)/25)*Calculateur!AQ38*Calculateur!AS38*VLOOKUP('Données projet'!$B$10,Paramètres!$A$1:$I$89,3,0)*0.475*44/12</f>
        <v>13.260647542113801</v>
      </c>
      <c r="AW38" s="21">
        <f>EXP(-LN(2)/2)*AW37+(1-EXP(-LN(2)/2))/(LN(2)/2)*AQ38*AT38*VLOOKUP('Données projet'!$B$10,Paramètres!$A$1:$I$89,3,0)*0.475*44/12</f>
        <v>1.1923537847590713</v>
      </c>
      <c r="AX38" s="21">
        <f t="shared" si="6"/>
        <v>29.015105008846103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161.99999999999994</v>
      </c>
      <c r="BE38" s="13">
        <f>BD38*VLOOKUP('Données projet'!$B$11,Paramètres!$A$1:$I$89,3,0)*VLOOKUP('Données projet'!$B$11,Paramètres!$A$1:$I$89,5,0)</f>
        <v>146.57759999999996</v>
      </c>
      <c r="BF38" s="13">
        <f t="shared" si="37"/>
        <v>37.799791292871213</v>
      </c>
      <c r="BG38" s="20">
        <f t="shared" si="7"/>
        <v>321.12395650175063</v>
      </c>
      <c r="BH38" s="59">
        <f t="shared" si="8"/>
        <v>614.45728983508388</v>
      </c>
      <c r="BI38" s="59">
        <f ca="1">AVERAGE(OFFSET($BH$3,0,0,'Données projet'!$E$11+1,1))-AVERAGE(OFFSET($H$3,0,0,'Données projet'!$E$11+1,1))</f>
        <v>199.29783428981898</v>
      </c>
      <c r="BJ38" s="59">
        <f t="shared" si="38"/>
        <v>237.32002274562547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0.03</v>
      </c>
      <c r="BN38" s="16">
        <f>IF(ISNA(VLOOKUP(A38,'Données projet'!$A$87:$I$107,6,0)),0%,VLOOKUP(A38,'Données projet'!$A$87:$I$107,6,0)*VLOOKUP('Données projet'!$B$11,Paramètres!$A$1:$I$89,7,0))</f>
        <v>0.15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1.0092441565526322</v>
      </c>
      <c r="BQ38" s="21">
        <f>EXP(-LN(2)/25)*BQ37+(1-EXP(-LN(2)/25))/(LN(2)/25)*Calculateur!BL38*Calculateur!BN38*VLOOKUP('Données projet'!$B$11,Paramètres!$A$1:$I$89,3,0)*0.475*44/12</f>
        <v>12.860910652349851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13.870154808902484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4.016578947368421</v>
      </c>
      <c r="BY38" s="12">
        <f>IF('Données projet'!$A$114&gt;35,BY37+BX38-CG37,IF(A38&lt;'Données projet'!$A$114,$BV$205^A38,IF(A38='Données projet'!$A$114,'Données projet'!$B$114,BY37+BX38-CG37)))</f>
        <v>140.58026315789471</v>
      </c>
      <c r="BZ38" s="13">
        <f>BY38*VLOOKUP('Données projet'!$B$12,Paramètres!$A$1:$I$89,3,0)*VLOOKUP('Données projet'!$B$12,Paramètres!$A$1:$I$89,5,0)</f>
        <v>118.42481368421051</v>
      </c>
      <c r="CA38" s="13">
        <f t="shared" si="39"/>
        <v>31.307330902394362</v>
      </c>
      <c r="CB38" s="20">
        <f t="shared" si="10"/>
        <v>260.78348515500346</v>
      </c>
      <c r="CC38" s="59">
        <f t="shared" si="11"/>
        <v>554.11681848833678</v>
      </c>
      <c r="CD38" s="59">
        <f ca="1">AVERAGE(OFFSET($CC$3,0,0,'Données projet'!$E$12+1,1))-AVERAGE(OFFSET($H$3,0,0,'Données projet'!$E$12+1,1))</f>
        <v>295.59075210589327</v>
      </c>
      <c r="CE38" s="59">
        <f t="shared" si="40"/>
        <v>210.41181542059576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376</v>
      </c>
      <c r="CR38" s="12">
        <f>VLOOKUP(A38,'Données projet'!$A$139:$I$159,9,0)</f>
        <v>26.2</v>
      </c>
      <c r="CS38" s="12">
        <f t="array" ref="CS38">INDEX(CR:CR,MIN(IF(ISNUMBER(CR38:CR234),ROW(CR38:CR234),"")))</f>
        <v>26.2</v>
      </c>
      <c r="CT38" s="12">
        <f>IF('Données projet'!$A$140&gt;35,CT37+CS38-DB37,IF(A38&lt;'Données projet'!$A$140,$CQ$205^A38,IF(A38='Données projet'!$A$140,'Données projet'!$B$140,CT37+CS38-DB37)))</f>
        <v>376.00000000000006</v>
      </c>
      <c r="CU38" s="17">
        <f>CT38*VLOOKUP('Données projet'!$B$13,Paramètres!$A$1:$I$89,3,0)*VLOOKUP('Données projet'!$B$13,Paramètres!$A$1:$I$89,5,0)</f>
        <v>171.08000000000004</v>
      </c>
      <c r="CV38" s="13">
        <f t="shared" si="41"/>
        <v>43.331818434639324</v>
      </c>
      <c r="CW38" s="20">
        <f t="shared" si="13"/>
        <v>373.43391710699689</v>
      </c>
      <c r="CX38" s="59">
        <f t="shared" si="14"/>
        <v>666.76725044033014</v>
      </c>
      <c r="CY38" s="59">
        <f ca="1">AVERAGE(OFFSET($CX$3,0,0,'Données projet'!$E$13+1,1))-AVERAGE(OFFSET($H$3,0,0,'Données projet'!$E$13+1,1))</f>
        <v>338.22448697444298</v>
      </c>
      <c r="CZ38" s="59">
        <f t="shared" si="42"/>
        <v>293.3872365640849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63</v>
      </c>
      <c r="DC38" s="16">
        <f>IF(ISNA(VLOOKUP(A38,'Données projet'!$A$139:$I$159,5,0)),0%,VLOOKUP(A38,'Données projet'!$A$139:$I$159,5,0)*VLOOKUP('Données projet'!$B$13,Paramètres!$A$1:$I$89,7,0))</f>
        <v>0.13750000000000001</v>
      </c>
      <c r="DD38" s="16">
        <f>IF(ISNA(VLOOKUP(A38,'Données projet'!$A$139:$I$159,6,0)),0%,VLOOKUP(A38,'Données projet'!$A$139:$I$159,6,0)*VLOOKUP('Données projet'!$B$13,Paramètres!$A$1:$I$89,7,0))</f>
        <v>0.20350000000000001</v>
      </c>
      <c r="DE38" s="16">
        <f>IF(ISNA(VLOOKUP(A38,'Données projet'!$A$139:$I$159,7,0)),0%,VLOOKUP(A38,'Données projet'!$A$139:$I$159,7,0))</f>
        <v>0.38</v>
      </c>
      <c r="DF38" s="21">
        <f>EXP(-LN(2)/35)*DF37+(1-EXP(-LN(2)/35))/(LN(2)/35)*DB38*DC38*VLOOKUP('Données projet'!$B$13,Paramètres!$A$1:$I$89,3,0)*0.475*44/12</f>
        <v>14.561711351369045</v>
      </c>
      <c r="DG38" s="21">
        <f>EXP(-LN(2)/25)*DG37+(1-EXP(-LN(2)/25))/(LN(2)/25)*Calculateur!DB38*Calculateur!DD38*VLOOKUP('Données projet'!$B$13,Paramètres!$A$1:$I$89,3,0)*0.475*44/12</f>
        <v>20.66288490897395</v>
      </c>
      <c r="DH38" s="21">
        <f>EXP(-LN(2)/2)*DH37+(1-EXP(-LN(2)/2))/(LN(2)/2)*DB38*DE38*VLOOKUP('Données projet'!$B$13,Paramètres!$A$1:$I$89,3,0)*0.475*44/12</f>
        <v>14.904081104617021</v>
      </c>
      <c r="DI38" s="22">
        <f t="shared" si="15"/>
        <v>50.128677364960012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377.23</v>
      </c>
      <c r="DM38" s="12">
        <f>VLOOKUP(A38,'Données projet'!$A$165:$I$185,9,0)</f>
        <v>23.265714285714289</v>
      </c>
      <c r="DN38" s="12">
        <f t="array" ref="DN38">INDEX(DM:DM,MIN(IF(ISNUMBER(DM38:DM234),ROW(DM38:DM234),"")))</f>
        <v>23.265714285714289</v>
      </c>
      <c r="DO38" s="12">
        <f>IF('Données projet'!$A$166&gt;35,DO37+DN38-DW37,IF(A38&lt;'Données projet'!$A$166,$DL$205^A38,IF(A38='Données projet'!$A$166,'Données projet'!$B$166,DO37+DN38-DW37)))</f>
        <v>377.23</v>
      </c>
      <c r="DP38" s="17">
        <f>DO38*VLOOKUP('Données projet'!$B$14,Paramètres!$A$1:$I$89,3,0)*VLOOKUP('Données projet'!$B$14,Paramètres!$A$1:$I$89,5,0)</f>
        <v>210.87157000000002</v>
      </c>
      <c r="DQ38" s="13">
        <f t="shared" si="43"/>
        <v>52.125999737089174</v>
      </c>
      <c r="DR38" s="20">
        <f t="shared" si="16"/>
        <v>458.05410062543029</v>
      </c>
      <c r="DS38" s="59">
        <f t="shared" si="17"/>
        <v>751.38743395876361</v>
      </c>
      <c r="DT38" s="59">
        <f ca="1">AVERAGE(OFFSET($DS$3,0,0,'Données projet'!$E$14+1,1))-AVERAGE(OFFSET($H$3,0,0,'Données projet'!$E$14+1,1))</f>
        <v>328.15217666639006</v>
      </c>
      <c r="DU38" s="59">
        <f t="shared" si="44"/>
        <v>305.59175773326308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86.700000000000045</v>
      </c>
      <c r="DX38" s="16">
        <f>IF(ISNA(VLOOKUP(A38,'Données projet'!$A$165:$I$185,5,0)),0%,VLOOKUP(A38,'Données projet'!$A$165:$I$185,5,0)*VLOOKUP('Données projet'!$B$14,Paramètres!$A$1:$I$89,7,0))</f>
        <v>0.33</v>
      </c>
      <c r="DY38" s="16">
        <f>IF(ISNA(VLOOKUP(A38,'Données projet'!$A$165:$I$185,6,0)),0%,VLOOKUP(A38,'Données projet'!$A$165:$I$185,6,0)*VLOOKUP('Données projet'!$B$14,Paramètres!$A$1:$I$89,7,0))</f>
        <v>0.11000000000000001</v>
      </c>
      <c r="DZ38" s="16">
        <f>IF(ISNA(VLOOKUP(A38,'Données projet'!$A$165:$I$185,7,0)),0%,VLOOKUP(A38,'Données projet'!$A$165:$I$185,7,0))</f>
        <v>0.2</v>
      </c>
      <c r="EA38" s="21">
        <f>EXP(-LN(2)/35)*EA37+(1-EXP(-LN(2)/35))/(LN(2)/35)*DW38*DX38*VLOOKUP('Données projet'!$B$14,Paramètres!$A$1:$I$89,3,0)*0.475*44/12</f>
        <v>32.212341887441895</v>
      </c>
      <c r="EB38" s="21">
        <f>EXP(-LN(2)/25)*EB37+(1-EXP(-LN(2)/25))/(LN(2)/25)*Calculateur!DW38*Calculateur!DY38*VLOOKUP('Données projet'!$B$14,Paramètres!$A$1:$I$89,3,0)*0.475*44/12</f>
        <v>22.004182806325677</v>
      </c>
      <c r="EC38" s="21">
        <f>EXP(-LN(2)/2)*EC37+(1-EXP(-LN(2)/2))/(LN(2)/2)*DW38*DZ38*VLOOKUP('Données projet'!$B$14,Paramètres!$A$1:$I$89,3,0)*0.475*44/12</f>
        <v>12.534080265156646</v>
      </c>
      <c r="ED38" s="22">
        <f t="shared" si="18"/>
        <v>66.750604958924214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162</v>
      </c>
      <c r="EH38" s="12">
        <f>VLOOKUP(A38,'Données projet'!$A$191:$I$211,9,0)</f>
        <v>7.2</v>
      </c>
      <c r="EI38" s="12">
        <f t="array" ref="EI38">INDEX(EH:EH,MIN(IF(ISNUMBER(EH38:EH234),ROW(EH38:EH234),"")))</f>
        <v>7.2</v>
      </c>
      <c r="EJ38" s="12">
        <f>IF('Données projet'!$A$192&gt;35,EJ37+EI38-ER37,IF(A38&lt;'Données projet'!$A$192,$EG$205^A38,IF(A38='Données projet'!$A$192,'Données projet'!$B$192,EJ37+EI38-ER37)))</f>
        <v>161.99999999999994</v>
      </c>
      <c r="EK38" s="17">
        <f>EJ38*VLOOKUP('Données projet'!$B$15,Paramètres!$A$1:$I$89,3,0)*VLOOKUP('Données projet'!$B$15,Paramètres!$A$1:$I$89,5,0)</f>
        <v>118.77839999999996</v>
      </c>
      <c r="EL38" s="13">
        <f t="shared" si="45"/>
        <v>31.389911704951505</v>
      </c>
      <c r="EM38" s="20">
        <f t="shared" si="19"/>
        <v>261.5431428861238</v>
      </c>
      <c r="EN38" s="59">
        <f t="shared" si="20"/>
        <v>554.87647621945712</v>
      </c>
      <c r="EO38" s="59">
        <f ca="1">AVERAGE(OFFSET($EN$3,0,0,'Données projet'!$E$15+1,1))-AVERAGE(OFFSET($H$3,0,0,'Données projet'!$E$15+1,1))</f>
        <v>159.78276497127206</v>
      </c>
      <c r="EP38" s="59">
        <f t="shared" si="46"/>
        <v>190.72163407919857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4.3000000000000003E-2</v>
      </c>
      <c r="ET38" s="16">
        <f>IF(ISNA(VLOOKUP(A38,'Données projet'!$A$191:$I$211,6,0)),0%,VLOOKUP(A38,'Données projet'!$A$191:$I$211,6,0)*VLOOKUP('Données projet'!$B$15,Paramètres!$A$1:$I$89,7,0))</f>
        <v>0.215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1.1722312875821093</v>
      </c>
      <c r="EW38" s="21">
        <f>EXP(-LN(2)/25)*EW37+(1-EXP(-LN(2)/25))/(LN(2)/25)*Calculateur!ER38*Calculateur!ET38*VLOOKUP('Données projet'!$B$15,Paramètres!$A$1:$I$89,3,0)*0.475*44/12</f>
        <v>14.937873809424751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16.110105097006858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5.3214035087719296</v>
      </c>
      <c r="FE38" s="12">
        <f>IF('Données projet'!$A$218&gt;35,FE37+FD38-FM37,IF(A38&lt;'Données projet'!$A$218,$FB$205^A38,IF(A38='Données projet'!$A$218,'Données projet'!$B$218,FE37+FD38-FM37)))</f>
        <v>186.2491228070177</v>
      </c>
      <c r="FF38" s="17">
        <f>FE38*VLOOKUP('Données projet'!$B$16,Paramètres!$A$1:$I$89,3,0)*VLOOKUP('Données projet'!$B$16,Paramètres!$A$1:$I$89,5,0)</f>
        <v>159.80174736842119</v>
      </c>
      <c r="FG38" s="13">
        <f t="shared" si="47"/>
        <v>40.797795746067536</v>
      </c>
      <c r="FH38" s="20">
        <f t="shared" si="22"/>
        <v>349.37753759106778</v>
      </c>
      <c r="FI38" s="59">
        <f t="shared" si="23"/>
        <v>642.71087092440109</v>
      </c>
      <c r="FJ38" s="59">
        <f ca="1">AVERAGE(OFFSET($FI$3,0,0,'Données projet'!$E$16+1,1))-AVERAGE(OFFSET($H$3,0,0,'Données projet'!$E$16+1,1))</f>
        <v>337.15023592377008</v>
      </c>
      <c r="FK38" s="59">
        <f t="shared" si="48"/>
        <v>286.60608582587099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4.0942857142857143</v>
      </c>
      <c r="FZ38" s="12">
        <f>IF('Données projet'!$A$244&gt;35,FZ37+FY38-GH37,IF(A38&lt;'Données projet'!$A$244,$FW$205^A38,IF(A38='Données projet'!$A$244,'Données projet'!$B$244,FZ37+FY38-GH37)))</f>
        <v>143.3000000000001</v>
      </c>
      <c r="GA38" s="17">
        <f>FZ38*VLOOKUP('Données projet'!$B$17,Paramètres!$A$1:$I$89,3,0)*VLOOKUP('Données projet'!$B$17,Paramètres!$A$1:$I$89,5,0)</f>
        <v>129.65784000000008</v>
      </c>
      <c r="GB38" s="13">
        <f t="shared" si="49"/>
        <v>33.917284079455818</v>
      </c>
      <c r="GC38" s="20">
        <f t="shared" si="25"/>
        <v>284.89334110505234</v>
      </c>
      <c r="GD38" s="59">
        <f t="shared" si="26"/>
        <v>578.22667443838566</v>
      </c>
      <c r="GE38" s="59">
        <f ca="1">AVERAGE(OFFSET($GD$3,0,0,'Données projet'!$E$17+1,1))-AVERAGE(OFFSET($H$3,0,0,'Données projet'!$E$17+1,1))</f>
        <v>486.55344536255876</v>
      </c>
      <c r="GF38" s="59">
        <f t="shared" si="50"/>
        <v>231.14794884432229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317.11190636416472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8.2014285714285702</v>
      </c>
      <c r="N39" s="13">
        <f>IF('Données projet'!$A$36&gt;35,N38+M39-V38,IF(A39&lt;'Données projet'!$A$36,$K$205^A39,IF(A39='Données projet'!$A$36,'Données projet'!$B$36,N38+M39-V38)))</f>
        <v>295.25142857142856</v>
      </c>
      <c r="O39" s="13">
        <f>N39*VLOOKUP('Données projet'!$B$9,Paramètres!$A$1:$I$89,3,0)*VLOOKUP('Données projet'!$B$9,Paramètres!$A$1:$I$89,5,0)</f>
        <v>138.17766857142857</v>
      </c>
      <c r="P39" s="13">
        <f t="shared" si="33"/>
        <v>35.879217149322336</v>
      </c>
      <c r="Q39" s="20">
        <f t="shared" si="53"/>
        <v>303.14907596364111</v>
      </c>
      <c r="R39" s="59">
        <f t="shared" si="0"/>
        <v>596.48240929697442</v>
      </c>
      <c r="S39" s="59">
        <f ca="1">AVERAGE(OFFSET($R$3,0,0,'Données projet'!$E$9+1,1))-AVERAGE(OFFSET($H$3,0,0,'Données projet'!$E$9+1,1))</f>
        <v>252.08270526008477</v>
      </c>
      <c r="T39" s="59">
        <f t="shared" si="34"/>
        <v>239.77811108960179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17.804285714285715</v>
      </c>
      <c r="AH39" s="12">
        <f t="array" ref="AH39">INDEX(AG:AG,MIN(IF(ISNUMBER(AG39:AG235),ROW(AG39:AG235),"")))</f>
        <v>17.804285714285715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700.49063400597015</v>
      </c>
      <c r="AN39" s="59">
        <f ca="1">AVERAGE(OFFSET($AM$3,0,0,'Données projet'!$E$10+1,1))-AVERAGE(OFFSET($H$3,0,0,'Données projet'!$E$10+1,1))</f>
        <v>251.64326096359997</v>
      </c>
      <c r="AO39" s="59">
        <f t="shared" si="36"/>
        <v>256.72142151189894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76.509999999999991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30.66400450035372</v>
      </c>
      <c r="AV39" s="21">
        <f>EXP(-LN(2)/25)*AV38+(1-EXP(-LN(2)/25))/(LN(2)/25)*Calculateur!AQ39*Calculateur!AS39*VLOOKUP('Données projet'!$B$10,Paramètres!$A$1:$I$89,3,0)*0.475*44/12</f>
        <v>18.339011483048019</v>
      </c>
      <c r="AW39" s="21">
        <f>EXP(-LN(2)/2)*AW38+(1-EXP(-LN(2)/2))/(LN(2)/2)*AQ39*AT39*VLOOKUP('Données projet'!$B$10,Paramètres!$A$1:$I$89,3,0)*0.475*44/12</f>
        <v>11.203721779593071</v>
      </c>
      <c r="AX39" s="21">
        <f t="shared" si="6"/>
        <v>60.206737762994806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6.9</v>
      </c>
      <c r="BD39" s="12">
        <f>IF('Données projet'!$A$88&gt;35,BD38+BC39-BL38,IF(A39&lt;'Données projet'!$A$88,$BA$205^A39,IF(A39='Données projet'!$A$88,'Données projet'!$B$88,BD38+BC39-BL38)))</f>
        <v>168.89999999999995</v>
      </c>
      <c r="BE39" s="13">
        <f>BD39*VLOOKUP('Données projet'!$B$11,Paramètres!$A$1:$I$89,3,0)*VLOOKUP('Données projet'!$B$11,Paramètres!$A$1:$I$89,5,0)</f>
        <v>152.82071999999994</v>
      </c>
      <c r="BF39" s="13">
        <f t="shared" si="37"/>
        <v>39.218907667615191</v>
      </c>
      <c r="BG39" s="20">
        <f t="shared" si="7"/>
        <v>334.46901818776297</v>
      </c>
      <c r="BH39" s="59">
        <f t="shared" si="8"/>
        <v>627.80235152109628</v>
      </c>
      <c r="BI39" s="59">
        <f ca="1">AVERAGE(OFFSET($BH$3,0,0,'Données projet'!$E$11+1,1))-AVERAGE(OFFSET($H$3,0,0,'Données projet'!$E$11+1,1))</f>
        <v>199.29783428981898</v>
      </c>
      <c r="BJ39" s="59">
        <f t="shared" si="38"/>
        <v>237.32002274562547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0.98945349422078732</v>
      </c>
      <c r="BQ39" s="21">
        <f>EXP(-LN(2)/25)*BQ38+(1-EXP(-LN(2)/25))/(LN(2)/25)*Calculateur!BL39*Calculateur!BN39*VLOOKUP('Données projet'!$B$11,Paramètres!$A$1:$I$89,3,0)*0.475*44/12</f>
        <v>12.509228374235446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13.498681868456234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4.016578947368421</v>
      </c>
      <c r="BY39" s="12">
        <f>IF('Données projet'!$A$114&gt;35,BY38+BX39-CG38,IF(A39&lt;'Données projet'!$A$114,$BV$205^A39,IF(A39='Données projet'!$A$114,'Données projet'!$B$114,BY38+BX39-CG38)))</f>
        <v>144.59684210526314</v>
      </c>
      <c r="BZ39" s="13">
        <f>BY39*VLOOKUP('Données projet'!$B$12,Paramètres!$A$1:$I$89,3,0)*VLOOKUP('Données projet'!$B$12,Paramètres!$A$1:$I$89,5,0)</f>
        <v>121.80837978947368</v>
      </c>
      <c r="CA39" s="13">
        <f t="shared" si="39"/>
        <v>32.096406317535241</v>
      </c>
      <c r="CB39" s="20">
        <f t="shared" si="10"/>
        <v>268.05083580304057</v>
      </c>
      <c r="CC39" s="59">
        <f t="shared" si="11"/>
        <v>561.38416913637388</v>
      </c>
      <c r="CD39" s="59">
        <f ca="1">AVERAGE(OFFSET($CC$3,0,0,'Données projet'!$E$12+1,1))-AVERAGE(OFFSET($H$3,0,0,'Données projet'!$E$12+1,1))</f>
        <v>295.59075210589327</v>
      </c>
      <c r="CE39" s="59">
        <f t="shared" si="40"/>
        <v>210.41181542059576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25.4</v>
      </c>
      <c r="CT39" s="12">
        <f>IF('Données projet'!$A$140&gt;35,CT38+CS39-DB38,IF(A39&lt;'Données projet'!$A$140,$CQ$205^A39,IF(A39='Données projet'!$A$140,'Données projet'!$B$140,CT38+CS39-DB38)))</f>
        <v>338.40000000000003</v>
      </c>
      <c r="CU39" s="17">
        <f>CT39*VLOOKUP('Données projet'!$B$13,Paramètres!$A$1:$I$89,3,0)*VLOOKUP('Données projet'!$B$13,Paramètres!$A$1:$I$89,5,0)</f>
        <v>153.97200000000001</v>
      </c>
      <c r="CV39" s="13">
        <f t="shared" si="41"/>
        <v>39.479859284656378</v>
      </c>
      <c r="CW39" s="20">
        <f t="shared" si="13"/>
        <v>336.92865492077652</v>
      </c>
      <c r="CX39" s="59">
        <f t="shared" si="14"/>
        <v>630.26198825410984</v>
      </c>
      <c r="CY39" s="59">
        <f ca="1">AVERAGE(OFFSET($CX$3,0,0,'Données projet'!$E$13+1,1))-AVERAGE(OFFSET($H$3,0,0,'Données projet'!$E$13+1,1))</f>
        <v>338.22448697444298</v>
      </c>
      <c r="CZ39" s="59">
        <f t="shared" si="42"/>
        <v>293.3872365640849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14.276165073535621</v>
      </c>
      <c r="DG39" s="21">
        <f>EXP(-LN(2)/25)*DG38+(1-EXP(-LN(2)/25))/(LN(2)/25)*Calculateur!DB39*Calculateur!DD39*VLOOKUP('Données projet'!$B$13,Paramètres!$A$1:$I$89,3,0)*0.475*44/12</f>
        <v>20.097857234524167</v>
      </c>
      <c r="DH39" s="21">
        <f>EXP(-LN(2)/2)*DH38+(1-EXP(-LN(2)/2))/(LN(2)/2)*DB39*DE39*VLOOKUP('Données projet'!$B$13,Paramètres!$A$1:$I$89,3,0)*0.475*44/12</f>
        <v>10.538776816428985</v>
      </c>
      <c r="DI39" s="22">
        <f t="shared" si="15"/>
        <v>44.912799124488771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22.851428571428578</v>
      </c>
      <c r="DO39" s="12">
        <f>IF('Données projet'!$A$166&gt;35,DO38+DN39-DW38,IF(A39&lt;'Données projet'!$A$166,$DL$205^A39,IF(A39='Données projet'!$A$166,'Données projet'!$B$166,DO38+DN39-DW38)))</f>
        <v>313.38142857142856</v>
      </c>
      <c r="DP39" s="17">
        <f>DO39*VLOOKUP('Données projet'!$B$14,Paramètres!$A$1:$I$89,3,0)*VLOOKUP('Données projet'!$B$14,Paramètres!$A$1:$I$89,5,0)</f>
        <v>175.18021857142855</v>
      </c>
      <c r="DQ39" s="13">
        <f t="shared" si="43"/>
        <v>44.248185618905715</v>
      </c>
      <c r="DR39" s="20">
        <f t="shared" si="16"/>
        <v>382.17113729816555</v>
      </c>
      <c r="DS39" s="59">
        <f t="shared" si="17"/>
        <v>675.50447063149886</v>
      </c>
      <c r="DT39" s="59">
        <f ca="1">AVERAGE(OFFSET($DS$3,0,0,'Données projet'!$E$14+1,1))-AVERAGE(OFFSET($H$3,0,0,'Données projet'!$E$14+1,1))</f>
        <v>328.15217666639006</v>
      </c>
      <c r="DU39" s="59">
        <f t="shared" si="44"/>
        <v>305.59175773326308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31.580677510617672</v>
      </c>
      <c r="EB39" s="21">
        <f>EXP(-LN(2)/25)*EB38+(1-EXP(-LN(2)/25))/(LN(2)/25)*Calculateur!DW39*Calculateur!DY39*VLOOKUP('Données projet'!$B$14,Paramètres!$A$1:$I$89,3,0)*0.475*44/12</f>
        <v>21.40247727033702</v>
      </c>
      <c r="EC39" s="21">
        <f>EXP(-LN(2)/2)*EC38+(1-EXP(-LN(2)/2))/(LN(2)/2)*DW39*DZ39*VLOOKUP('Données projet'!$B$14,Paramètres!$A$1:$I$89,3,0)*0.475*44/12</f>
        <v>8.862933151428745</v>
      </c>
      <c r="ED39" s="22">
        <f t="shared" si="18"/>
        <v>61.84608793238344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6.9</v>
      </c>
      <c r="EJ39" s="12">
        <f>IF('Données projet'!$A$192&gt;35,EJ38+EI39-ER38,IF(A39&lt;'Données projet'!$A$192,$EG$205^A39,IF(A39='Données projet'!$A$192,'Données projet'!$B$192,EJ38+EI39-ER38)))</f>
        <v>168.89999999999995</v>
      </c>
      <c r="EK39" s="17">
        <f>EJ39*VLOOKUP('Données projet'!$B$15,Paramètres!$A$1:$I$89,3,0)*VLOOKUP('Données projet'!$B$15,Paramètres!$A$1:$I$89,5,0)</f>
        <v>123.83747999999996</v>
      </c>
      <c r="EL39" s="13">
        <f t="shared" si="45"/>
        <v>32.568382172079865</v>
      </c>
      <c r="EM39" s="20">
        <f t="shared" si="19"/>
        <v>272.40687661637236</v>
      </c>
      <c r="EN39" s="59">
        <f t="shared" si="20"/>
        <v>565.74020994970567</v>
      </c>
      <c r="EO39" s="59">
        <f ca="1">AVERAGE(OFFSET($EN$3,0,0,'Données projet'!$E$15+1,1))-AVERAGE(OFFSET($H$3,0,0,'Données projet'!$E$15+1,1))</f>
        <v>159.78276497127206</v>
      </c>
      <c r="EP39" s="59">
        <f t="shared" si="46"/>
        <v>190.72163407919857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1.1492445470231101</v>
      </c>
      <c r="EW39" s="21">
        <f>EXP(-LN(2)/25)*EW38+(1-EXP(-LN(2)/25))/(LN(2)/25)*Calculateur!ER39*Calculateur!ET39*VLOOKUP('Données projet'!$B$15,Paramètres!$A$1:$I$89,3,0)*0.475*44/12</f>
        <v>14.529396864557388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15.678641411580498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5.3214035087719296</v>
      </c>
      <c r="FE39" s="12">
        <f>IF('Données projet'!$A$218&gt;35,FE38+FD39-FM38,IF(A39&lt;'Données projet'!$A$218,$FB$205^A39,IF(A39='Données projet'!$A$218,'Données projet'!$B$218,FE38+FD39-FM38)))</f>
        <v>191.57052631578964</v>
      </c>
      <c r="FF39" s="17">
        <f>FE39*VLOOKUP('Données projet'!$B$16,Paramètres!$A$1:$I$89,3,0)*VLOOKUP('Données projet'!$B$16,Paramètres!$A$1:$I$89,5,0)</f>
        <v>164.36751157894753</v>
      </c>
      <c r="FG39" s="13">
        <f t="shared" si="47"/>
        <v>41.826070488348392</v>
      </c>
      <c r="FH39" s="20">
        <f t="shared" si="22"/>
        <v>359.12048876720706</v>
      </c>
      <c r="FI39" s="59">
        <f t="shared" si="23"/>
        <v>652.45382210054038</v>
      </c>
      <c r="FJ39" s="59">
        <f ca="1">AVERAGE(OFFSET($FI$3,0,0,'Données projet'!$E$16+1,1))-AVERAGE(OFFSET($H$3,0,0,'Données projet'!$E$16+1,1))</f>
        <v>337.15023592377008</v>
      </c>
      <c r="FK39" s="59">
        <f t="shared" si="48"/>
        <v>286.60608582587099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4.0942857142857143</v>
      </c>
      <c r="FZ39" s="12">
        <f>IF('Données projet'!$A$244&gt;35,FZ38+FY39-GH38,IF(A39&lt;'Données projet'!$A$244,$FW$205^A39,IF(A39='Données projet'!$A$244,'Données projet'!$B$244,FZ38+FY39-GH38)))</f>
        <v>147.39428571428581</v>
      </c>
      <c r="GA39" s="17">
        <f>FZ39*VLOOKUP('Données projet'!$B$17,Paramètres!$A$1:$I$89,3,0)*VLOOKUP('Données projet'!$B$17,Paramètres!$A$1:$I$89,5,0)</f>
        <v>133.36234971428578</v>
      </c>
      <c r="GB39" s="13">
        <f t="shared" si="49"/>
        <v>34.772141208569977</v>
      </c>
      <c r="GC39" s="20">
        <f t="shared" si="25"/>
        <v>292.83423835730713</v>
      </c>
      <c r="GD39" s="59">
        <f t="shared" si="26"/>
        <v>586.16757169064044</v>
      </c>
      <c r="GE39" s="59">
        <f ca="1">AVERAGE(OFFSET($GD$3,0,0,'Données projet'!$E$17+1,1))-AVERAGE(OFFSET($H$3,0,0,'Données projet'!$E$17+1,1))</f>
        <v>486.55344536255876</v>
      </c>
      <c r="GF39" s="59">
        <f t="shared" si="50"/>
        <v>231.14794884432229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318.74357436368058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8.2014285714285702</v>
      </c>
      <c r="N40" s="13">
        <f>IF('Données projet'!$A$36&gt;35,N39+M40-V39,IF(A40&lt;'Données projet'!$A$36,$K$205^A40,IF(A40='Données projet'!$A$36,'Données projet'!$B$36,N39+M40-V39)))</f>
        <v>303.45285714285711</v>
      </c>
      <c r="O40" s="13">
        <f>N40*VLOOKUP('Données projet'!$B$9,Paramètres!$A$1:$I$89,3,0)*VLOOKUP('Données projet'!$B$9,Paramètres!$A$1:$I$89,5,0)</f>
        <v>142.01593714285713</v>
      </c>
      <c r="P40" s="13">
        <f t="shared" si="33"/>
        <v>36.758443411529754</v>
      </c>
      <c r="Q40" s="20">
        <f t="shared" si="53"/>
        <v>311.36537946555717</v>
      </c>
      <c r="R40" s="59">
        <f t="shared" si="0"/>
        <v>604.69871279889048</v>
      </c>
      <c r="S40" s="59">
        <f ca="1">AVERAGE(OFFSET($R$3,0,0,'Données projet'!$E$9+1,1))-AVERAGE(OFFSET($H$3,0,0,'Données projet'!$E$9+1,1))</f>
        <v>252.08270526008477</v>
      </c>
      <c r="T40" s="59">
        <f t="shared" si="34"/>
        <v>239.77811108960179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16.583750000000002</v>
      </c>
      <c r="AI40" s="13">
        <f>IF('Données projet'!$A$62&gt;35,AI39+AH40-AQ39,IF(A40&lt;'Données projet'!$A$62,$AF$205^A40,IF(A40='Données projet'!$A$62,'Données projet'!$B$62,AI39+AH40-AQ39)))</f>
        <v>252.64375000000001</v>
      </c>
      <c r="AJ40" s="13">
        <f>AI40*VLOOKUP('Données projet'!$B$10,Paramètres!$A$1:$I$89,3,0)*VLOOKUP('Données projet'!$B$10,Paramètres!$A$1:$I$89,5,0)</f>
        <v>151.0809625</v>
      </c>
      <c r="AK40" s="13">
        <f t="shared" si="35"/>
        <v>38.824135473109777</v>
      </c>
      <c r="AL40" s="20">
        <f t="shared" si="4"/>
        <v>330.75137896983284</v>
      </c>
      <c r="AM40" s="59">
        <f t="shared" si="5"/>
        <v>624.08471230316616</v>
      </c>
      <c r="AN40" s="59">
        <f ca="1">AVERAGE(OFFSET($AM$3,0,0,'Données projet'!$E$10+1,1))-AVERAGE(OFFSET($H$3,0,0,'Données projet'!$E$10+1,1))</f>
        <v>251.64326096359997</v>
      </c>
      <c r="AO40" s="59">
        <f t="shared" si="36"/>
        <v>256.72142151189894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30.062702075297739</v>
      </c>
      <c r="AV40" s="21">
        <f>EXP(-LN(2)/25)*AV39+(1-EXP(-LN(2)/25))/(LN(2)/25)*Calculateur!AQ40*Calculateur!AS40*VLOOKUP('Données projet'!$B$10,Paramètres!$A$1:$I$89,3,0)*0.475*44/12</f>
        <v>17.837530249637371</v>
      </c>
      <c r="AW40" s="21">
        <f>EXP(-LN(2)/2)*AW39+(1-EXP(-LN(2)/2))/(LN(2)/2)*AQ40*AT40*VLOOKUP('Données projet'!$B$10,Paramètres!$A$1:$I$89,3,0)*0.475*44/12</f>
        <v>7.9222276448776752</v>
      </c>
      <c r="AX40" s="21">
        <f t="shared" si="6"/>
        <v>55.822459969812783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6.9</v>
      </c>
      <c r="BD40" s="12">
        <f>IF('Données projet'!$A$88&gt;35,BD39+BC40-BL39,IF(A40&lt;'Données projet'!$A$88,$BA$205^A40,IF(A40='Données projet'!$A$88,'Données projet'!$B$88,BD39+BC40-BL39)))</f>
        <v>175.79999999999995</v>
      </c>
      <c r="BE40" s="13">
        <f>BD40*VLOOKUP('Données projet'!$B$11,Paramètres!$A$1:$I$89,3,0)*VLOOKUP('Données projet'!$B$11,Paramètres!$A$1:$I$89,5,0)</f>
        <v>159.06383999999997</v>
      </c>
      <c r="BF40" s="13">
        <f t="shared" si="37"/>
        <v>40.631289844793223</v>
      </c>
      <c r="BG40" s="20">
        <f t="shared" si="7"/>
        <v>347.80235114634814</v>
      </c>
      <c r="BH40" s="59">
        <f t="shared" si="8"/>
        <v>641.13568447968146</v>
      </c>
      <c r="BI40" s="59">
        <f ca="1">AVERAGE(OFFSET($BH$3,0,0,'Données projet'!$E$11+1,1))-AVERAGE(OFFSET($H$3,0,0,'Données projet'!$E$11+1,1))</f>
        <v>199.29783428981898</v>
      </c>
      <c r="BJ40" s="59">
        <f t="shared" si="38"/>
        <v>237.32002274562547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0.97005091470615779</v>
      </c>
      <c r="BQ40" s="21">
        <f>EXP(-LN(2)/25)*BQ39+(1-EXP(-LN(2)/25))/(LN(2)/25)*Calculateur!BL40*Calculateur!BN40*VLOOKUP('Données projet'!$B$11,Paramètres!$A$1:$I$89,3,0)*0.475*44/12</f>
        <v>12.167162866510248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13.137213781216406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4.016578947368421</v>
      </c>
      <c r="BY40" s="12">
        <f>IF('Données projet'!$A$114&gt;35,BY39+BX40-CG39,IF(A40&lt;'Données projet'!$A$114,$BV$205^A40,IF(A40='Données projet'!$A$114,'Données projet'!$B$114,BY39+BX40-CG39)))</f>
        <v>148.61342105263157</v>
      </c>
      <c r="BZ40" s="13">
        <f>BY40*VLOOKUP('Données projet'!$B$12,Paramètres!$A$1:$I$89,3,0)*VLOOKUP('Données projet'!$B$12,Paramètres!$A$1:$I$89,5,0)</f>
        <v>125.19194589473683</v>
      </c>
      <c r="CA40" s="13">
        <f t="shared" si="39"/>
        <v>32.882934162872864</v>
      </c>
      <c r="CB40" s="20">
        <f t="shared" si="10"/>
        <v>275.31374943367024</v>
      </c>
      <c r="CC40" s="59">
        <f t="shared" si="11"/>
        <v>568.64708276700355</v>
      </c>
      <c r="CD40" s="59">
        <f ca="1">AVERAGE(OFFSET($CC$3,0,0,'Données projet'!$E$12+1,1))-AVERAGE(OFFSET($H$3,0,0,'Données projet'!$E$12+1,1))</f>
        <v>295.59075210589327</v>
      </c>
      <c r="CE40" s="59">
        <f t="shared" si="40"/>
        <v>210.41181542059576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25.4</v>
      </c>
      <c r="CT40" s="12">
        <f>IF('Données projet'!$A$140&gt;35,CT39+CS40-DB39,IF(A40&lt;'Données projet'!$A$140,$CQ$205^A40,IF(A40='Données projet'!$A$140,'Données projet'!$B$140,CT39+CS40-DB39)))</f>
        <v>363.8</v>
      </c>
      <c r="CU40" s="17">
        <f>CT40*VLOOKUP('Données projet'!$B$13,Paramètres!$A$1:$I$89,3,0)*VLOOKUP('Données projet'!$B$13,Paramètres!$A$1:$I$89,5,0)</f>
        <v>165.529</v>
      </c>
      <c r="CV40" s="13">
        <f t="shared" si="41"/>
        <v>42.08712036829936</v>
      </c>
      <c r="CW40" s="20">
        <f t="shared" si="13"/>
        <v>361.59807630812139</v>
      </c>
      <c r="CX40" s="59">
        <f t="shared" si="14"/>
        <v>654.93140964145471</v>
      </c>
      <c r="CY40" s="59">
        <f ca="1">AVERAGE(OFFSET($CX$3,0,0,'Données projet'!$E$13+1,1))-AVERAGE(OFFSET($H$3,0,0,'Données projet'!$E$13+1,1))</f>
        <v>338.22448697444298</v>
      </c>
      <c r="CZ40" s="59">
        <f t="shared" si="42"/>
        <v>293.3872365640849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13.996218184044478</v>
      </c>
      <c r="DG40" s="21">
        <f>EXP(-LN(2)/25)*DG39+(1-EXP(-LN(2)/25))/(LN(2)/25)*Calculateur!DB40*Calculateur!DD40*VLOOKUP('Données projet'!$B$13,Paramètres!$A$1:$I$89,3,0)*0.475*44/12</f>
        <v>19.548280271545725</v>
      </c>
      <c r="DH40" s="21">
        <f>EXP(-LN(2)/2)*DH39+(1-EXP(-LN(2)/2))/(LN(2)/2)*DB40*DE40*VLOOKUP('Données projet'!$B$13,Paramètres!$A$1:$I$89,3,0)*0.475*44/12</f>
        <v>7.4520405523085111</v>
      </c>
      <c r="DI40" s="22">
        <f t="shared" si="15"/>
        <v>40.996539007898711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22.851428571428578</v>
      </c>
      <c r="DO40" s="12">
        <f>IF('Données projet'!$A$166&gt;35,DO39+DN40-DW39,IF(A40&lt;'Données projet'!$A$166,$DL$205^A40,IF(A40='Données projet'!$A$166,'Données projet'!$B$166,DO39+DN40-DW39)))</f>
        <v>336.23285714285714</v>
      </c>
      <c r="DP40" s="17">
        <f>DO40*VLOOKUP('Données projet'!$B$14,Paramètres!$A$1:$I$89,3,0)*VLOOKUP('Données projet'!$B$14,Paramètres!$A$1:$I$89,5,0)</f>
        <v>187.95416714285713</v>
      </c>
      <c r="DQ40" s="13">
        <f t="shared" si="43"/>
        <v>47.087363665282226</v>
      </c>
      <c r="DR40" s="20">
        <f t="shared" si="16"/>
        <v>409.36399949084267</v>
      </c>
      <c r="DS40" s="59">
        <f t="shared" si="17"/>
        <v>702.69733282417599</v>
      </c>
      <c r="DT40" s="59">
        <f ca="1">AVERAGE(OFFSET($DS$3,0,0,'Données projet'!$E$14+1,1))-AVERAGE(OFFSET($H$3,0,0,'Données projet'!$E$14+1,1))</f>
        <v>328.15217666639006</v>
      </c>
      <c r="DU40" s="59">
        <f t="shared" si="44"/>
        <v>305.59175773326308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30.961399686945747</v>
      </c>
      <c r="EB40" s="21">
        <f>EXP(-LN(2)/25)*EB39+(1-EXP(-LN(2)/25))/(LN(2)/25)*Calculateur!DW40*Calculateur!DY40*VLOOKUP('Données projet'!$B$14,Paramètres!$A$1:$I$89,3,0)*0.475*44/12</f>
        <v>20.817225403872289</v>
      </c>
      <c r="EC40" s="21">
        <f>EXP(-LN(2)/2)*EC39+(1-EXP(-LN(2)/2))/(LN(2)/2)*DW40*DZ40*VLOOKUP('Données projet'!$B$14,Paramètres!$A$1:$I$89,3,0)*0.475*44/12</f>
        <v>6.267040132578324</v>
      </c>
      <c r="ED40" s="22">
        <f t="shared" si="18"/>
        <v>58.045665223396362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6.9</v>
      </c>
      <c r="EJ40" s="12">
        <f>IF('Données projet'!$A$192&gt;35,EJ39+EI40-ER39,IF(A40&lt;'Données projet'!$A$192,$EG$205^A40,IF(A40='Données projet'!$A$192,'Données projet'!$B$192,EJ39+EI40-ER39)))</f>
        <v>175.79999999999995</v>
      </c>
      <c r="EK40" s="17">
        <f>EJ40*VLOOKUP('Données projet'!$B$15,Paramètres!$A$1:$I$89,3,0)*VLOOKUP('Données projet'!$B$15,Paramètres!$A$1:$I$89,5,0)</f>
        <v>128.89655999999997</v>
      </c>
      <c r="EL40" s="13">
        <f t="shared" si="45"/>
        <v>33.741260389627762</v>
      </c>
      <c r="EM40" s="20">
        <f t="shared" si="19"/>
        <v>283.26087051193491</v>
      </c>
      <c r="EN40" s="59">
        <f t="shared" si="20"/>
        <v>576.59420384526823</v>
      </c>
      <c r="EO40" s="59">
        <f ca="1">AVERAGE(OFFSET($EN$3,0,0,'Données projet'!$E$15+1,1))-AVERAGE(OFFSET($H$3,0,0,'Données projet'!$E$15+1,1))</f>
        <v>159.78276497127206</v>
      </c>
      <c r="EP40" s="59">
        <f t="shared" si="46"/>
        <v>190.72163407919857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1.1267085624259456</v>
      </c>
      <c r="EW40" s="21">
        <f>EXP(-LN(2)/25)*EW39+(1-EXP(-LN(2)/25))/(LN(2)/25)*Calculateur!ER40*Calculateur!ET40*VLOOKUP('Données projet'!$B$15,Paramètres!$A$1:$I$89,3,0)*0.475*44/12</f>
        <v>14.132089743228292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15.258798305654238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5.3214035087719296</v>
      </c>
      <c r="FE40" s="12">
        <f>IF('Données projet'!$A$218&gt;35,FE39+FD40-FM39,IF(A40&lt;'Données projet'!$A$218,$FB$205^A40,IF(A40='Données projet'!$A$218,'Données projet'!$B$218,FE39+FD40-FM39)))</f>
        <v>196.89192982456157</v>
      </c>
      <c r="FF40" s="17">
        <f>FE40*VLOOKUP('Données projet'!$B$16,Paramètres!$A$1:$I$89,3,0)*VLOOKUP('Données projet'!$B$16,Paramètres!$A$1:$I$89,5,0)</f>
        <v>168.93327578947384</v>
      </c>
      <c r="FG40" s="13">
        <f t="shared" si="47"/>
        <v>42.851025393725678</v>
      </c>
      <c r="FH40" s="20">
        <f t="shared" si="22"/>
        <v>368.85765789407247</v>
      </c>
      <c r="FI40" s="59">
        <f t="shared" si="23"/>
        <v>662.19099122740579</v>
      </c>
      <c r="FJ40" s="59">
        <f ca="1">AVERAGE(OFFSET($FI$3,0,0,'Données projet'!$E$16+1,1))-AVERAGE(OFFSET($H$3,0,0,'Données projet'!$E$16+1,1))</f>
        <v>337.15023592377008</v>
      </c>
      <c r="FK40" s="59">
        <f t="shared" si="48"/>
        <v>286.60608582587099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4.0942857142857143</v>
      </c>
      <c r="FZ40" s="12">
        <f>IF('Données projet'!$A$244&gt;35,FZ39+FY40-GH39,IF(A40&lt;'Données projet'!$A$244,$FW$205^A40,IF(A40='Données projet'!$A$244,'Données projet'!$B$244,FZ39+FY40-GH39)))</f>
        <v>151.48857142857153</v>
      </c>
      <c r="GA40" s="17">
        <f>FZ40*VLOOKUP('Données projet'!$B$17,Paramètres!$A$1:$I$89,3,0)*VLOOKUP('Données projet'!$B$17,Paramètres!$A$1:$I$89,5,0)</f>
        <v>137.06685942857152</v>
      </c>
      <c r="GB40" s="13">
        <f t="shared" si="49"/>
        <v>35.624238388297236</v>
      </c>
      <c r="GC40" s="20">
        <f t="shared" si="25"/>
        <v>300.77032869771307</v>
      </c>
      <c r="GD40" s="59">
        <f t="shared" si="26"/>
        <v>594.10366203104638</v>
      </c>
      <c r="GE40" s="59">
        <f ca="1">AVERAGE(OFFSET($GD$3,0,0,'Données projet'!$E$17+1,1))-AVERAGE(OFFSET($H$3,0,0,'Données projet'!$E$17+1,1))</f>
        <v>486.55344536255876</v>
      </c>
      <c r="GF40" s="59">
        <f t="shared" si="50"/>
        <v>231.14794884432229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320.37412817532328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8.2014285714285702</v>
      </c>
      <c r="N41" s="13">
        <f>IF('Données projet'!$A$36&gt;35,N40+M41-V40,IF(A41&lt;'Données projet'!$A$36,$K$205^A41,IF(A41='Données projet'!$A$36,'Données projet'!$B$36,N40+M41-V40)))</f>
        <v>311.65428571428566</v>
      </c>
      <c r="O41" s="13">
        <f>N41*VLOOKUP('Données projet'!$B$9,Paramètres!$A$1:$I$89,3,0)*VLOOKUP('Données projet'!$B$9,Paramètres!$A$1:$I$89,5,0)</f>
        <v>145.85420571428568</v>
      </c>
      <c r="P41" s="13">
        <f t="shared" si="33"/>
        <v>37.634907666394</v>
      </c>
      <c r="Q41" s="20">
        <f t="shared" si="53"/>
        <v>319.57687247135044</v>
      </c>
      <c r="R41" s="59">
        <f t="shared" si="0"/>
        <v>612.91020580468376</v>
      </c>
      <c r="S41" s="59">
        <f ca="1">AVERAGE(OFFSET($R$3,0,0,'Données projet'!$E$9+1,1))-AVERAGE(OFFSET($H$3,0,0,'Données projet'!$E$9+1,1))</f>
        <v>252.08270526008477</v>
      </c>
      <c r="T41" s="59">
        <f t="shared" si="34"/>
        <v>239.77811108960179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16.583750000000002</v>
      </c>
      <c r="AI41" s="13">
        <f>IF('Données projet'!$A$62&gt;35,AI40+AH41-AQ40,IF(A41&lt;'Données projet'!$A$62,$AF$205^A41,IF(A41='Données projet'!$A$62,'Données projet'!$B$62,AI40+AH41-AQ40)))</f>
        <v>269.22750000000002</v>
      </c>
      <c r="AJ41" s="13">
        <f>AI41*VLOOKUP('Données projet'!$B$10,Paramètres!$A$1:$I$89,3,0)*VLOOKUP('Données projet'!$B$10,Paramètres!$A$1:$I$89,5,0)</f>
        <v>160.99804500000002</v>
      </c>
      <c r="AK41" s="13">
        <f t="shared" si="35"/>
        <v>41.067545707058052</v>
      </c>
      <c r="AL41" s="20">
        <f t="shared" si="4"/>
        <v>351.93090381479277</v>
      </c>
      <c r="AM41" s="59">
        <f t="shared" si="5"/>
        <v>645.26423714812609</v>
      </c>
      <c r="AN41" s="59">
        <f ca="1">AVERAGE(OFFSET($AM$3,0,0,'Données projet'!$E$10+1,1))-AVERAGE(OFFSET($H$3,0,0,'Données projet'!$E$10+1,1))</f>
        <v>251.64326096359997</v>
      </c>
      <c r="AO41" s="59">
        <f t="shared" si="36"/>
        <v>256.72142151189894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29.473190824038845</v>
      </c>
      <c r="AV41" s="21">
        <f>EXP(-LN(2)/25)*AV40+(1-EXP(-LN(2)/25))/(LN(2)/25)*Calculateur!AQ41*Calculateur!AS41*VLOOKUP('Données projet'!$B$10,Paramètres!$A$1:$I$89,3,0)*0.475*44/12</f>
        <v>17.349762046926088</v>
      </c>
      <c r="AW41" s="21">
        <f>EXP(-LN(2)/2)*AW40+(1-EXP(-LN(2)/2))/(LN(2)/2)*AQ41*AT41*VLOOKUP('Données projet'!$B$10,Paramètres!$A$1:$I$89,3,0)*0.475*44/12</f>
        <v>5.6018608897965363</v>
      </c>
      <c r="AX41" s="21">
        <f t="shared" si="6"/>
        <v>52.424813760761467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6.9</v>
      </c>
      <c r="BD41" s="12">
        <f>IF('Données projet'!$A$88&gt;35,BD40+BC41-BL40,IF(A41&lt;'Données projet'!$A$88,$BA$205^A41,IF(A41='Données projet'!$A$88,'Données projet'!$B$88,BD40+BC41-BL40)))</f>
        <v>182.69999999999996</v>
      </c>
      <c r="BE41" s="13">
        <f>BD41*VLOOKUP('Données projet'!$B$11,Paramètres!$A$1:$I$89,3,0)*VLOOKUP('Données projet'!$B$11,Paramètres!$A$1:$I$89,5,0)</f>
        <v>165.30695999999995</v>
      </c>
      <c r="BF41" s="13">
        <f t="shared" si="37"/>
        <v>42.037232382813684</v>
      </c>
      <c r="BG41" s="20">
        <f t="shared" si="7"/>
        <v>361.12446840006709</v>
      </c>
      <c r="BH41" s="59">
        <f t="shared" si="8"/>
        <v>654.4578017334004</v>
      </c>
      <c r="BI41" s="59">
        <f ca="1">AVERAGE(OFFSET($BH$3,0,0,'Données projet'!$E$11+1,1))-AVERAGE(OFFSET($H$3,0,0,'Données projet'!$E$11+1,1))</f>
        <v>199.29783428981898</v>
      </c>
      <c r="BJ41" s="59">
        <f t="shared" si="38"/>
        <v>237.32002274562547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0.95102880794140521</v>
      </c>
      <c r="BQ41" s="21">
        <f>EXP(-LN(2)/25)*BQ40+(1-EXP(-LN(2)/25))/(LN(2)/25)*Calculateur!BL41*Calculateur!BN41*VLOOKUP('Données projet'!$B$11,Paramètres!$A$1:$I$89,3,0)*0.475*44/12</f>
        <v>11.834451158082238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12.785479966023644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>
        <f>VLOOKUP(A41,'Données projet'!$A$113:$I$133,2,0)</f>
        <v>152.63</v>
      </c>
      <c r="BW41" s="12">
        <f>VLOOKUP(A41,'Données projet'!$A$113:$I$133,9,0)</f>
        <v>4.016578947368421</v>
      </c>
      <c r="BX41" s="12">
        <f t="array" ref="BX41">INDEX(BW:BW,MIN(IF(ISNUMBER(BW41:BW237),ROW(BW41:BW237),"")))</f>
        <v>4.016578947368421</v>
      </c>
      <c r="BY41" s="12">
        <f>IF('Données projet'!$A$114&gt;35,BY40+BX41-CG40,IF(A41&lt;'Données projet'!$A$114,$BV$205^A41,IF(A41='Données projet'!$A$114,'Données projet'!$B$114,BY40+BX41-CG40)))</f>
        <v>152.63</v>
      </c>
      <c r="BZ41" s="13">
        <f>BY41*VLOOKUP('Données projet'!$B$12,Paramètres!$A$1:$I$89,3,0)*VLOOKUP('Données projet'!$B$12,Paramètres!$A$1:$I$89,5,0)</f>
        <v>128.575512</v>
      </c>
      <c r="CA41" s="13">
        <f t="shared" si="39"/>
        <v>33.666991204302761</v>
      </c>
      <c r="CB41" s="20">
        <f t="shared" si="10"/>
        <v>282.57235974749392</v>
      </c>
      <c r="CC41" s="59">
        <f t="shared" si="11"/>
        <v>575.90569308082718</v>
      </c>
      <c r="CD41" s="59">
        <f ca="1">AVERAGE(OFFSET($CC$3,0,0,'Données projet'!$E$12+1,1))-AVERAGE(OFFSET($H$3,0,0,'Données projet'!$E$12+1,1))</f>
        <v>295.59075210589327</v>
      </c>
      <c r="CE41" s="59">
        <f t="shared" si="40"/>
        <v>210.41181542059576</v>
      </c>
      <c r="CF41" s="15">
        <f>IF(ISNA(VLOOKUP(A41,'Données projet'!$A$113:$I$133,3,0)),0,VLOOKUP(A41,'Données projet'!$A$113:$I$133,3,0))</f>
        <v>1</v>
      </c>
      <c r="CG41" s="15">
        <f>IF(ISNA(VLOOKUP(A41,'Données projet'!$A$113:$I$133,4,0)),0,VLOOKUP(A41,'Données projet'!$A$113:$I$133,4,0))</f>
        <v>71.569999999999993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0.34400000000000003</v>
      </c>
      <c r="CJ41" s="16">
        <f>IF(ISNA(VLOOKUP(A41,'Données projet'!$A$113:$I$133,7,0)),0%,VLOOKUP(A41,'Données projet'!$A$113:$I$133,7,0))</f>
        <v>0.2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22.837132423829811</v>
      </c>
      <c r="CM41" s="21">
        <f>EXP(-LN(2)/2)*CM40+(1-EXP(-LN(2)/2))/(LN(2)/2)*CG41*CJ41*VLOOKUP('Données projet'!$B$12,Paramètres!$A$1:$I$89,3,0)*0.475*44/12</f>
        <v>11.377154720969271</v>
      </c>
      <c r="CN41" s="22">
        <f t="shared" si="12"/>
        <v>34.21428714479908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25.4</v>
      </c>
      <c r="CT41" s="12">
        <f>IF('Données projet'!$A$140&gt;35,CT40+CS41-DB40,IF(A41&lt;'Données projet'!$A$140,$CQ$205^A41,IF(A41='Données projet'!$A$140,'Données projet'!$B$140,CT40+CS41-DB40)))</f>
        <v>389.2</v>
      </c>
      <c r="CU41" s="17">
        <f>CT41*VLOOKUP('Données projet'!$B$13,Paramètres!$A$1:$I$89,3,0)*VLOOKUP('Données projet'!$B$13,Paramètres!$A$1:$I$89,5,0)</f>
        <v>177.08600000000001</v>
      </c>
      <c r="CV41" s="13">
        <f t="shared" si="41"/>
        <v>44.673260307462137</v>
      </c>
      <c r="CW41" s="20">
        <f t="shared" si="13"/>
        <v>386.23071170216326</v>
      </c>
      <c r="CX41" s="59">
        <f t="shared" si="14"/>
        <v>679.56404503549652</v>
      </c>
      <c r="CY41" s="59">
        <f ca="1">AVERAGE(OFFSET($CX$3,0,0,'Données projet'!$E$13+1,1))-AVERAGE(OFFSET($H$3,0,0,'Données projet'!$E$13+1,1))</f>
        <v>338.22448697444298</v>
      </c>
      <c r="CZ41" s="59">
        <f t="shared" si="42"/>
        <v>293.3872365640849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13.721760882305514</v>
      </c>
      <c r="DG41" s="21">
        <f>EXP(-LN(2)/25)*DG40+(1-EXP(-LN(2)/25))/(LN(2)/25)*Calculateur!DB41*Calculateur!DD41*VLOOKUP('Données projet'!$B$13,Paramètres!$A$1:$I$89,3,0)*0.475*44/12</f>
        <v>19.013731519520924</v>
      </c>
      <c r="DH41" s="21">
        <f>EXP(-LN(2)/2)*DH40+(1-EXP(-LN(2)/2))/(LN(2)/2)*DB41*DE41*VLOOKUP('Données projet'!$B$13,Paramètres!$A$1:$I$89,3,0)*0.475*44/12</f>
        <v>5.2693884082144935</v>
      </c>
      <c r="DI41" s="22">
        <f t="shared" si="15"/>
        <v>38.00488081004093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22.851428571428578</v>
      </c>
      <c r="DO41" s="12">
        <f>IF('Données projet'!$A$166&gt;35,DO40+DN41-DW40,IF(A41&lt;'Données projet'!$A$166,$DL$205^A41,IF(A41='Données projet'!$A$166,'Données projet'!$B$166,DO40+DN41-DW40)))</f>
        <v>359.08428571428573</v>
      </c>
      <c r="DP41" s="17">
        <f>DO41*VLOOKUP('Données projet'!$B$14,Paramètres!$A$1:$I$89,3,0)*VLOOKUP('Données projet'!$B$14,Paramètres!$A$1:$I$89,5,0)</f>
        <v>200.72811571428574</v>
      </c>
      <c r="DQ41" s="13">
        <f t="shared" si="43"/>
        <v>49.904151662519681</v>
      </c>
      <c r="DR41" s="20">
        <f t="shared" si="16"/>
        <v>436.51786568126948</v>
      </c>
      <c r="DS41" s="59">
        <f t="shared" si="17"/>
        <v>729.8511990146028</v>
      </c>
      <c r="DT41" s="59">
        <f ca="1">AVERAGE(OFFSET($DS$3,0,0,'Données projet'!$E$14+1,1))-AVERAGE(OFFSET($H$3,0,0,'Données projet'!$E$14+1,1))</f>
        <v>328.15217666639006</v>
      </c>
      <c r="DU41" s="59">
        <f t="shared" si="44"/>
        <v>305.59175773326308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30.354265523673853</v>
      </c>
      <c r="EB41" s="21">
        <f>EXP(-LN(2)/25)*EB40+(1-EXP(-LN(2)/25))/(LN(2)/25)*Calculateur!DW41*Calculateur!DY41*VLOOKUP('Données projet'!$B$14,Paramètres!$A$1:$I$89,3,0)*0.475*44/12</f>
        <v>20.247977280473094</v>
      </c>
      <c r="EC41" s="21">
        <f>EXP(-LN(2)/2)*EC40+(1-EXP(-LN(2)/2))/(LN(2)/2)*DW41*DZ41*VLOOKUP('Données projet'!$B$14,Paramètres!$A$1:$I$89,3,0)*0.475*44/12</f>
        <v>4.4314665757143734</v>
      </c>
      <c r="ED41" s="22">
        <f t="shared" si="18"/>
        <v>55.033709379861321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6.9</v>
      </c>
      <c r="EJ41" s="12">
        <f>IF('Données projet'!$A$192&gt;35,EJ40+EI41-ER40,IF(A41&lt;'Données projet'!$A$192,$EG$205^A41,IF(A41='Données projet'!$A$192,'Données projet'!$B$192,EJ40+EI41-ER40)))</f>
        <v>182.69999999999996</v>
      </c>
      <c r="EK41" s="17">
        <f>EJ41*VLOOKUP('Données projet'!$B$15,Paramètres!$A$1:$I$89,3,0)*VLOOKUP('Données projet'!$B$15,Paramètres!$A$1:$I$89,5,0)</f>
        <v>133.95563999999996</v>
      </c>
      <c r="EL41" s="13">
        <f t="shared" si="45"/>
        <v>34.908790966417506</v>
      </c>
      <c r="EM41" s="20">
        <f t="shared" si="19"/>
        <v>294.10555059984375</v>
      </c>
      <c r="EN41" s="59">
        <f t="shared" si="20"/>
        <v>587.43888393317707</v>
      </c>
      <c r="EO41" s="59">
        <f ca="1">AVERAGE(OFFSET($EN$3,0,0,'Données projet'!$E$15+1,1))-AVERAGE(OFFSET($H$3,0,0,'Données projet'!$E$15+1,1))</f>
        <v>159.78276497127206</v>
      </c>
      <c r="EP41" s="59">
        <f t="shared" si="46"/>
        <v>190.72163407919857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1.104614494741138</v>
      </c>
      <c r="EW41" s="21">
        <f>EXP(-LN(2)/25)*EW40+(1-EXP(-LN(2)/25))/(LN(2)/25)*Calculateur!ER41*Calculateur!ET41*VLOOKUP('Données projet'!$B$15,Paramètres!$A$1:$I$89,3,0)*0.475*44/12</f>
        <v>13.745647006025415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14.850261500766553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5.3214035087719296</v>
      </c>
      <c r="FE41" s="12">
        <f>IF('Données projet'!$A$218&gt;35,FE40+FD41-FM40,IF(A41&lt;'Données projet'!$A$218,$FB$205^A41,IF(A41='Données projet'!$A$218,'Données projet'!$B$218,FE40+FD41-FM40)))</f>
        <v>202.21333333333351</v>
      </c>
      <c r="FF41" s="17">
        <f>FE41*VLOOKUP('Données projet'!$B$16,Paramètres!$A$1:$I$89,3,0)*VLOOKUP('Données projet'!$B$16,Paramètres!$A$1:$I$89,5,0)</f>
        <v>173.49904000000018</v>
      </c>
      <c r="FG41" s="13">
        <f t="shared" si="47"/>
        <v>43.872760498811765</v>
      </c>
      <c r="FH41" s="20">
        <f t="shared" si="22"/>
        <v>378.58921920209747</v>
      </c>
      <c r="FI41" s="59">
        <f t="shared" si="23"/>
        <v>671.92255253543078</v>
      </c>
      <c r="FJ41" s="59">
        <f ca="1">AVERAGE(OFFSET($FI$3,0,0,'Données projet'!$E$16+1,1))-AVERAGE(OFFSET($H$3,0,0,'Données projet'!$E$16+1,1))</f>
        <v>337.15023592377008</v>
      </c>
      <c r="FK41" s="59">
        <f t="shared" si="48"/>
        <v>286.60608582587099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4.0942857142857143</v>
      </c>
      <c r="FZ41" s="12">
        <f>IF('Données projet'!$A$244&gt;35,FZ40+FY41-GH40,IF(A41&lt;'Données projet'!$A$244,$FW$205^A41,IF(A41='Données projet'!$A$244,'Données projet'!$B$244,FZ40+FY41-GH40)))</f>
        <v>155.58285714285725</v>
      </c>
      <c r="GA41" s="17">
        <f>FZ41*VLOOKUP('Données projet'!$B$17,Paramètres!$A$1:$I$89,3,0)*VLOOKUP('Données projet'!$B$17,Paramètres!$A$1:$I$89,5,0)</f>
        <v>140.77136914285722</v>
      </c>
      <c r="GB41" s="13">
        <f t="shared" si="49"/>
        <v>36.473658784165018</v>
      </c>
      <c r="GC41" s="20">
        <f t="shared" si="25"/>
        <v>308.70175697289704</v>
      </c>
      <c r="GD41" s="59">
        <f t="shared" si="26"/>
        <v>602.03509030623036</v>
      </c>
      <c r="GE41" s="59">
        <f ca="1">AVERAGE(OFFSET($GD$3,0,0,'Données projet'!$E$17+1,1))-AVERAGE(OFFSET($H$3,0,0,'Données projet'!$E$17+1,1))</f>
        <v>486.55344536255876</v>
      </c>
      <c r="GF41" s="59">
        <f t="shared" si="50"/>
        <v>231.14794884432229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322.00360049031474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8.2014285714285702</v>
      </c>
      <c r="N42" s="13">
        <f>IF('Données projet'!$A$36&gt;35,N41+M42-V41,IF(A42&lt;'Données projet'!$A$36,$K$205^A42,IF(A42='Données projet'!$A$36,'Données projet'!$B$36,N41+M42-V41)))</f>
        <v>319.85571428571421</v>
      </c>
      <c r="O42" s="13">
        <f>N42*VLOOKUP('Données projet'!$B$9,Paramètres!$A$1:$I$89,3,0)*VLOOKUP('Données projet'!$B$9,Paramètres!$A$1:$I$89,5,0)</f>
        <v>149.69247428571424</v>
      </c>
      <c r="P42" s="13">
        <f t="shared" si="33"/>
        <v>38.508690953564773</v>
      </c>
      <c r="Q42" s="20">
        <f t="shared" si="53"/>
        <v>327.7836961250776</v>
      </c>
      <c r="R42" s="59">
        <f t="shared" si="0"/>
        <v>621.11702945841091</v>
      </c>
      <c r="S42" s="59">
        <f ca="1">AVERAGE(OFFSET($R$3,0,0,'Données projet'!$E$9+1,1))-AVERAGE(OFFSET($H$3,0,0,'Données projet'!$E$9+1,1))</f>
        <v>252.08270526008477</v>
      </c>
      <c r="T42" s="59">
        <f t="shared" si="34"/>
        <v>239.77811108960179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16.583750000000002</v>
      </c>
      <c r="AI42" s="13">
        <f>IF('Données projet'!$A$62&gt;35,AI41+AH42-AQ41,IF(A42&lt;'Données projet'!$A$62,$AF$205^A42,IF(A42='Données projet'!$A$62,'Données projet'!$B$62,AI41+AH42-AQ41)))</f>
        <v>285.81125000000003</v>
      </c>
      <c r="AJ42" s="13">
        <f>AI42*VLOOKUP('Données projet'!$B$10,Paramètres!$A$1:$I$89,3,0)*VLOOKUP('Données projet'!$B$10,Paramètres!$A$1:$I$89,5,0)</f>
        <v>170.91512750000004</v>
      </c>
      <c r="AK42" s="13">
        <f t="shared" si="35"/>
        <v>43.294917618591782</v>
      </c>
      <c r="AL42" s="20">
        <f t="shared" si="4"/>
        <v>373.08249524821412</v>
      </c>
      <c r="AM42" s="59">
        <f t="shared" si="5"/>
        <v>666.41582858154743</v>
      </c>
      <c r="AN42" s="59">
        <f ca="1">AVERAGE(OFFSET($AM$3,0,0,'Données projet'!$E$10+1,1))-AVERAGE(OFFSET($H$3,0,0,'Données projet'!$E$10+1,1))</f>
        <v>251.64326096359997</v>
      </c>
      <c r="AO42" s="59">
        <f t="shared" si="36"/>
        <v>256.72142151189894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28.895239528850777</v>
      </c>
      <c r="AV42" s="21">
        <f>EXP(-LN(2)/25)*AV41+(1-EXP(-LN(2)/25))/(LN(2)/25)*Calculateur!AQ42*Calculateur!AS42*VLOOKUP('Données projet'!$B$10,Paramètres!$A$1:$I$89,3,0)*0.475*44/12</f>
        <v>16.87533189136856</v>
      </c>
      <c r="AW42" s="21">
        <f>EXP(-LN(2)/2)*AW41+(1-EXP(-LN(2)/2))/(LN(2)/2)*AQ42*AT42*VLOOKUP('Données projet'!$B$10,Paramètres!$A$1:$I$89,3,0)*0.475*44/12</f>
        <v>3.961113822438838</v>
      </c>
      <c r="AX42" s="21">
        <f t="shared" si="6"/>
        <v>49.73168524265818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6.9</v>
      </c>
      <c r="BD42" s="12">
        <f>IF('Données projet'!$A$88&gt;35,BD41+BC42-BL41,IF(A42&lt;'Données projet'!$A$88,$BA$205^A42,IF(A42='Données projet'!$A$88,'Données projet'!$B$88,BD41+BC42-BL41)))</f>
        <v>189.59999999999997</v>
      </c>
      <c r="BE42" s="13">
        <f>BD42*VLOOKUP('Données projet'!$B$11,Paramètres!$A$1:$I$89,3,0)*VLOOKUP('Données projet'!$B$11,Paramètres!$A$1:$I$89,5,0)</f>
        <v>171.55007999999998</v>
      </c>
      <c r="BF42" s="13">
        <f t="shared" si="37"/>
        <v>43.437006330714055</v>
      </c>
      <c r="BG42" s="20">
        <f t="shared" si="7"/>
        <v>374.43584202599351</v>
      </c>
      <c r="BH42" s="59">
        <f t="shared" si="8"/>
        <v>667.76917535932682</v>
      </c>
      <c r="BI42" s="59">
        <f ca="1">AVERAGE(OFFSET($BH$3,0,0,'Données projet'!$E$11+1,1))-AVERAGE(OFFSET($H$3,0,0,'Données projet'!$E$11+1,1))</f>
        <v>199.29783428981898</v>
      </c>
      <c r="BJ42" s="59">
        <f t="shared" si="38"/>
        <v>237.32002274562547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0.93237971308796996</v>
      </c>
      <c r="BQ42" s="21">
        <f>EXP(-LN(2)/25)*BQ41+(1-EXP(-LN(2)/25))/(LN(2)/25)*Calculateur!BL42*Calculateur!BN42*VLOOKUP('Données projet'!$B$11,Paramètres!$A$1:$I$89,3,0)*0.475*44/12</f>
        <v>11.510837468817741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12.443217181905711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9.8128571428571423</v>
      </c>
      <c r="BY42" s="12">
        <f>IF('Données projet'!$A$114&gt;35,BY41+BX42-CG41,IF(A42&lt;'Données projet'!$A$114,$BV$205^A42,IF(A42='Données projet'!$A$114,'Données projet'!$B$114,BY41+BX42-CG41)))</f>
        <v>90.872857142857157</v>
      </c>
      <c r="BZ42" s="13">
        <f>BY42*VLOOKUP('Données projet'!$B$12,Paramètres!$A$1:$I$89,3,0)*VLOOKUP('Données projet'!$B$12,Paramètres!$A$1:$I$89,5,0)</f>
        <v>76.551294857142878</v>
      </c>
      <c r="CA42" s="13">
        <f t="shared" si="39"/>
        <v>21.291807459619775</v>
      </c>
      <c r="CB42" s="20">
        <f t="shared" si="10"/>
        <v>170.4100698683616</v>
      </c>
      <c r="CC42" s="59">
        <f t="shared" si="11"/>
        <v>463.74340320169495</v>
      </c>
      <c r="CD42" s="59">
        <f ca="1">AVERAGE(OFFSET($CC$3,0,0,'Données projet'!$E$12+1,1))-AVERAGE(OFFSET($H$3,0,0,'Données projet'!$E$12+1,1))</f>
        <v>295.59075210589327</v>
      </c>
      <c r="CE42" s="59">
        <f t="shared" si="40"/>
        <v>210.41181542059576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22.212649836747584</v>
      </c>
      <c r="CM42" s="21">
        <f>EXP(-LN(2)/2)*CM41+(1-EXP(-LN(2)/2))/(LN(2)/2)*CG42*CJ42*VLOOKUP('Données projet'!$B$12,Paramètres!$A$1:$I$89,3,0)*0.475*44/12</f>
        <v>8.0448632538059144</v>
      </c>
      <c r="CN42" s="22">
        <f t="shared" si="12"/>
        <v>30.257513090553498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25.4</v>
      </c>
      <c r="CT42" s="12">
        <f>IF('Données projet'!$A$140&gt;35,CT41+CS42-DB41,IF(A42&lt;'Données projet'!$A$140,$CQ$205^A42,IF(A42='Données projet'!$A$140,'Données projet'!$B$140,CT41+CS42-DB41)))</f>
        <v>414.59999999999997</v>
      </c>
      <c r="CU42" s="17">
        <f>CT42*VLOOKUP('Données projet'!$B$13,Paramètres!$A$1:$I$89,3,0)*VLOOKUP('Données projet'!$B$13,Paramètres!$A$1:$I$89,5,0)</f>
        <v>188.643</v>
      </c>
      <c r="CV42" s="13">
        <f t="shared" si="41"/>
        <v>47.239814378757188</v>
      </c>
      <c r="CW42" s="20">
        <f t="shared" si="13"/>
        <v>410.82923504300203</v>
      </c>
      <c r="CX42" s="59">
        <f t="shared" si="14"/>
        <v>704.16256837633534</v>
      </c>
      <c r="CY42" s="59">
        <f ca="1">AVERAGE(OFFSET($CX$3,0,0,'Données projet'!$E$13+1,1))-AVERAGE(OFFSET($H$3,0,0,'Données projet'!$E$13+1,1))</f>
        <v>338.22448697444298</v>
      </c>
      <c r="CZ42" s="59">
        <f t="shared" si="42"/>
        <v>293.3872365640849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13.452685520851226</v>
      </c>
      <c r="DG42" s="21">
        <f>EXP(-LN(2)/25)*DG41+(1-EXP(-LN(2)/25))/(LN(2)/25)*Calculateur!DB42*Calculateur!DD42*VLOOKUP('Données projet'!$B$13,Paramètres!$A$1:$I$89,3,0)*0.475*44/12</f>
        <v>18.49380003123094</v>
      </c>
      <c r="DH42" s="21">
        <f>EXP(-LN(2)/2)*DH41+(1-EXP(-LN(2)/2))/(LN(2)/2)*DB42*DE42*VLOOKUP('Données projet'!$B$13,Paramètres!$A$1:$I$89,3,0)*0.475*44/12</f>
        <v>3.726020276154256</v>
      </c>
      <c r="DI42" s="22">
        <f t="shared" si="15"/>
        <v>35.672505828236424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22.851428571428578</v>
      </c>
      <c r="DO42" s="12">
        <f>IF('Données projet'!$A$166&gt;35,DO41+DN42-DW41,IF(A42&lt;'Données projet'!$A$166,$DL$205^A42,IF(A42='Données projet'!$A$166,'Données projet'!$B$166,DO41+DN42-DW41)))</f>
        <v>381.93571428571431</v>
      </c>
      <c r="DP42" s="17">
        <f>DO42*VLOOKUP('Données projet'!$B$14,Paramètres!$A$1:$I$89,3,0)*VLOOKUP('Données projet'!$B$14,Paramètres!$A$1:$I$89,5,0)</f>
        <v>213.50206428571431</v>
      </c>
      <c r="DQ42" s="13">
        <f t="shared" si="43"/>
        <v>52.700136656354076</v>
      </c>
      <c r="DR42" s="20">
        <f t="shared" si="16"/>
        <v>463.6354999741024</v>
      </c>
      <c r="DS42" s="59">
        <f t="shared" si="17"/>
        <v>756.96883330743572</v>
      </c>
      <c r="DT42" s="59">
        <f ca="1">AVERAGE(OFFSET($DS$3,0,0,'Données projet'!$E$14+1,1))-AVERAGE(OFFSET($H$3,0,0,'Données projet'!$E$14+1,1))</f>
        <v>328.15217666639006</v>
      </c>
      <c r="DU42" s="59">
        <f t="shared" si="44"/>
        <v>305.59175773326308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29.759036891028444</v>
      </c>
      <c r="EB42" s="21">
        <f>EXP(-LN(2)/25)*EB41+(1-EXP(-LN(2)/25))/(LN(2)/25)*Calculateur!DW42*Calculateur!DY42*VLOOKUP('Données projet'!$B$14,Paramètres!$A$1:$I$89,3,0)*0.475*44/12</f>
        <v>19.694295276943709</v>
      </c>
      <c r="EC42" s="21">
        <f>EXP(-LN(2)/2)*EC41+(1-EXP(-LN(2)/2))/(LN(2)/2)*DW42*DZ42*VLOOKUP('Données projet'!$B$14,Paramètres!$A$1:$I$89,3,0)*0.475*44/12</f>
        <v>3.1335200662891629</v>
      </c>
      <c r="ED42" s="22">
        <f t="shared" si="18"/>
        <v>52.586852234261315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6.9</v>
      </c>
      <c r="EJ42" s="12">
        <f>IF('Données projet'!$A$192&gt;35,EJ41+EI42-ER41,IF(A42&lt;'Données projet'!$A$192,$EG$205^A42,IF(A42='Données projet'!$A$192,'Données projet'!$B$192,EJ41+EI42-ER41)))</f>
        <v>189.59999999999997</v>
      </c>
      <c r="EK42" s="17">
        <f>EJ42*VLOOKUP('Données projet'!$B$15,Paramètres!$A$1:$I$89,3,0)*VLOOKUP('Données projet'!$B$15,Paramètres!$A$1:$I$89,5,0)</f>
        <v>139.01471999999998</v>
      </c>
      <c r="EL42" s="13">
        <f t="shared" si="45"/>
        <v>36.071198988489591</v>
      </c>
      <c r="EM42" s="20">
        <f t="shared" si="19"/>
        <v>304.94130890495268</v>
      </c>
      <c r="EN42" s="59">
        <f t="shared" si="20"/>
        <v>598.27464223828599</v>
      </c>
      <c r="EO42" s="59">
        <f ca="1">AVERAGE(OFFSET($EN$3,0,0,'Données projet'!$E$15+1,1))-AVERAGE(OFFSET($H$3,0,0,'Données projet'!$E$15+1,1))</f>
        <v>159.78276497127206</v>
      </c>
      <c r="EP42" s="59">
        <f t="shared" si="46"/>
        <v>190.72163407919857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1.082953678247579</v>
      </c>
      <c r="EW42" s="21">
        <f>EXP(-LN(2)/25)*EW41+(1-EXP(-LN(2)/25))/(LN(2)/25)*Calculateur!ER42*Calculateur!ET42*VLOOKUP('Données projet'!$B$15,Paramètres!$A$1:$I$89,3,0)*0.475*44/12</f>
        <v>13.36977156579349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14.452725244041069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5.3214035087719296</v>
      </c>
      <c r="FE42" s="12">
        <f>IF('Données projet'!$A$218&gt;35,FE41+FD42-FM41,IF(A42&lt;'Données projet'!$A$218,$FB$205^A42,IF(A42='Données projet'!$A$218,'Données projet'!$B$218,FE41+FD42-FM41)))</f>
        <v>207.53473684210545</v>
      </c>
      <c r="FF42" s="17">
        <f>FE42*VLOOKUP('Données projet'!$B$16,Paramètres!$A$1:$I$89,3,0)*VLOOKUP('Données projet'!$B$16,Paramètres!$A$1:$I$89,5,0)</f>
        <v>178.06480421052649</v>
      </c>
      <c r="FG42" s="13">
        <f t="shared" si="47"/>
        <v>44.89137027529172</v>
      </c>
      <c r="FH42" s="20">
        <f t="shared" si="22"/>
        <v>388.31533722946671</v>
      </c>
      <c r="FI42" s="59">
        <f t="shared" si="23"/>
        <v>681.64867056280002</v>
      </c>
      <c r="FJ42" s="59">
        <f ca="1">AVERAGE(OFFSET($FI$3,0,0,'Données projet'!$E$16+1,1))-AVERAGE(OFFSET($H$3,0,0,'Données projet'!$E$16+1,1))</f>
        <v>337.15023592377008</v>
      </c>
      <c r="FK42" s="59">
        <f t="shared" si="48"/>
        <v>286.60608582587099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4.0942857142857143</v>
      </c>
      <c r="FZ42" s="12">
        <f>IF('Données projet'!$A$244&gt;35,FZ41+FY42-GH41,IF(A42&lt;'Données projet'!$A$244,$FW$205^A42,IF(A42='Données projet'!$A$244,'Données projet'!$B$244,FZ41+FY42-GH41)))</f>
        <v>159.67714285714297</v>
      </c>
      <c r="GA42" s="17">
        <f>FZ42*VLOOKUP('Données projet'!$B$17,Paramètres!$A$1:$I$89,3,0)*VLOOKUP('Données projet'!$B$17,Paramètres!$A$1:$I$89,5,0)</f>
        <v>144.47587885714296</v>
      </c>
      <c r="GB42" s="13">
        <f t="shared" si="49"/>
        <v>37.320480935293446</v>
      </c>
      <c r="GC42" s="20">
        <f t="shared" si="25"/>
        <v>316.62865997182678</v>
      </c>
      <c r="GD42" s="59">
        <f t="shared" si="26"/>
        <v>609.96199330516015</v>
      </c>
      <c r="GE42" s="59">
        <f ca="1">AVERAGE(OFFSET($GD$3,0,0,'Données projet'!$E$17+1,1))-AVERAGE(OFFSET($H$3,0,0,'Données projet'!$E$17+1,1))</f>
        <v>486.55344536255876</v>
      </c>
      <c r="GF42" s="59">
        <f t="shared" si="50"/>
        <v>231.14794884432229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323.63202222789226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8.2014285714285702</v>
      </c>
      <c r="N43" s="13">
        <f>IF('Données projet'!$A$36&gt;35,N42+M43-V42,IF(A43&lt;'Données projet'!$A$36,$K$205^A43,IF(A43='Données projet'!$A$36,'Données projet'!$B$36,N42+M43-V42)))</f>
        <v>328.05714285714276</v>
      </c>
      <c r="O43" s="13">
        <f>N43*VLOOKUP('Données projet'!$B$9,Paramètres!$A$1:$I$89,3,0)*VLOOKUP('Données projet'!$B$9,Paramètres!$A$1:$I$89,5,0)</f>
        <v>153.5307428571428</v>
      </c>
      <c r="P43" s="13">
        <f t="shared" si="33"/>
        <v>39.379869920044555</v>
      </c>
      <c r="Q43" s="20">
        <f t="shared" si="53"/>
        <v>335.98598392026793</v>
      </c>
      <c r="R43" s="59">
        <f t="shared" si="0"/>
        <v>629.31931725360118</v>
      </c>
      <c r="S43" s="59">
        <f ca="1">AVERAGE(OFFSET($R$3,0,0,'Données projet'!$E$9+1,1))-AVERAGE(OFFSET($H$3,0,0,'Données projet'!$E$9+1,1))</f>
        <v>252.08270526008477</v>
      </c>
      <c r="T43" s="59">
        <f t="shared" si="34"/>
        <v>239.77811108960179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16.583750000000002</v>
      </c>
      <c r="AI43" s="13">
        <f>IF('Données projet'!$A$62&gt;35,AI42+AH43-AQ42,IF(A43&lt;'Données projet'!$A$62,$AF$205^A43,IF(A43='Données projet'!$A$62,'Données projet'!$B$62,AI42+AH43-AQ42)))</f>
        <v>302.39500000000004</v>
      </c>
      <c r="AJ43" s="13">
        <f>AI43*VLOOKUP('Données projet'!$B$10,Paramètres!$A$1:$I$89,3,0)*VLOOKUP('Données projet'!$B$10,Paramètres!$A$1:$I$89,5,0)</f>
        <v>180.83221000000003</v>
      </c>
      <c r="AK43" s="13">
        <f t="shared" si="35"/>
        <v>45.507287823747916</v>
      </c>
      <c r="AL43" s="20">
        <f t="shared" si="4"/>
        <v>394.20795870969431</v>
      </c>
      <c r="AM43" s="59">
        <f t="shared" si="5"/>
        <v>687.54129204302762</v>
      </c>
      <c r="AN43" s="59">
        <f ca="1">AVERAGE(OFFSET($AM$3,0,0,'Données projet'!$E$10+1,1))-AVERAGE(OFFSET($H$3,0,0,'Données projet'!$E$10+1,1))</f>
        <v>251.64326096359997</v>
      </c>
      <c r="AO43" s="59">
        <f t="shared" si="36"/>
        <v>256.72142151189894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28.328621506045867</v>
      </c>
      <c r="AV43" s="21">
        <f>EXP(-LN(2)/25)*AV42+(1-EXP(-LN(2)/25))/(LN(2)/25)*Calculateur!AQ43*Calculateur!AS43*VLOOKUP('Données projet'!$B$10,Paramètres!$A$1:$I$89,3,0)*0.475*44/12</f>
        <v>16.413875053363952</v>
      </c>
      <c r="AW43" s="21">
        <f>EXP(-LN(2)/2)*AW42+(1-EXP(-LN(2)/2))/(LN(2)/2)*AQ43*AT43*VLOOKUP('Données projet'!$B$10,Paramètres!$A$1:$I$89,3,0)*0.475*44/12</f>
        <v>2.8009304448982686</v>
      </c>
      <c r="AX43" s="21">
        <f t="shared" si="6"/>
        <v>47.543427004308086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6.9</v>
      </c>
      <c r="BD43" s="12">
        <f>IF('Données projet'!$A$88&gt;35,BD42+BC43-BL42,IF(A43&lt;'Données projet'!$A$88,$BA$205^A43,IF(A43='Données projet'!$A$88,'Données projet'!$B$88,BD42+BC43-BL42)))</f>
        <v>196.49999999999997</v>
      </c>
      <c r="BE43" s="13">
        <f>BD43*VLOOKUP('Données projet'!$B$11,Paramètres!$A$1:$I$89,3,0)*VLOOKUP('Données projet'!$B$11,Paramètres!$A$1:$I$89,5,0)</f>
        <v>177.79319999999996</v>
      </c>
      <c r="BF43" s="13">
        <f t="shared" si="37"/>
        <v>44.830861891212081</v>
      </c>
      <c r="BG43" s="20">
        <f t="shared" si="7"/>
        <v>387.73690779386089</v>
      </c>
      <c r="BH43" s="59">
        <f t="shared" si="8"/>
        <v>681.07024112719421</v>
      </c>
      <c r="BI43" s="59">
        <f ca="1">AVERAGE(OFFSET($BH$3,0,0,'Données projet'!$E$11+1,1))-AVERAGE(OFFSET($H$3,0,0,'Données projet'!$E$11+1,1))</f>
        <v>199.29783428981898</v>
      </c>
      <c r="BJ43" s="59">
        <f t="shared" si="38"/>
        <v>237.32002274562547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0.91409631560978588</v>
      </c>
      <c r="BQ43" s="21">
        <f>EXP(-LN(2)/25)*BQ42+(1-EXP(-LN(2)/25))/(LN(2)/25)*Calculateur!BL43*Calculateur!BN43*VLOOKUP('Données projet'!$B$11,Paramètres!$A$1:$I$89,3,0)*0.475*44/12</f>
        <v>11.196073012904286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12.110169328514072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9.8128571428571423</v>
      </c>
      <c r="BY43" s="12">
        <f>IF('Données projet'!$A$114&gt;35,BY42+BX43-CG42,IF(A43&lt;'Données projet'!$A$114,$BV$205^A43,IF(A43='Données projet'!$A$114,'Données projet'!$B$114,BY42+BX43-CG42)))</f>
        <v>100.6857142857143</v>
      </c>
      <c r="BZ43" s="13">
        <f>BY43*VLOOKUP('Données projet'!$B$12,Paramètres!$A$1:$I$89,3,0)*VLOOKUP('Données projet'!$B$12,Paramètres!$A$1:$I$89,5,0)</f>
        <v>84.817645714285732</v>
      </c>
      <c r="CA43" s="13">
        <f t="shared" si="39"/>
        <v>23.311084743379251</v>
      </c>
      <c r="CB43" s="20">
        <f t="shared" si="10"/>
        <v>188.32420554709984</v>
      </c>
      <c r="CC43" s="59">
        <f t="shared" si="11"/>
        <v>481.65753888043315</v>
      </c>
      <c r="CD43" s="59">
        <f ca="1">AVERAGE(OFFSET($CC$3,0,0,'Données projet'!$E$12+1,1))-AVERAGE(OFFSET($H$3,0,0,'Données projet'!$E$12+1,1))</f>
        <v>295.59075210589327</v>
      </c>
      <c r="CE43" s="59">
        <f t="shared" si="40"/>
        <v>210.41181542059576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21.605243758849234</v>
      </c>
      <c r="CM43" s="21">
        <f>EXP(-LN(2)/2)*CM42+(1-EXP(-LN(2)/2))/(LN(2)/2)*CG43*CJ43*VLOOKUP('Données projet'!$B$12,Paramètres!$A$1:$I$89,3,0)*0.475*44/12</f>
        <v>5.6885773604846355</v>
      </c>
      <c r="CN43" s="22">
        <f t="shared" si="12"/>
        <v>27.29382111933387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440</v>
      </c>
      <c r="CR43" s="12">
        <f>VLOOKUP(A43,'Données projet'!$A$139:$I$159,9,0)</f>
        <v>25.4</v>
      </c>
      <c r="CS43" s="12">
        <f t="array" ref="CS43">INDEX(CR:CR,MIN(IF(ISNUMBER(CR43:CR239),ROW(CR43:CR239),"")))</f>
        <v>25.4</v>
      </c>
      <c r="CT43" s="12">
        <f>IF('Données projet'!$A$140&gt;35,CT42+CS43-DB42,IF(A43&lt;'Données projet'!$A$140,$CQ$205^A43,IF(A43='Données projet'!$A$140,'Données projet'!$B$140,CT42+CS43-DB42)))</f>
        <v>439.99999999999994</v>
      </c>
      <c r="CU43" s="17">
        <f>CT43*VLOOKUP('Données projet'!$B$13,Paramètres!$A$1:$I$89,3,0)*VLOOKUP('Données projet'!$B$13,Paramètres!$A$1:$I$89,5,0)</f>
        <v>200.19999999999996</v>
      </c>
      <c r="CV43" s="13">
        <f t="shared" si="41"/>
        <v>49.788119114817079</v>
      </c>
      <c r="CW43" s="20">
        <f t="shared" si="13"/>
        <v>435.39597412497301</v>
      </c>
      <c r="CX43" s="59">
        <f t="shared" si="14"/>
        <v>728.72930745830627</v>
      </c>
      <c r="CY43" s="59">
        <f ca="1">AVERAGE(OFFSET($CX$3,0,0,'Données projet'!$E$13+1,1))-AVERAGE(OFFSET($H$3,0,0,'Données projet'!$E$13+1,1))</f>
        <v>338.22448697444298</v>
      </c>
      <c r="CZ43" s="59">
        <f t="shared" si="42"/>
        <v>293.3872365640849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63</v>
      </c>
      <c r="DC43" s="16">
        <f>IF(ISNA(VLOOKUP(A43,'Données projet'!$A$139:$I$159,5,0)),0%,VLOOKUP(A43,'Données projet'!$A$139:$I$159,5,0)*VLOOKUP('Données projet'!$B$13,Paramètres!$A$1:$I$89,7,0))</f>
        <v>0.13750000000000001</v>
      </c>
      <c r="DD43" s="16">
        <f>IF(ISNA(VLOOKUP(A43,'Données projet'!$A$139:$I$159,6,0)),0%,VLOOKUP(A43,'Données projet'!$A$139:$I$159,6,0)*VLOOKUP('Données projet'!$B$13,Paramètres!$A$1:$I$89,7,0))</f>
        <v>0.20350000000000001</v>
      </c>
      <c r="DE43" s="16">
        <f>IF(ISNA(VLOOKUP(A43,'Données projet'!$A$139:$I$159,7,0)),0%,VLOOKUP(A43,'Données projet'!$A$139:$I$159,7,0))</f>
        <v>0.38</v>
      </c>
      <c r="DF43" s="21">
        <f>EXP(-LN(2)/35)*DF42+(1-EXP(-LN(2)/35))/(LN(2)/35)*DB43*DC43*VLOOKUP('Données projet'!$B$13,Paramètres!$A$1:$I$89,3,0)*0.475*44/12</f>
        <v>18.417457453951776</v>
      </c>
      <c r="DG43" s="21">
        <f>EXP(-LN(2)/25)*DG42+(1-EXP(-LN(2)/25))/(LN(2)/25)*Calculateur!DB43*Calculateur!DD43*VLOOKUP('Données projet'!$B$13,Paramètres!$A$1:$I$89,3,0)*0.475*44/12</f>
        <v>25.695902439026646</v>
      </c>
      <c r="DH43" s="21">
        <f>EXP(-LN(2)/2)*DH42+(1-EXP(-LN(2)/2))/(LN(2)/2)*DB43*DE43*VLOOKUP('Données projet'!$B$13,Paramètres!$A$1:$I$89,3,0)*0.475*44/12</f>
        <v>14.96776095137378</v>
      </c>
      <c r="DI43" s="22">
        <f t="shared" si="15"/>
        <v>59.081120844352199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22.851428571428578</v>
      </c>
      <c r="DO43" s="12">
        <f>IF('Données projet'!$A$166&gt;35,DO42+DN43-DW42,IF(A43&lt;'Données projet'!$A$166,$DL$205^A43,IF(A43='Données projet'!$A$166,'Données projet'!$B$166,DO42+DN43-DW42)))</f>
        <v>404.7871428571429</v>
      </c>
      <c r="DP43" s="17">
        <f>DO43*VLOOKUP('Données projet'!$B$14,Paramètres!$A$1:$I$89,3,0)*VLOOKUP('Données projet'!$B$14,Paramètres!$A$1:$I$89,5,0)</f>
        <v>226.27601285714289</v>
      </c>
      <c r="DQ43" s="13">
        <f t="shared" si="43"/>
        <v>55.476705055614268</v>
      </c>
      <c r="DR43" s="20">
        <f t="shared" si="16"/>
        <v>490.71931703138534</v>
      </c>
      <c r="DS43" s="59">
        <f t="shared" si="17"/>
        <v>784.0526503647186</v>
      </c>
      <c r="DT43" s="59">
        <f ca="1">AVERAGE(OFFSET($DS$3,0,0,'Données projet'!$E$14+1,1))-AVERAGE(OFFSET($H$3,0,0,'Données projet'!$E$14+1,1))</f>
        <v>328.15217666639006</v>
      </c>
      <c r="DU43" s="59">
        <f t="shared" si="44"/>
        <v>305.59175773326308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29.175480328815595</v>
      </c>
      <c r="EB43" s="21">
        <f>EXP(-LN(2)/25)*EB42+(1-EXP(-LN(2)/25))/(LN(2)/25)*Calculateur!DW43*Calculateur!DY43*VLOOKUP('Données projet'!$B$14,Paramètres!$A$1:$I$89,3,0)*0.475*44/12</f>
        <v>19.155753736917706</v>
      </c>
      <c r="EC43" s="21">
        <f>EXP(-LN(2)/2)*EC42+(1-EXP(-LN(2)/2))/(LN(2)/2)*DW43*DZ43*VLOOKUP('Données projet'!$B$14,Paramètres!$A$1:$I$89,3,0)*0.475*44/12</f>
        <v>2.2157332878571872</v>
      </c>
      <c r="ED43" s="22">
        <f t="shared" si="18"/>
        <v>50.546967353590489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6.9</v>
      </c>
      <c r="EJ43" s="12">
        <f>IF('Données projet'!$A$192&gt;35,EJ42+EI43-ER42,IF(A43&lt;'Données projet'!$A$192,$EG$205^A43,IF(A43='Données projet'!$A$192,'Données projet'!$B$192,EJ42+EI43-ER42)))</f>
        <v>196.49999999999997</v>
      </c>
      <c r="EK43" s="17">
        <f>EJ43*VLOOKUP('Données projet'!$B$15,Paramètres!$A$1:$I$89,3,0)*VLOOKUP('Données projet'!$B$15,Paramètres!$A$1:$I$89,5,0)</f>
        <v>144.07379999999998</v>
      </c>
      <c r="EL43" s="13">
        <f t="shared" si="45"/>
        <v>37.22869223056842</v>
      </c>
      <c r="EM43" s="20">
        <f t="shared" si="19"/>
        <v>315.76850730157327</v>
      </c>
      <c r="EN43" s="59">
        <f t="shared" si="20"/>
        <v>609.10184063490658</v>
      </c>
      <c r="EO43" s="59">
        <f ca="1">AVERAGE(OFFSET($EN$3,0,0,'Données projet'!$E$15+1,1))-AVERAGE(OFFSET($H$3,0,0,'Données projet'!$E$15+1,1))</f>
        <v>159.78276497127206</v>
      </c>
      <c r="EP43" s="59">
        <f t="shared" si="46"/>
        <v>190.72163407919857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1.0617176171536651</v>
      </c>
      <c r="EW43" s="21">
        <f>EXP(-LN(2)/25)*EW42+(1-EXP(-LN(2)/25))/(LN(2)/25)*Calculateur!ER43*Calculateur!ET43*VLOOKUP('Données projet'!$B$15,Paramètres!$A$1:$I$89,3,0)*0.475*44/12</f>
        <v>13.004174459241138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14.065892076394803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5.3214035087719296</v>
      </c>
      <c r="FE43" s="12">
        <f>IF('Données projet'!$A$218&gt;35,FE42+FD43-FM42,IF(A43&lt;'Données projet'!$A$218,$FB$205^A43,IF(A43='Données projet'!$A$218,'Données projet'!$B$218,FE42+FD43-FM42)))</f>
        <v>212.85614035087738</v>
      </c>
      <c r="FF43" s="17">
        <f>FE43*VLOOKUP('Données projet'!$B$16,Paramètres!$A$1:$I$89,3,0)*VLOOKUP('Données projet'!$B$16,Paramètres!$A$1:$I$89,5,0)</f>
        <v>182.6305684210528</v>
      </c>
      <c r="FG43" s="13">
        <f t="shared" si="47"/>
        <v>45.906944074137463</v>
      </c>
      <c r="FH43" s="20">
        <f t="shared" si="22"/>
        <v>398.03616759578972</v>
      </c>
      <c r="FI43" s="59">
        <f t="shared" si="23"/>
        <v>691.36950092912298</v>
      </c>
      <c r="FJ43" s="59">
        <f ca="1">AVERAGE(OFFSET($FI$3,0,0,'Données projet'!$E$16+1,1))-AVERAGE(OFFSET($H$3,0,0,'Données projet'!$E$16+1,1))</f>
        <v>337.15023592377008</v>
      </c>
      <c r="FK43" s="59">
        <f t="shared" si="48"/>
        <v>286.60608582587099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4.0942857142857143</v>
      </c>
      <c r="FZ43" s="12">
        <f>IF('Données projet'!$A$244&gt;35,FZ42+FY43-GH42,IF(A43&lt;'Données projet'!$A$244,$FW$205^A43,IF(A43='Données projet'!$A$244,'Données projet'!$B$244,FZ42+FY43-GH42)))</f>
        <v>163.77142857142869</v>
      </c>
      <c r="GA43" s="17">
        <f>FZ43*VLOOKUP('Données projet'!$B$17,Paramètres!$A$1:$I$89,3,0)*VLOOKUP('Données projet'!$B$17,Paramètres!$A$1:$I$89,5,0)</f>
        <v>148.18038857142867</v>
      </c>
      <c r="GB43" s="13">
        <f t="shared" si="49"/>
        <v>38.16477912369308</v>
      </c>
      <c r="GC43" s="20">
        <f t="shared" si="25"/>
        <v>324.55116706900372</v>
      </c>
      <c r="GD43" s="59">
        <f t="shared" si="26"/>
        <v>617.88450040233704</v>
      </c>
      <c r="GE43" s="59">
        <f ca="1">AVERAGE(OFFSET($GD$3,0,0,'Données projet'!$E$17+1,1))-AVERAGE(OFFSET($H$3,0,0,'Données projet'!$E$17+1,1))</f>
        <v>486.55344536255876</v>
      </c>
      <c r="GF43" s="59">
        <f t="shared" si="50"/>
        <v>231.14794884432229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325.25942267322125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8.2014285714285702</v>
      </c>
      <c r="N44" s="13">
        <f>IF('Données projet'!$A$36&gt;35,N43+M44-V43,IF(A44&lt;'Données projet'!$A$36,$K$205^A44,IF(A44='Données projet'!$A$36,'Données projet'!$B$36,N43+M44-V43)))</f>
        <v>336.25857142857132</v>
      </c>
      <c r="O44" s="13">
        <f>N44*VLOOKUP('Données projet'!$B$9,Paramètres!$A$1:$I$89,3,0)*VLOOKUP('Données projet'!$B$9,Paramètres!$A$1:$I$89,5,0)</f>
        <v>157.36901142857138</v>
      </c>
      <c r="P44" s="13">
        <f t="shared" si="33"/>
        <v>40.248517162065561</v>
      </c>
      <c r="Q44" s="20">
        <f t="shared" si="53"/>
        <v>344.18386229535935</v>
      </c>
      <c r="R44" s="59">
        <f t="shared" si="0"/>
        <v>637.51719562869266</v>
      </c>
      <c r="S44" s="59">
        <f ca="1">AVERAGE(OFFSET($R$3,0,0,'Données projet'!$E$9+1,1))-AVERAGE(OFFSET($H$3,0,0,'Données projet'!$E$9+1,1))</f>
        <v>252.08270526008477</v>
      </c>
      <c r="T44" s="59">
        <f t="shared" si="34"/>
        <v>239.77811108960179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16.583750000000002</v>
      </c>
      <c r="AI44" s="13">
        <f>IF('Données projet'!$A$62&gt;35,AI43+AH44-AQ43,IF(A44&lt;'Données projet'!$A$62,$AF$205^A44,IF(A44='Données projet'!$A$62,'Données projet'!$B$62,AI43+AH44-AQ43)))</f>
        <v>318.97875000000005</v>
      </c>
      <c r="AJ44" s="13">
        <f>AI44*VLOOKUP('Données projet'!$B$10,Paramètres!$A$1:$I$89,3,0)*VLOOKUP('Données projet'!$B$10,Paramètres!$A$1:$I$89,5,0)</f>
        <v>190.74929250000002</v>
      </c>
      <c r="AK44" s="13">
        <f t="shared" si="35"/>
        <v>47.705572818216723</v>
      </c>
      <c r="AL44" s="20">
        <f t="shared" si="4"/>
        <v>415.30889042922746</v>
      </c>
      <c r="AM44" s="59">
        <f t="shared" si="5"/>
        <v>708.64222376256077</v>
      </c>
      <c r="AN44" s="59">
        <f ca="1">AVERAGE(OFFSET($AM$3,0,0,'Données projet'!$E$10+1,1))-AVERAGE(OFFSET($H$3,0,0,'Données projet'!$E$10+1,1))</f>
        <v>251.64326096359997</v>
      </c>
      <c r="AO44" s="59">
        <f t="shared" si="36"/>
        <v>256.72142151189894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27.773114517065292</v>
      </c>
      <c r="AV44" s="21">
        <f>EXP(-LN(2)/25)*AV43+(1-EXP(-LN(2)/25))/(LN(2)/25)*Calculateur!AQ44*Calculateur!AS44*VLOOKUP('Données projet'!$B$10,Paramètres!$A$1:$I$89,3,0)*0.475*44/12</f>
        <v>15.96503677686154</v>
      </c>
      <c r="AW44" s="21">
        <f>EXP(-LN(2)/2)*AW43+(1-EXP(-LN(2)/2))/(LN(2)/2)*AQ44*AT44*VLOOKUP('Données projet'!$B$10,Paramètres!$A$1:$I$89,3,0)*0.475*44/12</f>
        <v>1.9805569112194195</v>
      </c>
      <c r="AX44" s="21">
        <f t="shared" si="6"/>
        <v>45.71870820514625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6.9</v>
      </c>
      <c r="BD44" s="12">
        <f>IF('Données projet'!$A$88&gt;35,BD43+BC44-BL43,IF(A44&lt;'Données projet'!$A$88,$BA$205^A44,IF(A44='Données projet'!$A$88,'Données projet'!$B$88,BD43+BC44-BL43)))</f>
        <v>203.39999999999998</v>
      </c>
      <c r="BE44" s="13">
        <f>BD44*VLOOKUP('Données projet'!$B$11,Paramètres!$A$1:$I$89,3,0)*VLOOKUP('Données projet'!$B$11,Paramètres!$A$1:$I$89,5,0)</f>
        <v>184.03631999999999</v>
      </c>
      <c r="BF44" s="13">
        <f t="shared" si="37"/>
        <v>46.219030699200047</v>
      </c>
      <c r="BG44" s="20">
        <f t="shared" si="7"/>
        <v>401.0280691344401</v>
      </c>
      <c r="BH44" s="59">
        <f t="shared" si="8"/>
        <v>694.36140246777336</v>
      </c>
      <c r="BI44" s="59">
        <f ca="1">AVERAGE(OFFSET($BH$3,0,0,'Données projet'!$E$11+1,1))-AVERAGE(OFFSET($H$3,0,0,'Données projet'!$E$11+1,1))</f>
        <v>199.29783428981898</v>
      </c>
      <c r="BJ44" s="59">
        <f t="shared" si="38"/>
        <v>237.32002274562547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0.89617144440437768</v>
      </c>
      <c r="BQ44" s="21">
        <f>EXP(-LN(2)/25)*BQ43+(1-EXP(-LN(2)/25))/(LN(2)/25)*Calculateur!BL44*Calculateur!BN44*VLOOKUP('Données projet'!$B$11,Paramètres!$A$1:$I$89,3,0)*0.475*44/12</f>
        <v>10.889915807590528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11.786087251994905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9.8128571428571423</v>
      </c>
      <c r="BY44" s="12">
        <f>IF('Données projet'!$A$114&gt;35,BY43+BX44-CG43,IF(A44&lt;'Données projet'!$A$114,$BV$205^A44,IF(A44='Données projet'!$A$114,'Données projet'!$B$114,BY43+BX44-CG43)))</f>
        <v>110.49857142857144</v>
      </c>
      <c r="BZ44" s="13">
        <f>BY44*VLOOKUP('Données projet'!$B$12,Paramètres!$A$1:$I$89,3,0)*VLOOKUP('Données projet'!$B$12,Paramètres!$A$1:$I$89,5,0)</f>
        <v>93.0839965714286</v>
      </c>
      <c r="CA44" s="13">
        <f t="shared" si="39"/>
        <v>25.307545938856105</v>
      </c>
      <c r="CB44" s="20">
        <f t="shared" si="10"/>
        <v>206.19860320541252</v>
      </c>
      <c r="CC44" s="59">
        <f t="shared" si="11"/>
        <v>499.53193653874587</v>
      </c>
      <c r="CD44" s="59">
        <f ca="1">AVERAGE(OFFSET($CC$3,0,0,'Données projet'!$E$12+1,1))-AVERAGE(OFFSET($H$3,0,0,'Données projet'!$E$12+1,1))</f>
        <v>295.59075210589327</v>
      </c>
      <c r="CE44" s="59">
        <f t="shared" si="40"/>
        <v>210.41181542059576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21.014447232093111</v>
      </c>
      <c r="CM44" s="21">
        <f>EXP(-LN(2)/2)*CM43+(1-EXP(-LN(2)/2))/(LN(2)/2)*CG44*CJ44*VLOOKUP('Données projet'!$B$12,Paramètres!$A$1:$I$89,3,0)*0.475*44/12</f>
        <v>4.0224316269029572</v>
      </c>
      <c r="CN44" s="22">
        <f t="shared" si="12"/>
        <v>25.036878858996069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24.2</v>
      </c>
      <c r="CT44" s="12">
        <f>IF('Données projet'!$A$140&gt;35,CT43+CS44-DB43,IF(A44&lt;'Données projet'!$A$140,$CQ$205^A44,IF(A44='Données projet'!$A$140,'Données projet'!$B$140,CT43+CS44-DB43)))</f>
        <v>401.19999999999993</v>
      </c>
      <c r="CU44" s="17">
        <f>CT44*VLOOKUP('Données projet'!$B$13,Paramètres!$A$1:$I$89,3,0)*VLOOKUP('Données projet'!$B$13,Paramètres!$A$1:$I$89,5,0)</f>
        <v>182.54599999999996</v>
      </c>
      <c r="CV44" s="13">
        <f t="shared" si="41"/>
        <v>45.888160399877748</v>
      </c>
      <c r="CW44" s="20">
        <f t="shared" si="13"/>
        <v>397.85616269645362</v>
      </c>
      <c r="CX44" s="59">
        <f t="shared" si="14"/>
        <v>691.18949602978694</v>
      </c>
      <c r="CY44" s="59">
        <f ca="1">AVERAGE(OFFSET($CX$3,0,0,'Données projet'!$E$13+1,1))-AVERAGE(OFFSET($H$3,0,0,'Données projet'!$E$13+1,1))</f>
        <v>338.22448697444298</v>
      </c>
      <c r="CZ44" s="59">
        <f t="shared" si="42"/>
        <v>293.3872365640849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18.05630234681961</v>
      </c>
      <c r="DG44" s="21">
        <f>EXP(-LN(2)/25)*DG43+(1-EXP(-LN(2)/25))/(LN(2)/25)*Calculateur!DB44*Calculateur!DD44*VLOOKUP('Données projet'!$B$13,Paramètres!$A$1:$I$89,3,0)*0.475*44/12</f>
        <v>24.993246635542683</v>
      </c>
      <c r="DH44" s="21">
        <f>EXP(-LN(2)/2)*DH43+(1-EXP(-LN(2)/2))/(LN(2)/2)*DB44*DE44*VLOOKUP('Données projet'!$B$13,Paramètres!$A$1:$I$89,3,0)*0.475*44/12</f>
        <v>10.583805267895611</v>
      </c>
      <c r="DI44" s="22">
        <f t="shared" si="15"/>
        <v>53.633354250257909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22.851428571428578</v>
      </c>
      <c r="DO44" s="12">
        <f>IF('Données projet'!$A$166&gt;35,DO43+DN44-DW43,IF(A44&lt;'Données projet'!$A$166,$DL$205^A44,IF(A44='Données projet'!$A$166,'Données projet'!$B$166,DO43+DN44-DW43)))</f>
        <v>427.63857142857148</v>
      </c>
      <c r="DP44" s="17">
        <f>DO44*VLOOKUP('Données projet'!$B$14,Paramètres!$A$1:$I$89,3,0)*VLOOKUP('Données projet'!$B$14,Paramètres!$A$1:$I$89,5,0)</f>
        <v>239.04996142857144</v>
      </c>
      <c r="DQ44" s="13">
        <f t="shared" si="43"/>
        <v>58.235077894233235</v>
      </c>
      <c r="DR44" s="20">
        <f t="shared" si="16"/>
        <v>517.77144348721811</v>
      </c>
      <c r="DS44" s="59">
        <f t="shared" si="17"/>
        <v>811.10477682055148</v>
      </c>
      <c r="DT44" s="59">
        <f ca="1">AVERAGE(OFFSET($DS$3,0,0,'Données projet'!$E$14+1,1))-AVERAGE(OFFSET($H$3,0,0,'Données projet'!$E$14+1,1))</f>
        <v>328.15217666639006</v>
      </c>
      <c r="DU44" s="59">
        <f t="shared" si="44"/>
        <v>305.59175773326308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28.603366954853385</v>
      </c>
      <c r="EB44" s="21">
        <f>EXP(-LN(2)/25)*EB43+(1-EXP(-LN(2)/25))/(LN(2)/25)*Calculateur!DW44*Calculateur!DY44*VLOOKUP('Données projet'!$B$14,Paramètres!$A$1:$I$89,3,0)*0.475*44/12</f>
        <v>18.631938643624384</v>
      </c>
      <c r="EC44" s="21">
        <f>EXP(-LN(2)/2)*EC43+(1-EXP(-LN(2)/2))/(LN(2)/2)*DW44*DZ44*VLOOKUP('Données projet'!$B$14,Paramètres!$A$1:$I$89,3,0)*0.475*44/12</f>
        <v>1.5667600331445817</v>
      </c>
      <c r="ED44" s="22">
        <f t="shared" si="18"/>
        <v>48.802065631622348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6.9</v>
      </c>
      <c r="EJ44" s="12">
        <f>IF('Données projet'!$A$192&gt;35,EJ43+EI44-ER43,IF(A44&lt;'Données projet'!$A$192,$EG$205^A44,IF(A44='Données projet'!$A$192,'Données projet'!$B$192,EJ43+EI44-ER43)))</f>
        <v>203.39999999999998</v>
      </c>
      <c r="EK44" s="17">
        <f>EJ44*VLOOKUP('Données projet'!$B$15,Paramètres!$A$1:$I$89,3,0)*VLOOKUP('Données projet'!$B$15,Paramètres!$A$1:$I$89,5,0)</f>
        <v>149.13287999999997</v>
      </c>
      <c r="EL44" s="13">
        <f t="shared" si="45"/>
        <v>38.381463048182113</v>
      </c>
      <c r="EM44" s="20">
        <f t="shared" si="19"/>
        <v>326.58748080891706</v>
      </c>
      <c r="EN44" s="59">
        <f t="shared" si="20"/>
        <v>619.92081414225038</v>
      </c>
      <c r="EO44" s="59">
        <f ca="1">AVERAGE(OFFSET($EN$3,0,0,'Données projet'!$E$15+1,1))-AVERAGE(OFFSET($H$3,0,0,'Données projet'!$E$15+1,1))</f>
        <v>159.78276497127206</v>
      </c>
      <c r="EP44" s="59">
        <f t="shared" si="46"/>
        <v>190.72163407919857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1.0408979822650846</v>
      </c>
      <c r="EW44" s="21">
        <f>EXP(-LN(2)/25)*EW43+(1-EXP(-LN(2)/25))/(LN(2)/25)*Calculateur!ER44*Calculateur!ET44*VLOOKUP('Données projet'!$B$15,Paramètres!$A$1:$I$89,3,0)*0.475*44/12</f>
        <v>12.648574624793376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13.689472607058461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5.3214035087719296</v>
      </c>
      <c r="FE44" s="12">
        <f>IF('Données projet'!$A$218&gt;35,FE43+FD44-FM43,IF(A44&lt;'Données projet'!$A$218,$FB$205^A44,IF(A44='Données projet'!$A$218,'Données projet'!$B$218,FE43+FD44-FM43)))</f>
        <v>218.17754385964932</v>
      </c>
      <c r="FF44" s="17">
        <f>FE44*VLOOKUP('Données projet'!$B$16,Paramètres!$A$1:$I$89,3,0)*VLOOKUP('Données projet'!$B$16,Paramètres!$A$1:$I$89,5,0)</f>
        <v>187.19633263157914</v>
      </c>
      <c r="FG44" s="13">
        <f t="shared" si="47"/>
        <v>46.919566524150035</v>
      </c>
      <c r="FH44" s="20">
        <f t="shared" si="22"/>
        <v>407.75185769622823</v>
      </c>
      <c r="FI44" s="59">
        <f t="shared" si="23"/>
        <v>701.08519102956154</v>
      </c>
      <c r="FJ44" s="59">
        <f ca="1">AVERAGE(OFFSET($FI$3,0,0,'Données projet'!$E$16+1,1))-AVERAGE(OFFSET($H$3,0,0,'Données projet'!$E$16+1,1))</f>
        <v>337.15023592377008</v>
      </c>
      <c r="FK44" s="59">
        <f t="shared" si="48"/>
        <v>286.60608582587099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4.0942857142857143</v>
      </c>
      <c r="FZ44" s="12">
        <f>IF('Données projet'!$A$244&gt;35,FZ43+FY44-GH43,IF(A44&lt;'Données projet'!$A$244,$FW$205^A44,IF(A44='Données projet'!$A$244,'Données projet'!$B$244,FZ43+FY44-GH43)))</f>
        <v>167.8657142857144</v>
      </c>
      <c r="GA44" s="17">
        <f>FZ44*VLOOKUP('Données projet'!$B$17,Paramètres!$A$1:$I$89,3,0)*VLOOKUP('Données projet'!$B$17,Paramètres!$A$1:$I$89,5,0)</f>
        <v>151.88489828571437</v>
      </c>
      <c r="GB44" s="13">
        <f t="shared" si="49"/>
        <v>39.006623705593562</v>
      </c>
      <c r="GC44" s="20">
        <f t="shared" si="25"/>
        <v>332.46940080152797</v>
      </c>
      <c r="GD44" s="59">
        <f t="shared" si="26"/>
        <v>625.80273413486134</v>
      </c>
      <c r="GE44" s="59">
        <f ca="1">AVERAGE(OFFSET($GD$3,0,0,'Données projet'!$E$17+1,1))-AVERAGE(OFFSET($H$3,0,0,'Données projet'!$E$17+1,1))</f>
        <v>486.55344536255876</v>
      </c>
      <c r="GF44" s="59">
        <f t="shared" si="50"/>
        <v>231.14794884432229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326.88582960147369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344.46</v>
      </c>
      <c r="L45" s="12">
        <f>VLOOKUP(A45,'Données projet'!$A$35:$I$55,9,0)</f>
        <v>8.2014285714285702</v>
      </c>
      <c r="M45" s="12">
        <f t="array" ref="M45">INDEX(L:L,MIN(IF(ISNUMBER(L45:L241),ROW(L45:L241),"")))</f>
        <v>8.2014285714285702</v>
      </c>
      <c r="N45" s="13">
        <f>IF('Données projet'!$A$36&gt;35,N44+M45-V44,IF(A45&lt;'Données projet'!$A$36,$K$205^A45,IF(A45='Données projet'!$A$36,'Données projet'!$B$36,N44+M45-V44)))</f>
        <v>344.45999999999987</v>
      </c>
      <c r="O45" s="13">
        <f>N45*VLOOKUP('Données projet'!$B$9,Paramètres!$A$1:$I$89,3,0)*VLOOKUP('Données projet'!$B$9,Paramètres!$A$1:$I$89,5,0)</f>
        <v>161.20727999999994</v>
      </c>
      <c r="P45" s="13">
        <f t="shared" si="33"/>
        <v>41.114701532674296</v>
      </c>
      <c r="Q45" s="20">
        <f t="shared" si="53"/>
        <v>352.37745116940761</v>
      </c>
      <c r="R45" s="59">
        <f t="shared" si="0"/>
        <v>645.71078450274092</v>
      </c>
      <c r="S45" s="59">
        <f ca="1">AVERAGE(OFFSET($R$3,0,0,'Données projet'!$E$9+1,1))-AVERAGE(OFFSET($H$3,0,0,'Données projet'!$E$9+1,1))</f>
        <v>252.08270526008477</v>
      </c>
      <c r="T45" s="59">
        <f t="shared" si="34"/>
        <v>239.77811108960179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107.08999999999997</v>
      </c>
      <c r="W45" s="16">
        <f>IF(ISNA(VLOOKUP(A45,'Données projet'!$A$35:$I$55,5,0)),0%,VLOOKUP(A45,'Données projet'!$A$35:$I$55,5,0)*VLOOKUP('Données projet'!$B$9,Paramètres!$A$1:$I$89,7,0))</f>
        <v>0.13750000000000001</v>
      </c>
      <c r="X45" s="16">
        <f>IF(ISNA(VLOOKUP(A45,'Données projet'!$A$35:$I$55,6,0)),0%,VLOOKUP(A45,'Données projet'!$A$35:$I$55,6,0)*VLOOKUP('Données projet'!$B$9,Paramètres!$A$1:$I$89,7,0))</f>
        <v>0.20350000000000001</v>
      </c>
      <c r="Y45" s="16">
        <f>IF(ISNA(VLOOKUP(A45,'Données projet'!$A$35:$I$55,7,0)),0%,VLOOKUP(A45,'Données projet'!$A$35:$I$55,7,0))</f>
        <v>0.38</v>
      </c>
      <c r="Z45" s="21">
        <f>EXP(-LN(2)/35)*Z44+(1-EXP(-LN(2)/35))/(LN(2)/35)*V45*W45*VLOOKUP('Données projet'!$B$9,Paramètres!$A$1:$I$89,3,0)*0.475*44/12</f>
        <v>9.1416760277498579</v>
      </c>
      <c r="AA45" s="21">
        <f>EXP(-LN(2)/25)*AA44+(1-EXP(-LN(2)/25))/(LN(2)/25)*Calculateur!V45*Calculateur!X45*VLOOKUP('Données projet'!$B$9,Paramètres!$A$1:$I$89,3,0)*0.475*44/12</f>
        <v>13.476409013645899</v>
      </c>
      <c r="AB45" s="21">
        <f>EXP(-LN(2)/2)*AB44+(1-EXP(-LN(2)/2))/(LN(2)/2)*V45*Y45*VLOOKUP('Données projet'!$B$9,Paramètres!$A$1:$I$89,3,0)*0.475*44/12</f>
        <v>21.563234579016697</v>
      </c>
      <c r="AC45" s="22">
        <f t="shared" si="3"/>
        <v>44.181319620412452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16.583750000000002</v>
      </c>
      <c r="AI45" s="13">
        <f>IF('Données projet'!$A$62&gt;35,AI44+AH45-AQ44,IF(A45&lt;'Données projet'!$A$62,$AF$205^A45,IF(A45='Données projet'!$A$62,'Données projet'!$B$62,AI44+AH45-AQ44)))</f>
        <v>335.56250000000006</v>
      </c>
      <c r="AJ45" s="13">
        <f>AI45*VLOOKUP('Données projet'!$B$10,Paramètres!$A$1:$I$89,3,0)*VLOOKUP('Données projet'!$B$10,Paramètres!$A$1:$I$89,5,0)</f>
        <v>200.66637500000007</v>
      </c>
      <c r="AK45" s="13">
        <f t="shared" si="35"/>
        <v>49.890588417680917</v>
      </c>
      <c r="AL45" s="20">
        <f t="shared" si="4"/>
        <v>436.38671128579443</v>
      </c>
      <c r="AM45" s="59">
        <f t="shared" si="5"/>
        <v>729.72004461912775</v>
      </c>
      <c r="AN45" s="59">
        <f ca="1">AVERAGE(OFFSET($AM$3,0,0,'Données projet'!$E$10+1,1))-AVERAGE(OFFSET($H$3,0,0,'Données projet'!$E$10+1,1))</f>
        <v>251.64326096359997</v>
      </c>
      <c r="AO45" s="59">
        <f t="shared" si="36"/>
        <v>256.72142151189894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27.228500681312816</v>
      </c>
      <c r="AV45" s="21">
        <f>EXP(-LN(2)/25)*AV44+(1-EXP(-LN(2)/25))/(LN(2)/25)*Calculateur!AQ45*Calculateur!AS45*VLOOKUP('Données projet'!$B$10,Paramètres!$A$1:$I$89,3,0)*0.475*44/12</f>
        <v>15.528472006633466</v>
      </c>
      <c r="AW45" s="21">
        <f>EXP(-LN(2)/2)*AW44+(1-EXP(-LN(2)/2))/(LN(2)/2)*AQ45*AT45*VLOOKUP('Données projet'!$B$10,Paramètres!$A$1:$I$89,3,0)*0.475*44/12</f>
        <v>1.4004652224491345</v>
      </c>
      <c r="AX45" s="21">
        <f t="shared" si="6"/>
        <v>44.157437910395416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6.9</v>
      </c>
      <c r="BD45" s="12">
        <f>IF('Données projet'!$A$88&gt;35,BD44+BC45-BL44,IF(A45&lt;'Données projet'!$A$88,$BA$205^A45,IF(A45='Données projet'!$A$88,'Données projet'!$B$88,BD44+BC45-BL44)))</f>
        <v>210.29999999999998</v>
      </c>
      <c r="BE45" s="13">
        <f>BD45*VLOOKUP('Données projet'!$B$11,Paramètres!$A$1:$I$89,3,0)*VLOOKUP('Données projet'!$B$11,Paramètres!$A$1:$I$89,5,0)</f>
        <v>190.27943999999997</v>
      </c>
      <c r="BF45" s="13">
        <f t="shared" si="37"/>
        <v>47.601727782377104</v>
      </c>
      <c r="BG45" s="20">
        <f t="shared" si="7"/>
        <v>414.30970055430674</v>
      </c>
      <c r="BH45" s="59">
        <f t="shared" si="8"/>
        <v>707.64303388764006</v>
      </c>
      <c r="BI45" s="59">
        <f ca="1">AVERAGE(OFFSET($BH$3,0,0,'Données projet'!$E$11+1,1))-AVERAGE(OFFSET($H$3,0,0,'Données projet'!$E$11+1,1))</f>
        <v>199.29783428981898</v>
      </c>
      <c r="BJ45" s="59">
        <f t="shared" si="38"/>
        <v>237.32002274562547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0.87859806899021564</v>
      </c>
      <c r="BQ45" s="21">
        <f>EXP(-LN(2)/25)*BQ44+(1-EXP(-LN(2)/25))/(LN(2)/25)*Calculateur!BL45*Calculateur!BN45*VLOOKUP('Données projet'!$B$11,Paramètres!$A$1:$I$89,3,0)*0.475*44/12</f>
        <v>10.592130487156181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11.470728556146398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9.8128571428571423</v>
      </c>
      <c r="BY45" s="12">
        <f>IF('Données projet'!$A$114&gt;35,BY44+BX45-CG44,IF(A45&lt;'Données projet'!$A$114,$BV$205^A45,IF(A45='Données projet'!$A$114,'Données projet'!$B$114,BY44+BX45-CG44)))</f>
        <v>120.31142857142858</v>
      </c>
      <c r="BZ45" s="13">
        <f>BY45*VLOOKUP('Données projet'!$B$12,Paramètres!$A$1:$I$89,3,0)*VLOOKUP('Données projet'!$B$12,Paramètres!$A$1:$I$89,5,0)</f>
        <v>101.35034742857145</v>
      </c>
      <c r="CA45" s="13">
        <f t="shared" si="39"/>
        <v>27.28344763780661</v>
      </c>
      <c r="CB45" s="20">
        <f t="shared" si="10"/>
        <v>224.03719307394181</v>
      </c>
      <c r="CC45" s="59">
        <f t="shared" si="11"/>
        <v>517.37052640727507</v>
      </c>
      <c r="CD45" s="59">
        <f ca="1">AVERAGE(OFFSET($CC$3,0,0,'Données projet'!$E$12+1,1))-AVERAGE(OFFSET($H$3,0,0,'Données projet'!$E$12+1,1))</f>
        <v>295.59075210589327</v>
      </c>
      <c r="CE45" s="59">
        <f t="shared" si="40"/>
        <v>210.41181542059576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20.439806067429775</v>
      </c>
      <c r="CM45" s="21">
        <f>EXP(-LN(2)/2)*CM44+(1-EXP(-LN(2)/2))/(LN(2)/2)*CG45*CJ45*VLOOKUP('Données projet'!$B$12,Paramètres!$A$1:$I$89,3,0)*0.475*44/12</f>
        <v>2.8442886802423177</v>
      </c>
      <c r="CN45" s="22">
        <f t="shared" si="12"/>
        <v>23.284094747672093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24.2</v>
      </c>
      <c r="CT45" s="12">
        <f>IF('Données projet'!$A$140&gt;35,CT44+CS45-DB44,IF(A45&lt;'Données projet'!$A$140,$CQ$205^A45,IF(A45='Données projet'!$A$140,'Données projet'!$B$140,CT44+CS45-DB44)))</f>
        <v>425.39999999999992</v>
      </c>
      <c r="CU45" s="17">
        <f>CT45*VLOOKUP('Données projet'!$B$13,Paramètres!$A$1:$I$89,3,0)*VLOOKUP('Données projet'!$B$13,Paramètres!$A$1:$I$89,5,0)</f>
        <v>193.55699999999996</v>
      </c>
      <c r="CV45" s="13">
        <f t="shared" si="41"/>
        <v>48.325504122563956</v>
      </c>
      <c r="CW45" s="20">
        <f t="shared" si="13"/>
        <v>421.27869468013211</v>
      </c>
      <c r="CX45" s="59">
        <f t="shared" si="14"/>
        <v>714.61202801346542</v>
      </c>
      <c r="CY45" s="59">
        <f ca="1">AVERAGE(OFFSET($CX$3,0,0,'Données projet'!$E$13+1,1))-AVERAGE(OFFSET($H$3,0,0,'Données projet'!$E$13+1,1))</f>
        <v>338.22448697444298</v>
      </c>
      <c r="CZ45" s="59">
        <f t="shared" si="42"/>
        <v>293.3872365640849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17.70222927105544</v>
      </c>
      <c r="DG45" s="21">
        <f>EXP(-LN(2)/25)*DG44+(1-EXP(-LN(2)/25))/(LN(2)/25)*Calculateur!DB45*Calculateur!DD45*VLOOKUP('Données projet'!$B$13,Paramètres!$A$1:$I$89,3,0)*0.475*44/12</f>
        <v>24.309804991956049</v>
      </c>
      <c r="DH45" s="21">
        <f>EXP(-LN(2)/2)*DH44+(1-EXP(-LN(2)/2))/(LN(2)/2)*DB45*DE45*VLOOKUP('Données projet'!$B$13,Paramètres!$A$1:$I$89,3,0)*0.475*44/12</f>
        <v>7.4838804756868917</v>
      </c>
      <c r="DI45" s="22">
        <f t="shared" si="15"/>
        <v>49.495914738698374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450.49</v>
      </c>
      <c r="DM45" s="12">
        <f>VLOOKUP(A45,'Données projet'!$A$165:$I$185,9,0)</f>
        <v>22.851428571428578</v>
      </c>
      <c r="DN45" s="12">
        <f t="array" ref="DN45">INDEX(DM:DM,MIN(IF(ISNUMBER(DM45:DM241),ROW(DM45:DM241),"")))</f>
        <v>22.851428571428578</v>
      </c>
      <c r="DO45" s="12">
        <f>IF('Données projet'!$A$166&gt;35,DO44+DN45-DW44,IF(A45&lt;'Données projet'!$A$166,$DL$205^A45,IF(A45='Données projet'!$A$166,'Données projet'!$B$166,DO44+DN45-DW44)))</f>
        <v>450.49000000000007</v>
      </c>
      <c r="DP45" s="17">
        <f>DO45*VLOOKUP('Données projet'!$B$14,Paramètres!$A$1:$I$89,3,0)*VLOOKUP('Données projet'!$B$14,Paramètres!$A$1:$I$89,5,0)</f>
        <v>251.82391000000004</v>
      </c>
      <c r="DQ45" s="13">
        <f t="shared" si="43"/>
        <v>60.976338340878812</v>
      </c>
      <c r="DR45" s="20">
        <f t="shared" si="16"/>
        <v>544.79376586036392</v>
      </c>
      <c r="DS45" s="59">
        <f t="shared" si="17"/>
        <v>838.12709919369718</v>
      </c>
      <c r="DT45" s="59">
        <f ca="1">AVERAGE(OFFSET($DS$3,0,0,'Données projet'!$E$14+1,1))-AVERAGE(OFFSET($H$3,0,0,'Données projet'!$E$14+1,1))</f>
        <v>328.15217666639006</v>
      </c>
      <c r="DU45" s="59">
        <f t="shared" si="44"/>
        <v>305.59175773326308</v>
      </c>
      <c r="DV45" s="15">
        <f>IF(ISNA(VLOOKUP(A45,'Données projet'!$A$165:$I$185,3,0)),0,VLOOKUP(A45,'Données projet'!$A$165:$I$185,3,0))</f>
        <v>4</v>
      </c>
      <c r="DW45" s="15">
        <f>IF(ISNA(VLOOKUP(A45,'Données projet'!$A$165:$I$185,4,0)),0,VLOOKUP(A45,'Données projet'!$A$165:$I$185,4,0))</f>
        <v>100.04000000000002</v>
      </c>
      <c r="DX45" s="16">
        <f>IF(ISNA(VLOOKUP(A45,'Données projet'!$A$165:$I$185,5,0)),0%,VLOOKUP(A45,'Données projet'!$A$165:$I$185,5,0)*VLOOKUP('Données projet'!$B$14,Paramètres!$A$1:$I$89,7,0))</f>
        <v>0.33</v>
      </c>
      <c r="DY45" s="16">
        <f>IF(ISNA(VLOOKUP(A45,'Données projet'!$A$165:$I$185,6,0)),0%,VLOOKUP(A45,'Données projet'!$A$165:$I$185,6,0)*VLOOKUP('Données projet'!$B$14,Paramètres!$A$1:$I$89,7,0))</f>
        <v>0.11000000000000001</v>
      </c>
      <c r="DZ45" s="16">
        <f>IF(ISNA(VLOOKUP(A45,'Données projet'!$A$165:$I$185,7,0)),0%,VLOOKUP(A45,'Données projet'!$A$165:$I$185,7,0))</f>
        <v>0.2</v>
      </c>
      <c r="EA45" s="21">
        <f>EXP(-LN(2)/35)*EA44+(1-EXP(-LN(2)/35))/(LN(2)/35)*DW45*DX45*VLOOKUP('Données projet'!$B$14,Paramètres!$A$1:$I$89,3,0)*0.475*44/12</f>
        <v>52.523395338496876</v>
      </c>
      <c r="EB45" s="21">
        <f>EXP(-LN(2)/25)*EB44+(1-EXP(-LN(2)/25))/(LN(2)/25)*Calculateur!DW45*Calculateur!DY45*VLOOKUP('Données projet'!$B$14,Paramètres!$A$1:$I$89,3,0)*0.475*44/12</f>
        <v>26.250624715479255</v>
      </c>
      <c r="EC45" s="21">
        <f>EXP(-LN(2)/2)*EC44+(1-EXP(-LN(2)/2))/(LN(2)/2)*DW45*DZ45*VLOOKUP('Données projet'!$B$14,Paramètres!$A$1:$I$89,3,0)*0.475*44/12</f>
        <v>13.771287073109026</v>
      </c>
      <c r="ED45" s="22">
        <f t="shared" si="18"/>
        <v>92.545307127085152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6.9</v>
      </c>
      <c r="EJ45" s="12">
        <f>IF('Données projet'!$A$192&gt;35,EJ44+EI45-ER44,IF(A45&lt;'Données projet'!$A$192,$EG$205^A45,IF(A45='Données projet'!$A$192,'Données projet'!$B$192,EJ44+EI45-ER44)))</f>
        <v>210.29999999999998</v>
      </c>
      <c r="EK45" s="17">
        <f>EJ45*VLOOKUP('Données projet'!$B$15,Paramètres!$A$1:$I$89,3,0)*VLOOKUP('Données projet'!$B$15,Paramètres!$A$1:$I$89,5,0)</f>
        <v>154.19195999999997</v>
      </c>
      <c r="EL45" s="13">
        <f t="shared" si="45"/>
        <v>39.529690005821621</v>
      </c>
      <c r="EM45" s="20">
        <f t="shared" si="19"/>
        <v>337.39854042680588</v>
      </c>
      <c r="EN45" s="59">
        <f t="shared" si="20"/>
        <v>630.73187376013925</v>
      </c>
      <c r="EO45" s="59">
        <f ca="1">AVERAGE(OFFSET($EN$3,0,0,'Données projet'!$E$15+1,1))-AVERAGE(OFFSET($H$3,0,0,'Données projet'!$E$15+1,1))</f>
        <v>159.78276497127206</v>
      </c>
      <c r="EP45" s="59">
        <f t="shared" si="46"/>
        <v>190.72163407919857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1.0204866077179457</v>
      </c>
      <c r="EW45" s="21">
        <f>EXP(-LN(2)/25)*EW44+(1-EXP(-LN(2)/25))/(LN(2)/25)*Calculateur!ER45*Calculateur!ET45*VLOOKUP('Données projet'!$B$15,Paramètres!$A$1:$I$89,3,0)*0.475*44/12</f>
        <v>12.30269868651877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13.323185294236715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5.3214035087719296</v>
      </c>
      <c r="FE45" s="12">
        <f>IF('Données projet'!$A$218&gt;35,FE44+FD45-FM44,IF(A45&lt;'Données projet'!$A$218,$FB$205^A45,IF(A45='Données projet'!$A$218,'Données projet'!$B$218,FE44+FD45-FM44)))</f>
        <v>223.49894736842126</v>
      </c>
      <c r="FF45" s="17">
        <f>FE45*VLOOKUP('Données projet'!$B$16,Paramètres!$A$1:$I$89,3,0)*VLOOKUP('Données projet'!$B$16,Paramètres!$A$1:$I$89,5,0)</f>
        <v>191.76209684210545</v>
      </c>
      <c r="FG45" s="13">
        <f t="shared" si="47"/>
        <v>47.929317890524842</v>
      </c>
      <c r="FH45" s="20">
        <f t="shared" si="22"/>
        <v>417.46254732599772</v>
      </c>
      <c r="FI45" s="59">
        <f t="shared" si="23"/>
        <v>710.79588065933103</v>
      </c>
      <c r="FJ45" s="59">
        <f ca="1">AVERAGE(OFFSET($FI$3,0,0,'Données projet'!$E$16+1,1))-AVERAGE(OFFSET($H$3,0,0,'Données projet'!$E$16+1,1))</f>
        <v>337.15023592377008</v>
      </c>
      <c r="FK45" s="59">
        <f t="shared" si="48"/>
        <v>286.60608582587099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171.96</v>
      </c>
      <c r="FX45" s="12">
        <f>VLOOKUP(A45,'Données projet'!$A$243:$I$263,9,0)</f>
        <v>4.0942857142857143</v>
      </c>
      <c r="FY45" s="12">
        <f t="array" ref="FY45">INDEX(FX:FX,MIN(IF(ISNUMBER(FX45:FX241),ROW(FX45:FX241),"")))</f>
        <v>4.0942857142857143</v>
      </c>
      <c r="FZ45" s="12">
        <f>IF('Données projet'!$A$244&gt;35,FZ44+FY45-GH44,IF(A45&lt;'Données projet'!$A$244,$FW$205^A45,IF(A45='Données projet'!$A$244,'Données projet'!$B$244,FZ44+FY45-GH44)))</f>
        <v>171.96000000000012</v>
      </c>
      <c r="GA45" s="17">
        <f>FZ45*VLOOKUP('Données projet'!$B$17,Paramètres!$A$1:$I$89,3,0)*VLOOKUP('Données projet'!$B$17,Paramètres!$A$1:$I$89,5,0)</f>
        <v>155.58940800000011</v>
      </c>
      <c r="GB45" s="13">
        <f t="shared" si="49"/>
        <v>39.846081409537142</v>
      </c>
      <c r="GC45" s="20">
        <f t="shared" si="25"/>
        <v>340.3834773882773</v>
      </c>
      <c r="GD45" s="59">
        <f t="shared" si="26"/>
        <v>633.71681072161061</v>
      </c>
      <c r="GE45" s="59">
        <f ca="1">AVERAGE(OFFSET($GD$3,0,0,'Données projet'!$E$17+1,1))-AVERAGE(OFFSET($H$3,0,0,'Données projet'!$E$17+1,1))</f>
        <v>486.55344536255876</v>
      </c>
      <c r="GF45" s="59">
        <f t="shared" si="50"/>
        <v>231.14794884432229</v>
      </c>
      <c r="GG45" s="15">
        <f>IF(ISNA(VLOOKUP(A45,'Données projet'!$A$243:$I$263,3,0)),0,VLOOKUP(A45,'Données projet'!$A$243:$I$263,3,0))</f>
        <v>1</v>
      </c>
      <c r="GH45" s="15">
        <f>IF(ISNA(VLOOKUP(A45,'Données projet'!$A$243:$I$263,4,0)),0,VLOOKUP(A45,'Données projet'!$A$243:$I$263,4,0))</f>
        <v>44.510000000000005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0.34400000000000003</v>
      </c>
      <c r="GK45" s="16">
        <f>IF(ISNA(VLOOKUP(A45,'Données projet'!$A$243:$I$263,7,0)),0%,VLOOKUP(A45,'Données projet'!$A$243:$I$263,7,0))</f>
        <v>0.2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15.254654682209745</v>
      </c>
      <c r="GN45" s="21">
        <f>EXP(-LN(2)/2)*GN44+(1-EXP(-LN(2)/2))/(LN(2)/2)*GH45*GK45*VLOOKUP('Données projet'!$B$17,Paramètres!$A$1:$I$89,3,0)*0.475*44/12</f>
        <v>7.599665462085774</v>
      </c>
      <c r="GO45" s="21">
        <f t="shared" si="27"/>
        <v>22.854320144295521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328.51126938975762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17.29</v>
      </c>
      <c r="N46" s="13">
        <f>IF('Données projet'!$A$36&gt;35,N45+M46-V45,IF(A46&lt;'Données projet'!$A$36,$K$205^A46,IF(A46='Données projet'!$A$36,'Données projet'!$B$36,N45+M46-V45)))</f>
        <v>254.65999999999991</v>
      </c>
      <c r="O46" s="13">
        <f>N46*VLOOKUP('Données projet'!$B$9,Paramètres!$A$1:$I$89,3,0)*VLOOKUP('Données projet'!$B$9,Paramètres!$A$1:$I$89,5,0)</f>
        <v>119.18087999999996</v>
      </c>
      <c r="P46" s="13">
        <f t="shared" si="33"/>
        <v>31.483876914537184</v>
      </c>
      <c r="Q46" s="20">
        <f t="shared" si="53"/>
        <v>262.40778495948553</v>
      </c>
      <c r="R46" s="59">
        <f t="shared" si="0"/>
        <v>555.74111829281878</v>
      </c>
      <c r="S46" s="59">
        <f ca="1">AVERAGE(OFFSET($R$3,0,0,'Données projet'!$E$9+1,1))-AVERAGE(OFFSET($H$3,0,0,'Données projet'!$E$9+1,1))</f>
        <v>252.08270526008477</v>
      </c>
      <c r="T46" s="59">
        <f t="shared" si="34"/>
        <v>239.77811108960179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8.9624133367174892</v>
      </c>
      <c r="AA46" s="21">
        <f>EXP(-LN(2)/25)*AA45+(1-EXP(-LN(2)/25))/(LN(2)/25)*Calculateur!V46*Calculateur!X46*VLOOKUP('Données projet'!$B$9,Paramètres!$A$1:$I$89,3,0)*0.475*44/12</f>
        <v>13.107895900474203</v>
      </c>
      <c r="AB46" s="21">
        <f>EXP(-LN(2)/2)*AB45+(1-EXP(-LN(2)/2))/(LN(2)/2)*V46*Y46*VLOOKUP('Données projet'!$B$9,Paramètres!$A$1:$I$89,3,0)*0.475*44/12</f>
        <v>15.247509395138955</v>
      </c>
      <c r="AC46" s="22">
        <f t="shared" si="3"/>
        <v>37.317818632330649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16.583750000000002</v>
      </c>
      <c r="AI46" s="13">
        <f>IF('Données projet'!$A$62&gt;35,AI45+AH46-AQ45,IF(A46&lt;'Données projet'!$A$62,$AF$205^A46,IF(A46='Données projet'!$A$62,'Données projet'!$B$62,AI45+AH46-AQ45)))</f>
        <v>352.14625000000007</v>
      </c>
      <c r="AJ46" s="13">
        <f>AI46*VLOOKUP('Données projet'!$B$10,Paramètres!$A$1:$I$89,3,0)*VLOOKUP('Données projet'!$B$10,Paramètres!$A$1:$I$89,5,0)</f>
        <v>210.58345750000007</v>
      </c>
      <c r="AK46" s="13">
        <f t="shared" si="35"/>
        <v>52.063065246002132</v>
      </c>
      <c r="AL46" s="20">
        <f t="shared" si="4"/>
        <v>457.44269378262044</v>
      </c>
      <c r="AM46" s="59">
        <f t="shared" si="5"/>
        <v>750.77602711595375</v>
      </c>
      <c r="AN46" s="59">
        <f ca="1">AVERAGE(OFFSET($AM$3,0,0,'Données projet'!$E$10+1,1))-AVERAGE(OFFSET($H$3,0,0,'Données projet'!$E$10+1,1))</f>
        <v>251.64326096359997</v>
      </c>
      <c r="AO46" s="59">
        <f t="shared" si="36"/>
        <v>256.72142151189894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26.694566390697808</v>
      </c>
      <c r="AV46" s="21">
        <f>EXP(-LN(2)/25)*AV45+(1-EXP(-LN(2)/25))/(LN(2)/25)*Calculateur!AQ46*Calculateur!AS46*VLOOKUP('Données projet'!$B$10,Paramètres!$A$1:$I$89,3,0)*0.475*44/12</f>
        <v>15.103845123005222</v>
      </c>
      <c r="AW46" s="21">
        <f>EXP(-LN(2)/2)*AW45+(1-EXP(-LN(2)/2))/(LN(2)/2)*AQ46*AT46*VLOOKUP('Données projet'!$B$10,Paramètres!$A$1:$I$89,3,0)*0.475*44/12</f>
        <v>0.99027845560970984</v>
      </c>
      <c r="AX46" s="21">
        <f t="shared" si="6"/>
        <v>42.788689969312742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6.9</v>
      </c>
      <c r="BD46" s="12">
        <f>IF('Données projet'!$A$88&gt;35,BD45+BC46-BL45,IF(A46&lt;'Données projet'!$A$88,$BA$205^A46,IF(A46='Données projet'!$A$88,'Données projet'!$B$88,BD45+BC46-BL45)))</f>
        <v>217.2</v>
      </c>
      <c r="BE46" s="13">
        <f>BD46*VLOOKUP('Données projet'!$B$11,Paramètres!$A$1:$I$89,3,0)*VLOOKUP('Données projet'!$B$11,Paramètres!$A$1:$I$89,5,0)</f>
        <v>196.52255999999997</v>
      </c>
      <c r="BF46" s="13">
        <f t="shared" si="37"/>
        <v>48.979153257338155</v>
      </c>
      <c r="BG46" s="20">
        <f t="shared" si="7"/>
        <v>427.58215058986383</v>
      </c>
      <c r="BH46" s="59">
        <f t="shared" si="8"/>
        <v>720.91548392319714</v>
      </c>
      <c r="BI46" s="59">
        <f ca="1">AVERAGE(OFFSET($BH$3,0,0,'Données projet'!$E$11+1,1))-AVERAGE(OFFSET($H$3,0,0,'Données projet'!$E$11+1,1))</f>
        <v>199.29783428981898</v>
      </c>
      <c r="BJ46" s="59">
        <f t="shared" si="38"/>
        <v>237.32002274562547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0.86136929674922469</v>
      </c>
      <c r="BQ46" s="21">
        <f>EXP(-LN(2)/25)*BQ45+(1-EXP(-LN(2)/25))/(LN(2)/25)*Calculateur!BL46*Calculateur!BN46*VLOOKUP('Données projet'!$B$11,Paramètres!$A$1:$I$89,3,0)*0.475*44/12</f>
        <v>10.302488121968961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11.163857418718186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9.8128571428571423</v>
      </c>
      <c r="BY46" s="12">
        <f>IF('Données projet'!$A$114&gt;35,BY45+BX46-CG45,IF(A46&lt;'Données projet'!$A$114,$BV$205^A46,IF(A46='Données projet'!$A$114,'Données projet'!$B$114,BY45+BX46-CG45)))</f>
        <v>130.12428571428572</v>
      </c>
      <c r="BZ46" s="13">
        <f>BY46*VLOOKUP('Données projet'!$B$12,Paramètres!$A$1:$I$89,3,0)*VLOOKUP('Données projet'!$B$12,Paramètres!$A$1:$I$89,5,0)</f>
        <v>109.61669828571431</v>
      </c>
      <c r="CA46" s="13">
        <f t="shared" si="39"/>
        <v>29.240657360466617</v>
      </c>
      <c r="CB46" s="20">
        <f t="shared" si="10"/>
        <v>241.84322775043177</v>
      </c>
      <c r="CC46" s="59">
        <f t="shared" si="11"/>
        <v>535.17656108376514</v>
      </c>
      <c r="CD46" s="59">
        <f ca="1">AVERAGE(OFFSET($CC$3,0,0,'Données projet'!$E$12+1,1))-AVERAGE(OFFSET($H$3,0,0,'Données projet'!$E$12+1,1))</f>
        <v>295.59075210589327</v>
      </c>
      <c r="CE46" s="59">
        <f t="shared" si="40"/>
        <v>210.41181542059576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19.880878495633223</v>
      </c>
      <c r="CM46" s="21">
        <f>EXP(-LN(2)/2)*CM45+(1-EXP(-LN(2)/2))/(LN(2)/2)*CG46*CJ46*VLOOKUP('Données projet'!$B$12,Paramètres!$A$1:$I$89,3,0)*0.475*44/12</f>
        <v>2.0112158134514786</v>
      </c>
      <c r="CN46" s="22">
        <f t="shared" si="12"/>
        <v>21.892094309084701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24.2</v>
      </c>
      <c r="CT46" s="12">
        <f>IF('Données projet'!$A$140&gt;35,CT45+CS46-DB45,IF(A46&lt;'Données projet'!$A$140,$CQ$205^A46,IF(A46='Données projet'!$A$140,'Données projet'!$B$140,CT45+CS46-DB45)))</f>
        <v>449.59999999999991</v>
      </c>
      <c r="CU46" s="17">
        <f>CT46*VLOOKUP('Données projet'!$B$13,Paramètres!$A$1:$I$89,3,0)*VLOOKUP('Données projet'!$B$13,Paramètres!$A$1:$I$89,5,0)</f>
        <v>204.56799999999996</v>
      </c>
      <c r="CV46" s="13">
        <f t="shared" si="41"/>
        <v>50.746752590056047</v>
      </c>
      <c r="CW46" s="20">
        <f t="shared" si="13"/>
        <v>444.67319409434754</v>
      </c>
      <c r="CX46" s="59">
        <f t="shared" si="14"/>
        <v>738.00652742768079</v>
      </c>
      <c r="CY46" s="59">
        <f ca="1">AVERAGE(OFFSET($CX$3,0,0,'Données projet'!$E$13+1,1))-AVERAGE(OFFSET($H$3,0,0,'Données projet'!$E$13+1,1))</f>
        <v>338.22448697444298</v>
      </c>
      <c r="CZ46" s="59">
        <f t="shared" si="42"/>
        <v>293.3872365640849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17.355099352343753</v>
      </c>
      <c r="DG46" s="21">
        <f>EXP(-LN(2)/25)*DG45+(1-EXP(-LN(2)/25))/(LN(2)/25)*Calculateur!DB46*Calculateur!DD46*VLOOKUP('Données projet'!$B$13,Paramètres!$A$1:$I$89,3,0)*0.475*44/12</f>
        <v>23.645052096053927</v>
      </c>
      <c r="DH46" s="21">
        <f>EXP(-LN(2)/2)*DH45+(1-EXP(-LN(2)/2))/(LN(2)/2)*DB46*DE46*VLOOKUP('Données projet'!$B$13,Paramètres!$A$1:$I$89,3,0)*0.475*44/12</f>
        <v>5.2919026339478066</v>
      </c>
      <c r="DI46" s="22">
        <f t="shared" si="15"/>
        <v>46.292054082345487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21.970000000000002</v>
      </c>
      <c r="DO46" s="12">
        <f>IF('Données projet'!$A$166&gt;35,DO45+DN46-DW45,IF(A46&lt;'Données projet'!$A$166,$DL$205^A46,IF(A46='Données projet'!$A$166,'Données projet'!$B$166,DO45+DN46-DW45)))</f>
        <v>372.42000000000007</v>
      </c>
      <c r="DP46" s="17">
        <f>DO46*VLOOKUP('Données projet'!$B$14,Paramètres!$A$1:$I$89,3,0)*VLOOKUP('Données projet'!$B$14,Paramètres!$A$1:$I$89,5,0)</f>
        <v>208.18278000000007</v>
      </c>
      <c r="DQ46" s="13">
        <f t="shared" si="43"/>
        <v>51.538276765249073</v>
      </c>
      <c r="DR46" s="20">
        <f t="shared" si="16"/>
        <v>452.34750719947556</v>
      </c>
      <c r="DS46" s="59">
        <f t="shared" si="17"/>
        <v>745.68084053280882</v>
      </c>
      <c r="DT46" s="59">
        <f ca="1">AVERAGE(OFFSET($DS$3,0,0,'Données projet'!$E$14+1,1))-AVERAGE(OFFSET($H$3,0,0,'Données projet'!$E$14+1,1))</f>
        <v>328.15217666639006</v>
      </c>
      <c r="DU46" s="59">
        <f t="shared" si="44"/>
        <v>305.59175773326308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51.493443592016803</v>
      </c>
      <c r="EB46" s="21">
        <f>EXP(-LN(2)/25)*EB45+(1-EXP(-LN(2)/25))/(LN(2)/25)*Calculateur!DW46*Calculateur!DY46*VLOOKUP('Données projet'!$B$14,Paramètres!$A$1:$I$89,3,0)*0.475*44/12</f>
        <v>25.532800002174117</v>
      </c>
      <c r="EC46" s="21">
        <f>EXP(-LN(2)/2)*EC45+(1-EXP(-LN(2)/2))/(LN(2)/2)*DW46*DZ46*VLOOKUP('Données projet'!$B$14,Paramètres!$A$1:$I$89,3,0)*0.475*44/12</f>
        <v>9.7377704750620353</v>
      </c>
      <c r="ED46" s="22">
        <f t="shared" si="18"/>
        <v>86.764014069252951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6.9</v>
      </c>
      <c r="EJ46" s="12">
        <f>IF('Données projet'!$A$192&gt;35,EJ45+EI46-ER45,IF(A46&lt;'Données projet'!$A$192,$EG$205^A46,IF(A46='Données projet'!$A$192,'Données projet'!$B$192,EJ45+EI46-ER45)))</f>
        <v>217.2</v>
      </c>
      <c r="EK46" s="17">
        <f>EJ46*VLOOKUP('Données projet'!$B$15,Paramètres!$A$1:$I$89,3,0)*VLOOKUP('Données projet'!$B$15,Paramètres!$A$1:$I$89,5,0)</f>
        <v>159.25103999999999</v>
      </c>
      <c r="EL46" s="13">
        <f t="shared" si="45"/>
        <v>40.673539285416219</v>
      </c>
      <c r="EM46" s="20">
        <f t="shared" si="19"/>
        <v>348.20197558876657</v>
      </c>
      <c r="EN46" s="59">
        <f t="shared" si="20"/>
        <v>641.53530892209983</v>
      </c>
      <c r="EO46" s="59">
        <f ca="1">AVERAGE(OFFSET($EN$3,0,0,'Données projet'!$E$15+1,1))-AVERAGE(OFFSET($H$3,0,0,'Données projet'!$E$15+1,1))</f>
        <v>159.78276497127206</v>
      </c>
      <c r="EP46" s="59">
        <f t="shared" si="46"/>
        <v>190.72163407919857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1.0004754877759672</v>
      </c>
      <c r="EW46" s="21">
        <f>EXP(-LN(2)/25)*EW45+(1-EXP(-LN(2)/25))/(LN(2)/25)*Calculateur!ER46*Calculateur!ET46*VLOOKUP('Données projet'!$B$15,Paramètres!$A$1:$I$89,3,0)*0.475*44/12</f>
        <v>11.966280743965109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12.966756231741076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5.3214035087719296</v>
      </c>
      <c r="FE46" s="12">
        <f>IF('Données projet'!$A$218&gt;35,FE45+FD46-FM45,IF(A46&lt;'Données projet'!$A$218,$FB$205^A46,IF(A46='Données projet'!$A$218,'Données projet'!$B$218,FE45+FD46-FM45)))</f>
        <v>228.82035087719319</v>
      </c>
      <c r="FF46" s="17">
        <f>FE46*VLOOKUP('Données projet'!$B$16,Paramètres!$A$1:$I$89,3,0)*VLOOKUP('Données projet'!$B$16,Paramètres!$A$1:$I$89,5,0)</f>
        <v>196.32786105263179</v>
      </c>
      <c r="FG46" s="13">
        <f t="shared" si="47"/>
        <v>48.936274398305876</v>
      </c>
      <c r="FH46" s="20">
        <f t="shared" si="22"/>
        <v>427.16836924371643</v>
      </c>
      <c r="FI46" s="59">
        <f t="shared" si="23"/>
        <v>720.50170257704974</v>
      </c>
      <c r="FJ46" s="59">
        <f ca="1">AVERAGE(OFFSET($FI$3,0,0,'Données projet'!$E$16+1,1))-AVERAGE(OFFSET($H$3,0,0,'Données projet'!$E$16+1,1))</f>
        <v>337.15023592377008</v>
      </c>
      <c r="FK46" s="59">
        <f t="shared" si="48"/>
        <v>286.60608582587099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10.110000000000001</v>
      </c>
      <c r="FZ46" s="12">
        <f>IF('Données projet'!$A$244&gt;35,FZ45+FY46-GH45,IF(A46&lt;'Données projet'!$A$244,$FW$205^A46,IF(A46='Données projet'!$A$244,'Données projet'!$B$244,FZ45+FY46-GH45)))</f>
        <v>137.56000000000012</v>
      </c>
      <c r="GA46" s="17">
        <f>FZ46*VLOOKUP('Données projet'!$B$17,Paramètres!$A$1:$I$89,3,0)*VLOOKUP('Données projet'!$B$17,Paramètres!$A$1:$I$89,5,0)</f>
        <v>124.4642880000001</v>
      </c>
      <c r="GB46" s="13">
        <f t="shared" si="49"/>
        <v>32.713997336243899</v>
      </c>
      <c r="GC46" s="20">
        <f t="shared" si="25"/>
        <v>273.75218029395825</v>
      </c>
      <c r="GD46" s="59">
        <f t="shared" si="26"/>
        <v>567.08551362729156</v>
      </c>
      <c r="GE46" s="59">
        <f ca="1">AVERAGE(OFFSET($GD$3,0,0,'Données projet'!$E$17+1,1))-AVERAGE(OFFSET($H$3,0,0,'Données projet'!$E$17+1,1))</f>
        <v>486.55344536255876</v>
      </c>
      <c r="GF46" s="59">
        <f t="shared" si="50"/>
        <v>231.14794884432229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14.837515347717295</v>
      </c>
      <c r="GN46" s="21">
        <f>EXP(-LN(2)/2)*GN45+(1-EXP(-LN(2)/2))/(LN(2)/2)*GH46*GK46*VLOOKUP('Données projet'!$B$17,Paramètres!$A$1:$I$89,3,0)*0.475*44/12</f>
        <v>5.3737749829900485</v>
      </c>
      <c r="GO46" s="21">
        <f t="shared" si="27"/>
        <v>20.211290330707342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330.13576711834025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17.29</v>
      </c>
      <c r="N47" s="13">
        <f>IF('Données projet'!$A$36&gt;35,N46+M47-V46,IF(A47&lt;'Données projet'!$A$36,$K$205^A47,IF(A47='Données projet'!$A$36,'Données projet'!$B$36,N46+M47-V46)))</f>
        <v>271.94999999999993</v>
      </c>
      <c r="O47" s="13">
        <f>N47*VLOOKUP('Données projet'!$B$9,Paramètres!$A$1:$I$89,3,0)*VLOOKUP('Données projet'!$B$9,Paramètres!$A$1:$I$89,5,0)</f>
        <v>127.27259999999997</v>
      </c>
      <c r="P47" s="13">
        <f t="shared" si="33"/>
        <v>33.3653616714357</v>
      </c>
      <c r="Q47" s="20">
        <f t="shared" si="53"/>
        <v>279.77778324441709</v>
      </c>
      <c r="R47" s="59">
        <f t="shared" si="0"/>
        <v>573.11111657775041</v>
      </c>
      <c r="S47" s="59">
        <f ca="1">AVERAGE(OFFSET($R$3,0,0,'Données projet'!$E$9+1,1))-AVERAGE(OFFSET($H$3,0,0,'Données projet'!$E$9+1,1))</f>
        <v>252.08270526008477</v>
      </c>
      <c r="T47" s="59">
        <f t="shared" si="34"/>
        <v>239.77811108960179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8.7866658777168194</v>
      </c>
      <c r="AA47" s="21">
        <f>EXP(-LN(2)/25)*AA46+(1-EXP(-LN(2)/25))/(LN(2)/25)*Calculateur!V47*Calculateur!X47*VLOOKUP('Données projet'!$B$9,Paramètres!$A$1:$I$89,3,0)*0.475*44/12</f>
        <v>12.74945979776145</v>
      </c>
      <c r="AB47" s="21">
        <f>EXP(-LN(2)/2)*AB46+(1-EXP(-LN(2)/2))/(LN(2)/2)*V47*Y47*VLOOKUP('Données projet'!$B$9,Paramètres!$A$1:$I$89,3,0)*0.475*44/12</f>
        <v>10.78161728950835</v>
      </c>
      <c r="AC47" s="22">
        <f t="shared" si="3"/>
        <v>32.317742964986621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16.583750000000002</v>
      </c>
      <c r="AH47" s="12">
        <f t="array" ref="AH47">INDEX(AG:AG,MIN(IF(ISNUMBER(AG47:AG243),ROW(AG47:AG243),"")))</f>
        <v>16.583750000000002</v>
      </c>
      <c r="AI47" s="13">
        <f>IF('Données projet'!$A$62&gt;35,AI46+AH47-AQ46,IF(A47&lt;'Données projet'!$A$62,$AF$205^A47,IF(A47='Données projet'!$A$62,'Données projet'!$B$62,AI46+AH47-AQ46)))</f>
        <v>368.73000000000008</v>
      </c>
      <c r="AJ47" s="13">
        <f>AI47*VLOOKUP('Données projet'!$B$10,Paramètres!$A$1:$I$89,3,0)*VLOOKUP('Données projet'!$B$10,Paramètres!$A$1:$I$89,5,0)</f>
        <v>220.50054000000006</v>
      </c>
      <c r="AK47" s="13">
        <f t="shared" si="35"/>
        <v>54.223661223229719</v>
      </c>
      <c r="AL47" s="20">
        <f t="shared" si="4"/>
        <v>478.47798379712521</v>
      </c>
      <c r="AM47" s="59">
        <f t="shared" si="5"/>
        <v>771.81131713045852</v>
      </c>
      <c r="AN47" s="59">
        <f ca="1">AVERAGE(OFFSET($AM$3,0,0,'Données projet'!$E$10+1,1))-AVERAGE(OFFSET($H$3,0,0,'Données projet'!$E$10+1,1))</f>
        <v>251.64326096359997</v>
      </c>
      <c r="AO47" s="59">
        <f t="shared" si="36"/>
        <v>256.72142151189894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78.240000000000009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42.92910069319899</v>
      </c>
      <c r="AV47" s="21">
        <f>EXP(-LN(2)/25)*AV46+(1-EXP(-LN(2)/25))/(LN(2)/25)*Calculateur!AQ47*Calculateur!AS47*VLOOKUP('Données projet'!$B$10,Paramètres!$A$1:$I$89,3,0)*0.475*44/12</f>
        <v>20.254834964533629</v>
      </c>
      <c r="AW47" s="21">
        <f>EXP(-LN(2)/2)*AW46+(1-EXP(-LN(2)/2))/(LN(2)/2)*AQ47*AT47*VLOOKUP('Données projet'!$B$10,Paramètres!$A$1:$I$89,3,0)*0.475*44/12</f>
        <v>11.295100864257664</v>
      </c>
      <c r="AX47" s="21">
        <f t="shared" si="6"/>
        <v>74.479036521990281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6.9</v>
      </c>
      <c r="BD47" s="12">
        <f>IF('Données projet'!$A$88&gt;35,BD46+BC47-BL46,IF(A47&lt;'Données projet'!$A$88,$BA$205^A47,IF(A47='Données projet'!$A$88,'Données projet'!$B$88,BD46+BC47-BL46)))</f>
        <v>224.1</v>
      </c>
      <c r="BE47" s="13">
        <f>BD47*VLOOKUP('Données projet'!$B$11,Paramètres!$A$1:$I$89,3,0)*VLOOKUP('Données projet'!$B$11,Paramètres!$A$1:$I$89,5,0)</f>
        <v>202.76567999999997</v>
      </c>
      <c r="BF47" s="13">
        <f t="shared" si="37"/>
        <v>50.351493804082949</v>
      </c>
      <c r="BG47" s="20">
        <f t="shared" si="7"/>
        <v>440.84574437544444</v>
      </c>
      <c r="BH47" s="59">
        <f t="shared" si="8"/>
        <v>734.17907770877775</v>
      </c>
      <c r="BI47" s="59">
        <f ca="1">AVERAGE(OFFSET($BH$3,0,0,'Données projet'!$E$11+1,1))-AVERAGE(OFFSET($H$3,0,0,'Données projet'!$E$11+1,1))</f>
        <v>199.29783428981898</v>
      </c>
      <c r="BJ47" s="59">
        <f t="shared" si="38"/>
        <v>237.32002274562547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0.84447837022336614</v>
      </c>
      <c r="BQ47" s="21">
        <f>EXP(-LN(2)/25)*BQ46+(1-EXP(-LN(2)/25))/(LN(2)/25)*Calculateur!BL47*Calculateur!BN47*VLOOKUP('Données projet'!$B$11,Paramètres!$A$1:$I$89,3,0)*0.475*44/12</f>
        <v>10.020766042489416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10.865244412712782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9.8128571428571423</v>
      </c>
      <c r="BY47" s="12">
        <f>IF('Données projet'!$A$114&gt;35,BY46+BX47-CG46,IF(A47&lt;'Données projet'!$A$114,$BV$205^A47,IF(A47='Données projet'!$A$114,'Données projet'!$B$114,BY46+BX47-CG46)))</f>
        <v>139.93714285714287</v>
      </c>
      <c r="BZ47" s="13">
        <f>BY47*VLOOKUP('Données projet'!$B$12,Paramètres!$A$1:$I$89,3,0)*VLOOKUP('Données projet'!$B$12,Paramètres!$A$1:$I$89,5,0)</f>
        <v>117.88304914285717</v>
      </c>
      <c r="CA47" s="13">
        <f t="shared" si="39"/>
        <v>31.180744974132423</v>
      </c>
      <c r="CB47" s="20">
        <f t="shared" si="10"/>
        <v>259.61944142042347</v>
      </c>
      <c r="CC47" s="59">
        <f t="shared" si="11"/>
        <v>552.95277475375678</v>
      </c>
      <c r="CD47" s="59">
        <f ca="1">AVERAGE(OFFSET($CC$3,0,0,'Données projet'!$E$12+1,1))-AVERAGE(OFFSET($H$3,0,0,'Données projet'!$E$12+1,1))</f>
        <v>295.59075210589327</v>
      </c>
      <c r="CE47" s="59">
        <f t="shared" si="40"/>
        <v>210.41181542059576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19.33723482768017</v>
      </c>
      <c r="CM47" s="21">
        <f>EXP(-LN(2)/2)*CM46+(1-EXP(-LN(2)/2))/(LN(2)/2)*CG47*CJ47*VLOOKUP('Données projet'!$B$12,Paramètres!$A$1:$I$89,3,0)*0.475*44/12</f>
        <v>1.4221443401211589</v>
      </c>
      <c r="CN47" s="22">
        <f t="shared" si="12"/>
        <v>20.759379167801328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24.2</v>
      </c>
      <c r="CT47" s="12">
        <f>IF('Données projet'!$A$140&gt;35,CT46+CS47-DB46,IF(A47&lt;'Données projet'!$A$140,$CQ$205^A47,IF(A47='Données projet'!$A$140,'Données projet'!$B$140,CT46+CS47-DB46)))</f>
        <v>473.7999999999999</v>
      </c>
      <c r="CU47" s="17">
        <f>CT47*VLOOKUP('Données projet'!$B$13,Paramètres!$A$1:$I$89,3,0)*VLOOKUP('Données projet'!$B$13,Paramètres!$A$1:$I$89,5,0)</f>
        <v>215.57899999999995</v>
      </c>
      <c r="CV47" s="13">
        <f t="shared" si="41"/>
        <v>53.152870914002499</v>
      </c>
      <c r="CW47" s="20">
        <f t="shared" si="13"/>
        <v>468.04134184188757</v>
      </c>
      <c r="CX47" s="59">
        <f t="shared" si="14"/>
        <v>761.37467517522089</v>
      </c>
      <c r="CY47" s="59">
        <f ca="1">AVERAGE(OFFSET($CX$3,0,0,'Données projet'!$E$13+1,1))-AVERAGE(OFFSET($H$3,0,0,'Données projet'!$E$13+1,1))</f>
        <v>338.22448697444298</v>
      </c>
      <c r="CZ47" s="59">
        <f t="shared" si="42"/>
        <v>293.3872365640849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17.014776439609658</v>
      </c>
      <c r="DG47" s="21">
        <f>EXP(-LN(2)/25)*DG46+(1-EXP(-LN(2)/25))/(LN(2)/25)*Calculateur!DB47*Calculateur!DD47*VLOOKUP('Données projet'!$B$13,Paramètres!$A$1:$I$89,3,0)*0.475*44/12</f>
        <v>22.998476903048083</v>
      </c>
      <c r="DH47" s="21">
        <f>EXP(-LN(2)/2)*DH46+(1-EXP(-LN(2)/2))/(LN(2)/2)*DB47*DE47*VLOOKUP('Données projet'!$B$13,Paramètres!$A$1:$I$89,3,0)*0.475*44/12</f>
        <v>3.7419402378434463</v>
      </c>
      <c r="DI47" s="22">
        <f t="shared" si="15"/>
        <v>43.755193580501185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21.970000000000002</v>
      </c>
      <c r="DO47" s="12">
        <f>IF('Données projet'!$A$166&gt;35,DO46+DN47-DW46,IF(A47&lt;'Données projet'!$A$166,$DL$205^A47,IF(A47='Données projet'!$A$166,'Données projet'!$B$166,DO46+DN47-DW46)))</f>
        <v>394.3900000000001</v>
      </c>
      <c r="DP47" s="17">
        <f>DO47*VLOOKUP('Données projet'!$B$14,Paramètres!$A$1:$I$89,3,0)*VLOOKUP('Données projet'!$B$14,Paramètres!$A$1:$I$89,5,0)</f>
        <v>220.46401000000006</v>
      </c>
      <c r="DQ47" s="13">
        <f t="shared" si="43"/>
        <v>54.215723631671224</v>
      </c>
      <c r="DR47" s="20">
        <f t="shared" si="16"/>
        <v>478.4005360751608</v>
      </c>
      <c r="DS47" s="59">
        <f t="shared" si="17"/>
        <v>771.73386940849412</v>
      </c>
      <c r="DT47" s="59">
        <f ca="1">AVERAGE(OFFSET($DS$3,0,0,'Données projet'!$E$14+1,1))-AVERAGE(OFFSET($H$3,0,0,'Données projet'!$E$14+1,1))</f>
        <v>328.15217666639006</v>
      </c>
      <c r="DU47" s="59">
        <f t="shared" si="44"/>
        <v>305.59175773326308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50.483688571076669</v>
      </c>
      <c r="EB47" s="21">
        <f>EXP(-LN(2)/25)*EB46+(1-EXP(-LN(2)/25))/(LN(2)/25)*Calculateur!DW47*Calculateur!DY47*VLOOKUP('Données projet'!$B$14,Paramètres!$A$1:$I$89,3,0)*0.475*44/12</f>
        <v>24.834604243403071</v>
      </c>
      <c r="EC47" s="21">
        <f>EXP(-LN(2)/2)*EC46+(1-EXP(-LN(2)/2))/(LN(2)/2)*DW47*DZ47*VLOOKUP('Données projet'!$B$14,Paramètres!$A$1:$I$89,3,0)*0.475*44/12</f>
        <v>6.8856435365545137</v>
      </c>
      <c r="ED47" s="22">
        <f t="shared" si="18"/>
        <v>82.203936351034258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6.9</v>
      </c>
      <c r="EJ47" s="12">
        <f>IF('Données projet'!$A$192&gt;35,EJ46+EI47-ER46,IF(A47&lt;'Données projet'!$A$192,$EG$205^A47,IF(A47='Données projet'!$A$192,'Données projet'!$B$192,EJ46+EI47-ER46)))</f>
        <v>224.1</v>
      </c>
      <c r="EK47" s="17">
        <f>EJ47*VLOOKUP('Données projet'!$B$15,Paramètres!$A$1:$I$89,3,0)*VLOOKUP('Données projet'!$B$15,Paramètres!$A$1:$I$89,5,0)</f>
        <v>164.31012000000001</v>
      </c>
      <c r="EL47" s="13">
        <f t="shared" si="45"/>
        <v>41.81316591080369</v>
      </c>
      <c r="EM47" s="20">
        <f t="shared" si="19"/>
        <v>358.99805629464981</v>
      </c>
      <c r="EN47" s="59">
        <f t="shared" si="20"/>
        <v>652.33138962798307</v>
      </c>
      <c r="EO47" s="59">
        <f ca="1">AVERAGE(OFFSET($EN$3,0,0,'Données projet'!$E$15+1,1))-AVERAGE(OFFSET($H$3,0,0,'Données projet'!$E$15+1,1))</f>
        <v>159.78276497127206</v>
      </c>
      <c r="EP47" s="59">
        <f t="shared" si="46"/>
        <v>190.72163407919857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0.98085677369047286</v>
      </c>
      <c r="EW47" s="21">
        <f>EXP(-LN(2)/25)*EW46+(1-EXP(-LN(2)/25))/(LN(2)/25)*Calculateur!ER47*Calculateur!ET47*VLOOKUP('Données projet'!$B$15,Paramètres!$A$1:$I$89,3,0)*0.475*44/12</f>
        <v>11.639062167742029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12.619918941432502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5.3214035087719296</v>
      </c>
      <c r="FE47" s="12">
        <f>IF('Données projet'!$A$218&gt;35,FE46+FD47-FM46,IF(A47&lt;'Données projet'!$A$218,$FB$205^A47,IF(A47='Données projet'!$A$218,'Données projet'!$B$218,FE46+FD47-FM46)))</f>
        <v>234.14175438596513</v>
      </c>
      <c r="FF47" s="17">
        <f>FE47*VLOOKUP('Données projet'!$B$16,Paramètres!$A$1:$I$89,3,0)*VLOOKUP('Données projet'!$B$16,Paramètres!$A$1:$I$89,5,0)</f>
        <v>200.8936252631581</v>
      </c>
      <c r="FG47" s="13">
        <f t="shared" si="47"/>
        <v>49.940508524903741</v>
      </c>
      <c r="FH47" s="20">
        <f t="shared" si="22"/>
        <v>436.86944968087437</v>
      </c>
      <c r="FI47" s="59">
        <f t="shared" si="23"/>
        <v>730.20278301420763</v>
      </c>
      <c r="FJ47" s="59">
        <f ca="1">AVERAGE(OFFSET($FI$3,0,0,'Données projet'!$E$16+1,1))-AVERAGE(OFFSET($H$3,0,0,'Données projet'!$E$16+1,1))</f>
        <v>337.15023592377008</v>
      </c>
      <c r="FK47" s="59">
        <f t="shared" si="48"/>
        <v>286.60608582587099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10.110000000000001</v>
      </c>
      <c r="FZ47" s="12">
        <f>IF('Données projet'!$A$244&gt;35,FZ46+FY47-GH46,IF(A47&lt;'Données projet'!$A$244,$FW$205^A47,IF(A47='Données projet'!$A$244,'Données projet'!$B$244,FZ46+FY47-GH46)))</f>
        <v>147.67000000000013</v>
      </c>
      <c r="GA47" s="17">
        <f>FZ47*VLOOKUP('Données projet'!$B$17,Paramètres!$A$1:$I$89,3,0)*VLOOKUP('Données projet'!$B$17,Paramètres!$A$1:$I$89,5,0)</f>
        <v>133.61181600000012</v>
      </c>
      <c r="GB47" s="13">
        <f t="shared" si="49"/>
        <v>34.829608206917271</v>
      </c>
      <c r="GC47" s="20">
        <f t="shared" si="25"/>
        <v>293.36881382704775</v>
      </c>
      <c r="GD47" s="59">
        <f t="shared" si="26"/>
        <v>586.70214716038106</v>
      </c>
      <c r="GE47" s="59">
        <f ca="1">AVERAGE(OFFSET($GD$3,0,0,'Données projet'!$E$17+1,1))-AVERAGE(OFFSET($H$3,0,0,'Données projet'!$E$17+1,1))</f>
        <v>486.55344536255876</v>
      </c>
      <c r="GF47" s="59">
        <f t="shared" si="50"/>
        <v>231.14794884432229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14.431782710262945</v>
      </c>
      <c r="GN47" s="21">
        <f>EXP(-LN(2)/2)*GN46+(1-EXP(-LN(2)/2))/(LN(2)/2)*GH47*GK47*VLOOKUP('Données projet'!$B$17,Paramètres!$A$1:$I$89,3,0)*0.475*44/12</f>
        <v>3.7998327310428874</v>
      </c>
      <c r="GO47" s="21">
        <f t="shared" si="27"/>
        <v>18.231615441305834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331.75934666241028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17.29</v>
      </c>
      <c r="N48" s="13">
        <f>IF('Données projet'!$A$36&gt;35,N47+M48-V47,IF(A48&lt;'Données projet'!$A$36,$K$205^A48,IF(A48='Données projet'!$A$36,'Données projet'!$B$36,N47+M48-V47)))</f>
        <v>289.23999999999995</v>
      </c>
      <c r="O48" s="13">
        <f>N48*VLOOKUP('Données projet'!$B$9,Paramètres!$A$1:$I$89,3,0)*VLOOKUP('Données projet'!$B$9,Paramètres!$A$1:$I$89,5,0)</f>
        <v>135.36431999999996</v>
      </c>
      <c r="P48" s="13">
        <f t="shared" si="33"/>
        <v>35.232964094232521</v>
      </c>
      <c r="Q48" s="20">
        <f t="shared" si="53"/>
        <v>297.12360313078824</v>
      </c>
      <c r="R48" s="59">
        <f t="shared" si="0"/>
        <v>590.45693646412155</v>
      </c>
      <c r="S48" s="59">
        <f ca="1">AVERAGE(OFFSET($R$3,0,0,'Données projet'!$E$9+1,1))-AVERAGE(OFFSET($H$3,0,0,'Données projet'!$E$9+1,1))</f>
        <v>252.08270526008477</v>
      </c>
      <c r="T48" s="59">
        <f t="shared" si="34"/>
        <v>239.77811108960179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8.6143647191917871</v>
      </c>
      <c r="AA48" s="21">
        <f>EXP(-LN(2)/25)*AA47+(1-EXP(-LN(2)/25))/(LN(2)/25)*Calculateur!V48*Calculateur!X48*VLOOKUP('Données projet'!$B$9,Paramètres!$A$1:$I$89,3,0)*0.475*44/12</f>
        <v>12.400825149126712</v>
      </c>
      <c r="AB48" s="21">
        <f>EXP(-LN(2)/2)*AB47+(1-EXP(-LN(2)/2))/(LN(2)/2)*V48*Y48*VLOOKUP('Données projet'!$B$9,Paramètres!$A$1:$I$89,3,0)*0.475*44/12</f>
        <v>7.6237546975694794</v>
      </c>
      <c r="AC48" s="22">
        <f t="shared" si="3"/>
        <v>28.638944565887982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14.689999999999998</v>
      </c>
      <c r="AI48" s="13">
        <f>IF('Données projet'!$A$62&gt;35,AI47+AH48-AQ47,IF(A48&lt;'Données projet'!$A$62,$AF$205^A48,IF(A48='Données projet'!$A$62,'Données projet'!$B$62,AI47+AH48-AQ47)))</f>
        <v>305.18000000000006</v>
      </c>
      <c r="AJ48" s="13">
        <f>AI48*VLOOKUP('Données projet'!$B$10,Paramètres!$A$1:$I$89,3,0)*VLOOKUP('Données projet'!$B$10,Paramètres!$A$1:$I$89,5,0)</f>
        <v>182.49764000000005</v>
      </c>
      <c r="AK48" s="13">
        <f t="shared" si="35"/>
        <v>45.877418600848756</v>
      </c>
      <c r="AL48" s="20">
        <f t="shared" si="4"/>
        <v>397.753227063145</v>
      </c>
      <c r="AM48" s="59">
        <f t="shared" si="5"/>
        <v>691.08656039647826</v>
      </c>
      <c r="AN48" s="59">
        <f ca="1">AVERAGE(OFFSET($AM$3,0,0,'Données projet'!$E$10+1,1))-AVERAGE(OFFSET($H$3,0,0,'Données projet'!$E$10+1,1))</f>
        <v>251.64326096359997</v>
      </c>
      <c r="AO48" s="59">
        <f t="shared" si="36"/>
        <v>256.72142151189894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42.087287212771308</v>
      </c>
      <c r="AV48" s="21">
        <f>EXP(-LN(2)/25)*AV47+(1-EXP(-LN(2)/25))/(LN(2)/25)*Calculateur!AQ48*Calculateur!AS48*VLOOKUP('Données projet'!$B$10,Paramètres!$A$1:$I$89,3,0)*0.475*44/12</f>
        <v>19.700965437272981</v>
      </c>
      <c r="AW48" s="21">
        <f>EXP(-LN(2)/2)*AW47+(1-EXP(-LN(2)/2))/(LN(2)/2)*AQ48*AT48*VLOOKUP('Données projet'!$B$10,Paramètres!$A$1:$I$89,3,0)*0.475*44/12</f>
        <v>7.986842415302629</v>
      </c>
      <c r="AX48" s="21">
        <f t="shared" si="6"/>
        <v>69.775095065346918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231</v>
      </c>
      <c r="BB48" s="12">
        <f>VLOOKUP(A48,'Données projet'!$A$87:$I$107,9,0)</f>
        <v>6.9</v>
      </c>
      <c r="BC48" s="12">
        <f t="array" ref="BC48">INDEX(BB:BB,MIN(IF(ISNUMBER(BB48:BB244),ROW(BB48:BB244),"")))</f>
        <v>6.9</v>
      </c>
      <c r="BD48" s="12">
        <f>IF('Données projet'!$A$88&gt;35,BD47+BC48-BL47,IF(A48&lt;'Données projet'!$A$88,$BA$205^A48,IF(A48='Données projet'!$A$88,'Données projet'!$B$88,BD47+BC48-BL47)))</f>
        <v>231</v>
      </c>
      <c r="BE48" s="13">
        <f>BD48*VLOOKUP('Données projet'!$B$11,Paramètres!$A$1:$I$89,3,0)*VLOOKUP('Données projet'!$B$11,Paramètres!$A$1:$I$89,5,0)</f>
        <v>209.00879999999998</v>
      </c>
      <c r="BF48" s="13">
        <f t="shared" si="37"/>
        <v>51.718923953824202</v>
      </c>
      <c r="BG48" s="20">
        <f t="shared" si="7"/>
        <v>454.10078588624373</v>
      </c>
      <c r="BH48" s="59">
        <f t="shared" si="8"/>
        <v>747.43411921957704</v>
      </c>
      <c r="BI48" s="59">
        <f ca="1">AVERAGE(OFFSET($BH$3,0,0,'Données projet'!$E$11+1,1))-AVERAGE(OFFSET($H$3,0,0,'Données projet'!$E$11+1,1))</f>
        <v>199.29783428981898</v>
      </c>
      <c r="BJ48" s="59">
        <f t="shared" si="38"/>
        <v>237.32002274562547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231</v>
      </c>
      <c r="BM48" s="16">
        <f>IF(ISNA(VLOOKUP(A48,'Données projet'!$A$87:$I$107,5,0)),0%,VLOOKUP(A48,'Données projet'!$A$87:$I$107,5,0)*VLOOKUP('Données projet'!$B$11,Paramètres!$A$1:$I$89,7,0))</f>
        <v>0.03</v>
      </c>
      <c r="BN48" s="16">
        <f>IF(ISNA(VLOOKUP(A48,'Données projet'!$A$87:$I$107,6,0)),0%,VLOOKUP(A48,'Données projet'!$A$87:$I$107,6,0)*VLOOKUP('Données projet'!$B$11,Paramètres!$A$1:$I$89,7,0))</f>
        <v>0.15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7.7595097883160244</v>
      </c>
      <c r="BQ48" s="21">
        <f>EXP(-LN(2)/25)*BQ47+(1-EXP(-LN(2)/25))/(LN(2)/25)*Calculateur!BL48*Calculateur!BN48*VLOOKUP('Données projet'!$B$11,Paramètres!$A$1:$I$89,3,0)*0.475*44/12</f>
        <v>44.268241710357906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52.027751498673929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149.75</v>
      </c>
      <c r="BW48" s="12">
        <f>VLOOKUP(A48,'Données projet'!$A$113:$I$133,9,0)</f>
        <v>9.8128571428571423</v>
      </c>
      <c r="BX48" s="12">
        <f t="array" ref="BX48">INDEX(BW:BW,MIN(IF(ISNUMBER(BW48:BW244),ROW(BW48:BW244),"")))</f>
        <v>9.8128571428571423</v>
      </c>
      <c r="BY48" s="12">
        <f>IF('Données projet'!$A$114&gt;35,BY47+BX48-CG47,IF(A48&lt;'Données projet'!$A$114,$BV$205^A48,IF(A48='Données projet'!$A$114,'Données projet'!$B$114,BY47+BX48-CG47)))</f>
        <v>149.75000000000003</v>
      </c>
      <c r="BZ48" s="13">
        <f>BY48*VLOOKUP('Données projet'!$B$12,Paramètres!$A$1:$I$89,3,0)*VLOOKUP('Données projet'!$B$12,Paramètres!$A$1:$I$89,5,0)</f>
        <v>126.14940000000004</v>
      </c>
      <c r="CA48" s="13">
        <f t="shared" si="39"/>
        <v>33.105047707788756</v>
      </c>
      <c r="CB48" s="20">
        <f t="shared" si="10"/>
        <v>277.36816309106553</v>
      </c>
      <c r="CC48" s="59">
        <f t="shared" si="11"/>
        <v>570.70149642439878</v>
      </c>
      <c r="CD48" s="59">
        <f ca="1">AVERAGE(OFFSET($CC$3,0,0,'Données projet'!$E$12+1,1))-AVERAGE(OFFSET($H$3,0,0,'Données projet'!$E$12+1,1))</f>
        <v>295.59075210589327</v>
      </c>
      <c r="CE48" s="59">
        <f t="shared" si="40"/>
        <v>210.41181542059576</v>
      </c>
      <c r="CF48" s="15">
        <f>IF(ISNA(VLOOKUP(A48,'Données projet'!$A$113:$I$133,3,0)),0,VLOOKUP(A48,'Données projet'!$A$113:$I$133,3,0))</f>
        <v>2</v>
      </c>
      <c r="CG48" s="15">
        <f>IF(ISNA(VLOOKUP(A48,'Données projet'!$A$113:$I$133,4,0)),0,VLOOKUP(A48,'Données projet'!$A$113:$I$133,4,0))</f>
        <v>41.69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0.34400000000000003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32.111238328125438</v>
      </c>
      <c r="CM48" s="21">
        <f>EXP(-LN(2)/2)*CM47+(1-EXP(-LN(2)/2))/(LN(2)/2)*CG48*CJ48*VLOOKUP('Données projet'!$B$12,Paramètres!$A$1:$I$89,3,0)*0.475*44/12</f>
        <v>7.6328760402622615</v>
      </c>
      <c r="CN48" s="22">
        <f t="shared" si="12"/>
        <v>39.744114368387699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498</v>
      </c>
      <c r="CR48" s="12">
        <f>VLOOKUP(A48,'Données projet'!$A$139:$I$159,9,0)</f>
        <v>24.2</v>
      </c>
      <c r="CS48" s="12">
        <f t="array" ref="CS48">INDEX(CR:CR,MIN(IF(ISNUMBER(CR48:CR244),ROW(CR48:CR244),"")))</f>
        <v>24.2</v>
      </c>
      <c r="CT48" s="12">
        <f>IF('Données projet'!$A$140&gt;35,CT47+CS48-DB47,IF(A48&lt;'Données projet'!$A$140,$CQ$205^A48,IF(A48='Données projet'!$A$140,'Données projet'!$B$140,CT47+CS48-DB47)))</f>
        <v>497.99999999999989</v>
      </c>
      <c r="CU48" s="17">
        <f>CT48*VLOOKUP('Données projet'!$B$13,Paramètres!$A$1:$I$89,3,0)*VLOOKUP('Données projet'!$B$13,Paramètres!$A$1:$I$89,5,0)</f>
        <v>226.58999999999995</v>
      </c>
      <c r="CV48" s="13">
        <f t="shared" si="41"/>
        <v>55.544720048447708</v>
      </c>
      <c r="CW48" s="20">
        <f t="shared" si="13"/>
        <v>491.38463741771301</v>
      </c>
      <c r="CX48" s="59">
        <f t="shared" si="14"/>
        <v>784.71797075104632</v>
      </c>
      <c r="CY48" s="59">
        <f ca="1">AVERAGE(OFFSET($CX$3,0,0,'Données projet'!$E$13+1,1))-AVERAGE(OFFSET($H$3,0,0,'Données projet'!$E$13+1,1))</f>
        <v>338.22448697444298</v>
      </c>
      <c r="CZ48" s="59">
        <f t="shared" si="42"/>
        <v>293.3872365640849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63</v>
      </c>
      <c r="DC48" s="16">
        <f>IF(ISNA(VLOOKUP(A48,'Données projet'!$A$139:$I$159,5,0)),0%,VLOOKUP(A48,'Données projet'!$A$139:$I$159,5,0)*VLOOKUP('Données projet'!$B$13,Paramètres!$A$1:$I$89,7,0))</f>
        <v>0.33</v>
      </c>
      <c r="DD48" s="16">
        <f>IF(ISNA(VLOOKUP(A48,'Données projet'!$A$139:$I$159,6,0)),0%,VLOOKUP(A48,'Données projet'!$A$139:$I$159,6,0)*VLOOKUP('Données projet'!$B$13,Paramètres!$A$1:$I$89,7,0))</f>
        <v>0.11000000000000001</v>
      </c>
      <c r="DE48" s="16">
        <f>IF(ISNA(VLOOKUP(A48,'Données projet'!$A$139:$I$159,7,0)),0%,VLOOKUP(A48,'Données projet'!$A$139:$I$159,7,0))</f>
        <v>0.2</v>
      </c>
      <c r="DF48" s="21">
        <f>EXP(-LN(2)/35)*DF47+(1-EXP(-LN(2)/35))/(LN(2)/35)*DB48*DC48*VLOOKUP('Données projet'!$B$13,Paramètres!$A$1:$I$89,3,0)*0.475*44/12</f>
        <v>29.229697189625355</v>
      </c>
      <c r="DG48" s="21">
        <f>EXP(-LN(2)/25)*DG47+(1-EXP(-LN(2)/25))/(LN(2)/25)*Calculateur!DB48*Calculateur!DD48*VLOOKUP('Données projet'!$B$13,Paramètres!$A$1:$I$89,3,0)*0.475*44/12</f>
        <v>26.535969554694947</v>
      </c>
      <c r="DH48" s="21">
        <f>EXP(-LN(2)/2)*DH47+(1-EXP(-LN(2)/2))/(LN(2)/2)*DB48*DE48*VLOOKUP('Données projet'!$B$13,Paramètres!$A$1:$I$89,3,0)*0.475*44/12</f>
        <v>9.1370390786931317</v>
      </c>
      <c r="DI48" s="22">
        <f t="shared" si="15"/>
        <v>64.902705823013434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21.970000000000002</v>
      </c>
      <c r="DO48" s="12">
        <f>IF('Données projet'!$A$166&gt;35,DO47+DN48-DW47,IF(A48&lt;'Données projet'!$A$166,$DL$205^A48,IF(A48='Données projet'!$A$166,'Données projet'!$B$166,DO47+DN48-DW47)))</f>
        <v>416.36000000000013</v>
      </c>
      <c r="DP48" s="17">
        <f>DO48*VLOOKUP('Données projet'!$B$14,Paramètres!$A$1:$I$89,3,0)*VLOOKUP('Données projet'!$B$14,Paramètres!$A$1:$I$89,5,0)</f>
        <v>232.74524000000008</v>
      </c>
      <c r="DQ48" s="13">
        <f t="shared" si="43"/>
        <v>56.875856080072602</v>
      </c>
      <c r="DR48" s="20">
        <f t="shared" si="16"/>
        <v>504.42340900612658</v>
      </c>
      <c r="DS48" s="59">
        <f t="shared" si="17"/>
        <v>797.75674233945983</v>
      </c>
      <c r="DT48" s="59">
        <f ca="1">AVERAGE(OFFSET($DS$3,0,0,'Données projet'!$E$14+1,1))-AVERAGE(OFFSET($H$3,0,0,'Données projet'!$E$14+1,1))</f>
        <v>328.15217666639006</v>
      </c>
      <c r="DU48" s="59">
        <f t="shared" si="44"/>
        <v>305.59175773326308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49.493734230207423</v>
      </c>
      <c r="EB48" s="21">
        <f>EXP(-LN(2)/25)*EB47+(1-EXP(-LN(2)/25))/(LN(2)/25)*Calculateur!DW48*Calculateur!DY48*VLOOKUP('Données projet'!$B$14,Paramètres!$A$1:$I$89,3,0)*0.475*44/12</f>
        <v>24.155500684372136</v>
      </c>
      <c r="EC48" s="21">
        <f>EXP(-LN(2)/2)*EC47+(1-EXP(-LN(2)/2))/(LN(2)/2)*DW48*DZ48*VLOOKUP('Données projet'!$B$14,Paramètres!$A$1:$I$89,3,0)*0.475*44/12</f>
        <v>4.8688852375310177</v>
      </c>
      <c r="ED48" s="22">
        <f t="shared" si="18"/>
        <v>78.518120152110569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231</v>
      </c>
      <c r="EH48" s="12">
        <f>VLOOKUP(A48,'Données projet'!$A$191:$I$211,9,0)</f>
        <v>6.9</v>
      </c>
      <c r="EI48" s="12">
        <f t="array" ref="EI48">INDEX(EH:EH,MIN(IF(ISNUMBER(EH48:EH244),ROW(EH48:EH244),"")))</f>
        <v>6.9</v>
      </c>
      <c r="EJ48" s="12">
        <f>IF('Données projet'!$A$192&gt;35,EJ47+EI48-ER47,IF(A48&lt;'Données projet'!$A$192,$EG$205^A48,IF(A48='Données projet'!$A$192,'Données projet'!$B$192,EJ47+EI48-ER47)))</f>
        <v>231</v>
      </c>
      <c r="EK48" s="17">
        <f>EJ48*VLOOKUP('Données projet'!$B$15,Paramètres!$A$1:$I$89,3,0)*VLOOKUP('Données projet'!$B$15,Paramètres!$A$1:$I$89,5,0)</f>
        <v>169.36920000000001</v>
      </c>
      <c r="EL48" s="13">
        <f t="shared" si="45"/>
        <v>42.948714817158674</v>
      </c>
      <c r="EM48" s="20">
        <f t="shared" si="19"/>
        <v>369.787034973218</v>
      </c>
      <c r="EN48" s="59">
        <f t="shared" si="20"/>
        <v>663.12036830655131</v>
      </c>
      <c r="EO48" s="59">
        <f ca="1">AVERAGE(OFFSET($EN$3,0,0,'Données projet'!$E$15+1,1))-AVERAGE(OFFSET($H$3,0,0,'Données projet'!$E$15+1,1))</f>
        <v>159.78276497127206</v>
      </c>
      <c r="EP48" s="59">
        <f t="shared" si="46"/>
        <v>190.72163407919857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231</v>
      </c>
      <c r="ES48" s="16">
        <f>IF(ISNA(VLOOKUP(A48,'Données projet'!$A$191:$I$211,5,0)),0%,VLOOKUP(A48,'Données projet'!$A$191:$I$211,5,0)*VLOOKUP('Données projet'!$B$15,Paramètres!$A$1:$I$89,7,0))</f>
        <v>4.3000000000000003E-2</v>
      </c>
      <c r="ET48" s="16">
        <f>IF(ISNA(VLOOKUP(A48,'Données projet'!$A$191:$I$211,6,0)),0%,VLOOKUP(A48,'Données projet'!$A$191:$I$211,6,0)*VLOOKUP('Données projet'!$B$15,Paramètres!$A$1:$I$89,7,0))</f>
        <v>0.215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9.0126260242452236</v>
      </c>
      <c r="EW48" s="21">
        <f>EXP(-LN(2)/25)*EW47+(1-EXP(-LN(2)/25))/(LN(2)/25)*Calculateur!ER48*Calculateur!ET48*VLOOKUP('Données projet'!$B$15,Paramètres!$A$1:$I$89,3,0)*0.475*44/12</f>
        <v>51.417308331398473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60.429934355643695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5.3214035087719296</v>
      </c>
      <c r="FE48" s="12">
        <f>IF('Données projet'!$A$218&gt;35,FE47+FD48-FM47,IF(A48&lt;'Données projet'!$A$218,$FB$205^A48,IF(A48='Données projet'!$A$218,'Données projet'!$B$218,FE47+FD48-FM47)))</f>
        <v>239.46315789473707</v>
      </c>
      <c r="FF48" s="17">
        <f>FE48*VLOOKUP('Données projet'!$B$16,Paramètres!$A$1:$I$89,3,0)*VLOOKUP('Données projet'!$B$16,Paramètres!$A$1:$I$89,5,0)</f>
        <v>205.45938947368444</v>
      </c>
      <c r="FG48" s="13">
        <f t="shared" si="47"/>
        <v>50.94208926527093</v>
      </c>
      <c r="FH48" s="20">
        <f t="shared" si="22"/>
        <v>446.56590880368054</v>
      </c>
      <c r="FI48" s="59">
        <f t="shared" si="23"/>
        <v>739.89924213701386</v>
      </c>
      <c r="FJ48" s="59">
        <f ca="1">AVERAGE(OFFSET($FI$3,0,0,'Données projet'!$E$16+1,1))-AVERAGE(OFFSET($H$3,0,0,'Données projet'!$E$16+1,1))</f>
        <v>337.15023592377008</v>
      </c>
      <c r="FK48" s="59">
        <f t="shared" si="48"/>
        <v>286.60608582587099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10.110000000000001</v>
      </c>
      <c r="FZ48" s="12">
        <f>IF('Données projet'!$A$244&gt;35,FZ47+FY48-GH47,IF(A48&lt;'Données projet'!$A$244,$FW$205^A48,IF(A48='Données projet'!$A$244,'Données projet'!$B$244,FZ47+FY48-GH47)))</f>
        <v>157.78000000000014</v>
      </c>
      <c r="GA48" s="17">
        <f>FZ48*VLOOKUP('Données projet'!$B$17,Paramètres!$A$1:$I$89,3,0)*VLOOKUP('Données projet'!$B$17,Paramètres!$A$1:$I$89,5,0)</f>
        <v>142.75934400000011</v>
      </c>
      <c r="GB48" s="13">
        <f t="shared" si="49"/>
        <v>36.928412609012774</v>
      </c>
      <c r="GC48" s="20">
        <f t="shared" si="25"/>
        <v>312.95617609403075</v>
      </c>
      <c r="GD48" s="59">
        <f t="shared" si="26"/>
        <v>606.28950942736401</v>
      </c>
      <c r="GE48" s="59">
        <f ca="1">AVERAGE(OFFSET($GD$3,0,0,'Données projet'!$E$17+1,1))-AVERAGE(OFFSET($H$3,0,0,'Données projet'!$E$17+1,1))</f>
        <v>486.55344536255876</v>
      </c>
      <c r="GF48" s="59">
        <f t="shared" si="50"/>
        <v>231.14794884432229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14.037144853116336</v>
      </c>
      <c r="GN48" s="21">
        <f>EXP(-LN(2)/2)*GN47+(1-EXP(-LN(2)/2))/(LN(2)/2)*GH48*GK48*VLOOKUP('Données projet'!$B$17,Paramètres!$A$1:$I$89,3,0)*0.475*44/12</f>
        <v>2.6868874914950243</v>
      </c>
      <c r="GO48" s="21">
        <f t="shared" si="27"/>
        <v>16.724032344611359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333.38203077545319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17.29</v>
      </c>
      <c r="N49" s="13">
        <f>IF('Données projet'!$A$36&gt;35,N48+M49-V48,IF(A49&lt;'Données projet'!$A$36,$K$205^A49,IF(A49='Données projet'!$A$36,'Données projet'!$B$36,N48+M49-V48)))</f>
        <v>306.52999999999997</v>
      </c>
      <c r="O49" s="13">
        <f>N49*VLOOKUP('Données projet'!$B$9,Paramètres!$A$1:$I$89,3,0)*VLOOKUP('Données projet'!$B$9,Paramètres!$A$1:$I$89,5,0)</f>
        <v>143.45604</v>
      </c>
      <c r="P49" s="13">
        <f t="shared" si="33"/>
        <v>37.087608544115007</v>
      </c>
      <c r="Q49" s="20">
        <f t="shared" si="53"/>
        <v>314.44685454766693</v>
      </c>
      <c r="R49" s="59">
        <f t="shared" si="0"/>
        <v>607.7801878810003</v>
      </c>
      <c r="S49" s="59">
        <f ca="1">AVERAGE(OFFSET($R$3,0,0,'Données projet'!$E$9+1,1))-AVERAGE(OFFSET($H$3,0,0,'Données projet'!$E$9+1,1))</f>
        <v>252.08270526008477</v>
      </c>
      <c r="T49" s="59">
        <f t="shared" si="34"/>
        <v>239.77811108960179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8.4454422812921006</v>
      </c>
      <c r="AA49" s="21">
        <f>EXP(-LN(2)/25)*AA48+(1-EXP(-LN(2)/25))/(LN(2)/25)*Calculateur!V49*Calculateur!X49*VLOOKUP('Données projet'!$B$9,Paramètres!$A$1:$I$89,3,0)*0.475*44/12</f>
        <v>12.061723933292789</v>
      </c>
      <c r="AB49" s="21">
        <f>EXP(-LN(2)/2)*AB48+(1-EXP(-LN(2)/2))/(LN(2)/2)*V49*Y49*VLOOKUP('Données projet'!$B$9,Paramètres!$A$1:$I$89,3,0)*0.475*44/12</f>
        <v>5.3908086447541761</v>
      </c>
      <c r="AC49" s="22">
        <f t="shared" si="3"/>
        <v>25.897974859339069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14.689999999999998</v>
      </c>
      <c r="AI49" s="13">
        <f>IF('Données projet'!$A$62&gt;35,AI48+AH49-AQ48,IF(A49&lt;'Données projet'!$A$62,$AF$205^A49,IF(A49='Données projet'!$A$62,'Données projet'!$B$62,AI48+AH49-AQ48)))</f>
        <v>319.87000000000006</v>
      </c>
      <c r="AJ49" s="13">
        <f>AI49*VLOOKUP('Données projet'!$B$10,Paramètres!$A$1:$I$89,3,0)*VLOOKUP('Données projet'!$B$10,Paramètres!$A$1:$I$89,5,0)</f>
        <v>191.28226000000004</v>
      </c>
      <c r="AK49" s="13">
        <f t="shared" si="35"/>
        <v>47.823331262073218</v>
      </c>
      <c r="AL49" s="20">
        <f t="shared" si="4"/>
        <v>416.44223811477758</v>
      </c>
      <c r="AM49" s="59">
        <f t="shared" si="5"/>
        <v>709.7755714481109</v>
      </c>
      <c r="AN49" s="59">
        <f ca="1">AVERAGE(OFFSET($AM$3,0,0,'Données projet'!$E$10+1,1))-AVERAGE(OFFSET($H$3,0,0,'Données projet'!$E$10+1,1))</f>
        <v>251.64326096359997</v>
      </c>
      <c r="AO49" s="59">
        <f t="shared" si="36"/>
        <v>256.72142151189894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41.261981181239292</v>
      </c>
      <c r="AV49" s="21">
        <f>EXP(-LN(2)/25)*AV48+(1-EXP(-LN(2)/25))/(LN(2)/25)*Calculateur!AQ49*Calculateur!AS49*VLOOKUP('Données projet'!$B$10,Paramètres!$A$1:$I$89,3,0)*0.475*44/12</f>
        <v>19.162241501362004</v>
      </c>
      <c r="AW49" s="21">
        <f>EXP(-LN(2)/2)*AW48+(1-EXP(-LN(2)/2))/(LN(2)/2)*AQ49*AT49*VLOOKUP('Données projet'!$B$10,Paramètres!$A$1:$I$89,3,0)*0.475*44/12</f>
        <v>5.647550432128833</v>
      </c>
      <c r="AX49" s="21">
        <f t="shared" si="6"/>
        <v>66.071773114730135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199.29783428981898</v>
      </c>
      <c r="BJ49" s="59">
        <f t="shared" si="38"/>
        <v>237.32002274562547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7.6073505342007897</v>
      </c>
      <c r="BQ49" s="21">
        <f>EXP(-LN(2)/25)*BQ48+(1-EXP(-LN(2)/25))/(LN(2)/25)*Calculateur!BL49*Calculateur!BN49*VLOOKUP('Données projet'!$B$11,Paramètres!$A$1:$I$89,3,0)*0.475*44/12</f>
        <v>43.057724312822515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50.665074847023305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10.001428571428571</v>
      </c>
      <c r="BY49" s="12">
        <f>IF('Données projet'!$A$114&gt;35,BY48+BX49-CG48,IF(A49&lt;'Données projet'!$A$114,$BV$205^A49,IF(A49='Données projet'!$A$114,'Données projet'!$B$114,BY48+BX49-CG48)))</f>
        <v>118.06142857142859</v>
      </c>
      <c r="BZ49" s="13">
        <f>BY49*VLOOKUP('Données projet'!$B$12,Paramètres!$A$1:$I$89,3,0)*VLOOKUP('Données projet'!$B$12,Paramètres!$A$1:$I$89,5,0)</f>
        <v>99.454947428571458</v>
      </c>
      <c r="CA49" s="13">
        <f t="shared" si="39"/>
        <v>26.832105014014029</v>
      </c>
      <c r="CB49" s="20">
        <f t="shared" si="10"/>
        <v>219.94994967083639</v>
      </c>
      <c r="CC49" s="59">
        <f t="shared" si="11"/>
        <v>513.28328300416968</v>
      </c>
      <c r="CD49" s="59">
        <f ca="1">AVERAGE(OFFSET($CC$3,0,0,'Données projet'!$E$12+1,1))-AVERAGE(OFFSET($H$3,0,0,'Données projet'!$E$12+1,1))</f>
        <v>295.59075210589327</v>
      </c>
      <c r="CE49" s="59">
        <f t="shared" si="40"/>
        <v>210.41181542059576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31.233154827386215</v>
      </c>
      <c r="CM49" s="21">
        <f>EXP(-LN(2)/2)*CM48+(1-EXP(-LN(2)/2))/(LN(2)/2)*CG49*CJ49*VLOOKUP('Données projet'!$B$12,Paramètres!$A$1:$I$89,3,0)*0.475*44/12</f>
        <v>5.3972584080257686</v>
      </c>
      <c r="CN49" s="22">
        <f t="shared" si="12"/>
        <v>36.630413235411986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22.8</v>
      </c>
      <c r="CT49" s="12">
        <f>IF('Données projet'!$A$140&gt;35,CT48+CS49-DB48,IF(A49&lt;'Données projet'!$A$140,$CQ$205^A49,IF(A49='Données projet'!$A$140,'Données projet'!$B$140,CT48+CS49-DB48)))</f>
        <v>457.79999999999984</v>
      </c>
      <c r="CU49" s="17">
        <f>CT49*VLOOKUP('Données projet'!$B$13,Paramètres!$A$1:$I$89,3,0)*VLOOKUP('Données projet'!$B$13,Paramètres!$A$1:$I$89,5,0)</f>
        <v>208.29899999999992</v>
      </c>
      <c r="CV49" s="13">
        <f t="shared" si="41"/>
        <v>51.563698639151113</v>
      </c>
      <c r="CW49" s="20">
        <f t="shared" si="13"/>
        <v>452.59420012985476</v>
      </c>
      <c r="CX49" s="59">
        <f t="shared" si="14"/>
        <v>745.92753346318807</v>
      </c>
      <c r="CY49" s="59">
        <f ca="1">AVERAGE(OFFSET($CX$3,0,0,'Données projet'!$E$13+1,1))-AVERAGE(OFFSET($H$3,0,0,'Données projet'!$E$13+1,1))</f>
        <v>338.22448697444298</v>
      </c>
      <c r="CZ49" s="59">
        <f t="shared" si="42"/>
        <v>293.3872365640849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28.656520656091683</v>
      </c>
      <c r="DG49" s="21">
        <f>EXP(-LN(2)/25)*DG48+(1-EXP(-LN(2)/25))/(LN(2)/25)*Calculateur!DB49*Calculateur!DD49*VLOOKUP('Données projet'!$B$13,Paramètres!$A$1:$I$89,3,0)*0.475*44/12</f>
        <v>25.810342071755823</v>
      </c>
      <c r="DH49" s="21">
        <f>EXP(-LN(2)/2)*DH48+(1-EXP(-LN(2)/2))/(LN(2)/2)*DB49*DE49*VLOOKUP('Données projet'!$B$13,Paramètres!$A$1:$I$89,3,0)*0.475*44/12</f>
        <v>6.4608622925103987</v>
      </c>
      <c r="DI49" s="22">
        <f t="shared" si="15"/>
        <v>60.927725020357904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21.970000000000002</v>
      </c>
      <c r="DO49" s="12">
        <f>IF('Données projet'!$A$166&gt;35,DO48+DN49-DW48,IF(A49&lt;'Données projet'!$A$166,$DL$205^A49,IF(A49='Données projet'!$A$166,'Données projet'!$B$166,DO48+DN49-DW48)))</f>
        <v>438.33000000000015</v>
      </c>
      <c r="DP49" s="17">
        <f>DO49*VLOOKUP('Données projet'!$B$14,Paramètres!$A$1:$I$89,3,0)*VLOOKUP('Données projet'!$B$14,Paramètres!$A$1:$I$89,5,0)</f>
        <v>245.02647000000007</v>
      </c>
      <c r="DQ49" s="13">
        <f t="shared" si="43"/>
        <v>59.519691926533838</v>
      </c>
      <c r="DR49" s="20">
        <f t="shared" si="16"/>
        <v>530.41789868871319</v>
      </c>
      <c r="DS49" s="59">
        <f t="shared" si="17"/>
        <v>823.75123202204645</v>
      </c>
      <c r="DT49" s="59">
        <f ca="1">AVERAGE(OFFSET($DS$3,0,0,'Données projet'!$E$14+1,1))-AVERAGE(OFFSET($H$3,0,0,'Données projet'!$E$14+1,1))</f>
        <v>328.15217666639006</v>
      </c>
      <c r="DU49" s="59">
        <f t="shared" si="44"/>
        <v>305.59175773326308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48.523192290150099</v>
      </c>
      <c r="EB49" s="21">
        <f>EXP(-LN(2)/25)*EB48+(1-EXP(-LN(2)/25))/(LN(2)/25)*Calculateur!DW49*Calculateur!DY49*VLOOKUP('Données projet'!$B$14,Paramètres!$A$1:$I$89,3,0)*0.475*44/12</f>
        <v>23.494967247875408</v>
      </c>
      <c r="EC49" s="21">
        <f>EXP(-LN(2)/2)*EC48+(1-EXP(-LN(2)/2))/(LN(2)/2)*DW49*DZ49*VLOOKUP('Données projet'!$B$14,Paramètres!$A$1:$I$89,3,0)*0.475*44/12</f>
        <v>3.4428217682772568</v>
      </c>
      <c r="ED49" s="22">
        <f t="shared" si="18"/>
        <v>75.46098130630277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159.78276497127206</v>
      </c>
      <c r="EP49" s="59">
        <f t="shared" si="46"/>
        <v>190.72163407919857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8.8358939250688504</v>
      </c>
      <c r="EW49" s="21">
        <f>EXP(-LN(2)/25)*EW48+(1-EXP(-LN(2)/25))/(LN(2)/25)*Calculateur!ER49*Calculateur!ET49*VLOOKUP('Données projet'!$B$15,Paramètres!$A$1:$I$89,3,0)*0.475*44/12</f>
        <v>50.011299331157652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58.847193256226504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5.3214035087719296</v>
      </c>
      <c r="FE49" s="12">
        <f>IF('Données projet'!$A$218&gt;35,FE48+FD49-FM48,IF(A49&lt;'Données projet'!$A$218,$FB$205^A49,IF(A49='Données projet'!$A$218,'Données projet'!$B$218,FE48+FD49-FM48)))</f>
        <v>244.784561403509</v>
      </c>
      <c r="FF49" s="17">
        <f>FE49*VLOOKUP('Données projet'!$B$16,Paramètres!$A$1:$I$89,3,0)*VLOOKUP('Données projet'!$B$16,Paramètres!$A$1:$I$89,5,0)</f>
        <v>210.02515368421075</v>
      </c>
      <c r="FG49" s="13">
        <f t="shared" si="47"/>
        <v>51.941082372841706</v>
      </c>
      <c r="FH49" s="20">
        <f t="shared" si="22"/>
        <v>456.2578611326997</v>
      </c>
      <c r="FI49" s="59">
        <f t="shared" si="23"/>
        <v>749.59119446603302</v>
      </c>
      <c r="FJ49" s="59">
        <f ca="1">AVERAGE(OFFSET($FI$3,0,0,'Données projet'!$E$16+1,1))-AVERAGE(OFFSET($H$3,0,0,'Données projet'!$E$16+1,1))</f>
        <v>337.15023592377008</v>
      </c>
      <c r="FK49" s="59">
        <f t="shared" si="48"/>
        <v>286.60608582587099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10.110000000000001</v>
      </c>
      <c r="FZ49" s="12">
        <f>IF('Données projet'!$A$244&gt;35,FZ48+FY49-GH48,IF(A49&lt;'Données projet'!$A$244,$FW$205^A49,IF(A49='Données projet'!$A$244,'Données projet'!$B$244,FZ48+FY49-GH48)))</f>
        <v>167.89000000000016</v>
      </c>
      <c r="GA49" s="17">
        <f>FZ49*VLOOKUP('Données projet'!$B$17,Paramètres!$A$1:$I$89,3,0)*VLOOKUP('Données projet'!$B$17,Paramètres!$A$1:$I$89,5,0)</f>
        <v>151.90687200000013</v>
      </c>
      <c r="GB49" s="13">
        <f t="shared" si="49"/>
        <v>39.011610015763097</v>
      </c>
      <c r="GC49" s="20">
        <f t="shared" si="25"/>
        <v>332.51635617745427</v>
      </c>
      <c r="GD49" s="59">
        <f t="shared" si="26"/>
        <v>625.84968951078758</v>
      </c>
      <c r="GE49" s="59">
        <f ca="1">AVERAGE(OFFSET($GD$3,0,0,'Données projet'!$E$17+1,1))-AVERAGE(OFFSET($H$3,0,0,'Données projet'!$E$17+1,1))</f>
        <v>486.55344536255876</v>
      </c>
      <c r="GF49" s="59">
        <f t="shared" si="50"/>
        <v>231.14794884432229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13.653298388926505</v>
      </c>
      <c r="GN49" s="21">
        <f>EXP(-LN(2)/2)*GN48+(1-EXP(-LN(2)/2))/(LN(2)/2)*GH49*GK49*VLOOKUP('Données projet'!$B$17,Paramètres!$A$1:$I$89,3,0)*0.475*44/12</f>
        <v>1.8999163655214437</v>
      </c>
      <c r="GO49" s="21">
        <f t="shared" si="27"/>
        <v>15.553214754447948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335.00384116517205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17.29</v>
      </c>
      <c r="N50" s="13">
        <f>IF('Données projet'!$A$36&gt;35,N49+M50-V49,IF(A50&lt;'Données projet'!$A$36,$K$205^A50,IF(A50='Données projet'!$A$36,'Données projet'!$B$36,N49+M50-V49)))</f>
        <v>323.82</v>
      </c>
      <c r="O50" s="13">
        <f>N50*VLOOKUP('Données projet'!$B$9,Paramètres!$A$1:$I$89,3,0)*VLOOKUP('Données projet'!$B$9,Paramètres!$A$1:$I$89,5,0)</f>
        <v>151.54776000000001</v>
      </c>
      <c r="P50" s="13">
        <f t="shared" si="33"/>
        <v>38.930109214317461</v>
      </c>
      <c r="Q50" s="20">
        <f t="shared" si="53"/>
        <v>331.74895554826963</v>
      </c>
      <c r="R50" s="59">
        <f t="shared" si="0"/>
        <v>625.08228888160295</v>
      </c>
      <c r="S50" s="59">
        <f ca="1">AVERAGE(OFFSET($R$3,0,0,'Données projet'!$E$9+1,1))-AVERAGE(OFFSET($H$3,0,0,'Données projet'!$E$9+1,1))</f>
        <v>252.08270526008477</v>
      </c>
      <c r="T50" s="59">
        <f t="shared" si="34"/>
        <v>239.77811108960179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8.279832309367114</v>
      </c>
      <c r="AA50" s="21">
        <f>EXP(-LN(2)/25)*AA49+(1-EXP(-LN(2)/25))/(LN(2)/25)*Calculateur!V50*Calculateur!X50*VLOOKUP('Données projet'!$B$9,Paramètres!$A$1:$I$89,3,0)*0.475*44/12</f>
        <v>11.731895458038403</v>
      </c>
      <c r="AB50" s="21">
        <f>EXP(-LN(2)/2)*AB49+(1-EXP(-LN(2)/2))/(LN(2)/2)*V50*Y50*VLOOKUP('Données projet'!$B$9,Paramètres!$A$1:$I$89,3,0)*0.475*44/12</f>
        <v>3.8118773487847402</v>
      </c>
      <c r="AC50" s="22">
        <f t="shared" si="3"/>
        <v>23.823605116190258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14.689999999999998</v>
      </c>
      <c r="AI50" s="13">
        <f>IF('Données projet'!$A$62&gt;35,AI49+AH50-AQ49,IF(A50&lt;'Données projet'!$A$62,$AF$205^A50,IF(A50='Données projet'!$A$62,'Données projet'!$B$62,AI49+AH50-AQ49)))</f>
        <v>334.56000000000006</v>
      </c>
      <c r="AJ50" s="13">
        <f>AI50*VLOOKUP('Données projet'!$B$10,Paramètres!$A$1:$I$89,3,0)*VLOOKUP('Données projet'!$B$10,Paramètres!$A$1:$I$89,5,0)</f>
        <v>200.06688000000005</v>
      </c>
      <c r="AK50" s="13">
        <f t="shared" si="35"/>
        <v>49.758865639104997</v>
      </c>
      <c r="AL50" s="20">
        <f t="shared" si="4"/>
        <v>435.11317365477458</v>
      </c>
      <c r="AM50" s="59">
        <f t="shared" si="5"/>
        <v>728.4465069881079</v>
      </c>
      <c r="AN50" s="59">
        <f ca="1">AVERAGE(OFFSET($AM$3,0,0,'Données projet'!$E$10+1,1))-AVERAGE(OFFSET($H$3,0,0,'Données projet'!$E$10+1,1))</f>
        <v>251.64326096359997</v>
      </c>
      <c r="AO50" s="59">
        <f t="shared" si="36"/>
        <v>256.72142151189894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40.452858897598645</v>
      </c>
      <c r="AV50" s="21">
        <f>EXP(-LN(2)/25)*AV49+(1-EXP(-LN(2)/25))/(LN(2)/25)*Calculateur!AQ50*Calculateur!AS50*VLOOKUP('Données projet'!$B$10,Paramètres!$A$1:$I$89,3,0)*0.475*44/12</f>
        <v>18.638248999808777</v>
      </c>
      <c r="AW50" s="21">
        <f>EXP(-LN(2)/2)*AW49+(1-EXP(-LN(2)/2))/(LN(2)/2)*AQ50*AT50*VLOOKUP('Données projet'!$B$10,Paramètres!$A$1:$I$89,3,0)*0.475*44/12</f>
        <v>3.9934212076513149</v>
      </c>
      <c r="AX50" s="21">
        <f t="shared" si="6"/>
        <v>63.084529105058742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199.29783428981898</v>
      </c>
      <c r="BJ50" s="59">
        <f t="shared" si="38"/>
        <v>237.32002274562547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7.4581750302507732</v>
      </c>
      <c r="BQ50" s="21">
        <f>EXP(-LN(2)/25)*BQ49+(1-EXP(-LN(2)/25))/(LN(2)/25)*Calculateur!BL50*Calculateur!BN50*VLOOKUP('Données projet'!$B$11,Paramètres!$A$1:$I$89,3,0)*0.475*44/12</f>
        <v>41.880308577181069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49.33848360743184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10.001428571428571</v>
      </c>
      <c r="BY50" s="12">
        <f>IF('Données projet'!$A$114&gt;35,BY49+BX50-CG49,IF(A50&lt;'Données projet'!$A$114,$BV$205^A50,IF(A50='Données projet'!$A$114,'Données projet'!$B$114,BY49+BX50-CG49)))</f>
        <v>128.06285714285715</v>
      </c>
      <c r="BZ50" s="13">
        <f>BY50*VLOOKUP('Données projet'!$B$12,Paramètres!$A$1:$I$89,3,0)*VLOOKUP('Données projet'!$B$12,Paramètres!$A$1:$I$89,5,0)</f>
        <v>107.88015085714288</v>
      </c>
      <c r="CA50" s="13">
        <f t="shared" si="39"/>
        <v>28.830967338532943</v>
      </c>
      <c r="CB50" s="20">
        <f t="shared" si="10"/>
        <v>238.10519752413538</v>
      </c>
      <c r="CC50" s="59">
        <f t="shared" si="11"/>
        <v>531.43853085746866</v>
      </c>
      <c r="CD50" s="59">
        <f ca="1">AVERAGE(OFFSET($CC$3,0,0,'Données projet'!$E$12+1,1))-AVERAGE(OFFSET($H$3,0,0,'Données projet'!$E$12+1,1))</f>
        <v>295.59075210589327</v>
      </c>
      <c r="CE50" s="59">
        <f t="shared" si="40"/>
        <v>210.41181542059576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30.379082566151112</v>
      </c>
      <c r="CM50" s="21">
        <f>EXP(-LN(2)/2)*CM49+(1-EXP(-LN(2)/2))/(LN(2)/2)*CG50*CJ50*VLOOKUP('Données projet'!$B$12,Paramètres!$A$1:$I$89,3,0)*0.475*44/12</f>
        <v>3.8164380201311312</v>
      </c>
      <c r="CN50" s="22">
        <f t="shared" si="12"/>
        <v>34.195520586282242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22.8</v>
      </c>
      <c r="CT50" s="12">
        <f>IF('Données projet'!$A$140&gt;35,CT49+CS50-DB49,IF(A50&lt;'Données projet'!$A$140,$CQ$205^A50,IF(A50='Données projet'!$A$140,'Données projet'!$B$140,CT49+CS50-DB49)))</f>
        <v>480.59999999999985</v>
      </c>
      <c r="CU50" s="17">
        <f>CT50*VLOOKUP('Données projet'!$B$13,Paramètres!$A$1:$I$89,3,0)*VLOOKUP('Données projet'!$B$13,Paramètres!$A$1:$I$89,5,0)</f>
        <v>218.67299999999994</v>
      </c>
      <c r="CV50" s="13">
        <f t="shared" si="41"/>
        <v>53.826367349774159</v>
      </c>
      <c r="CW50" s="20">
        <f t="shared" si="13"/>
        <v>474.6030648008566</v>
      </c>
      <c r="CX50" s="59">
        <f t="shared" si="14"/>
        <v>767.93639813418986</v>
      </c>
      <c r="CY50" s="59">
        <f ca="1">AVERAGE(OFFSET($CX$3,0,0,'Données projet'!$E$13+1,1))-AVERAGE(OFFSET($H$3,0,0,'Données projet'!$E$13+1,1))</f>
        <v>338.22448697444298</v>
      </c>
      <c r="CZ50" s="59">
        <f t="shared" si="42"/>
        <v>293.3872365640849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28.094583764777443</v>
      </c>
      <c r="DG50" s="21">
        <f>EXP(-LN(2)/25)*DG49+(1-EXP(-LN(2)/25))/(LN(2)/25)*Calculateur!DB50*Calculateur!DD50*VLOOKUP('Données projet'!$B$13,Paramètres!$A$1:$I$89,3,0)*0.475*44/12</f>
        <v>25.104556910496761</v>
      </c>
      <c r="DH50" s="21">
        <f>EXP(-LN(2)/2)*DH49+(1-EXP(-LN(2)/2))/(LN(2)/2)*DB50*DE50*VLOOKUP('Données projet'!$B$13,Paramètres!$A$1:$I$89,3,0)*0.475*44/12</f>
        <v>4.5685195393465667</v>
      </c>
      <c r="DI50" s="22">
        <f t="shared" si="15"/>
        <v>57.767660214620776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21.970000000000002</v>
      </c>
      <c r="DO50" s="12">
        <f>IF('Données projet'!$A$166&gt;35,DO49+DN50-DW49,IF(A50&lt;'Données projet'!$A$166,$DL$205^A50,IF(A50='Données projet'!$A$166,'Données projet'!$B$166,DO49+DN50-DW49)))</f>
        <v>460.30000000000018</v>
      </c>
      <c r="DP50" s="17">
        <f>DO50*VLOOKUP('Données projet'!$B$14,Paramètres!$A$1:$I$89,3,0)*VLOOKUP('Données projet'!$B$14,Paramètres!$A$1:$I$89,5,0)</f>
        <v>257.30770000000012</v>
      </c>
      <c r="DQ50" s="13">
        <f t="shared" si="43"/>
        <v>62.148141193508692</v>
      </c>
      <c r="DR50" s="20">
        <f t="shared" si="16"/>
        <v>556.38559007869458</v>
      </c>
      <c r="DS50" s="59">
        <f t="shared" si="17"/>
        <v>849.71892341202783</v>
      </c>
      <c r="DT50" s="59">
        <f ca="1">AVERAGE(OFFSET($DS$3,0,0,'Données projet'!$E$14+1,1))-AVERAGE(OFFSET($H$3,0,0,'Données projet'!$E$14+1,1))</f>
        <v>328.15217666639006</v>
      </c>
      <c r="DU50" s="59">
        <f t="shared" si="44"/>
        <v>305.59175773326308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47.571682085565172</v>
      </c>
      <c r="EB50" s="21">
        <f>EXP(-LN(2)/25)*EB49+(1-EXP(-LN(2)/25))/(LN(2)/25)*Calculateur!DW50*Calculateur!DY50*VLOOKUP('Données projet'!$B$14,Paramètres!$A$1:$I$89,3,0)*0.475*44/12</f>
        <v>22.852496132935627</v>
      </c>
      <c r="EC50" s="21">
        <f>EXP(-LN(2)/2)*EC49+(1-EXP(-LN(2)/2))/(LN(2)/2)*DW50*DZ50*VLOOKUP('Données projet'!$B$14,Paramètres!$A$1:$I$89,3,0)*0.475*44/12</f>
        <v>2.4344426187655088</v>
      </c>
      <c r="ED50" s="22">
        <f t="shared" si="18"/>
        <v>72.858620837266301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159.78276497127206</v>
      </c>
      <c r="EP50" s="59">
        <f t="shared" si="46"/>
        <v>190.72163407919857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8.6626274345613883</v>
      </c>
      <c r="EW50" s="21">
        <f>EXP(-LN(2)/25)*EW49+(1-EXP(-LN(2)/25))/(LN(2)/25)*Calculateur!ER50*Calculateur!ET50*VLOOKUP('Données projet'!$B$15,Paramètres!$A$1:$I$89,3,0)*0.475*44/12</f>
        <v>48.643737720967216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57.306365155528603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5.3214035087719296</v>
      </c>
      <c r="FE50" s="12">
        <f>IF('Données projet'!$A$218&gt;35,FE49+FD50-FM49,IF(A50&lt;'Données projet'!$A$218,$FB$205^A50,IF(A50='Données projet'!$A$218,'Données projet'!$B$218,FE49+FD50-FM49)))</f>
        <v>250.10596491228094</v>
      </c>
      <c r="FF50" s="17">
        <f>FE50*VLOOKUP('Données projet'!$B$16,Paramètres!$A$1:$I$89,3,0)*VLOOKUP('Données projet'!$B$16,Paramètres!$A$1:$I$89,5,0)</f>
        <v>214.59091789473709</v>
      </c>
      <c r="FG50" s="13">
        <f t="shared" si="47"/>
        <v>52.937550578929802</v>
      </c>
      <c r="FH50" s="20">
        <f t="shared" si="22"/>
        <v>465.94541592496972</v>
      </c>
      <c r="FI50" s="59">
        <f t="shared" si="23"/>
        <v>759.27874925830304</v>
      </c>
      <c r="FJ50" s="59">
        <f ca="1">AVERAGE(OFFSET($FI$3,0,0,'Données projet'!$E$16+1,1))-AVERAGE(OFFSET($H$3,0,0,'Données projet'!$E$16+1,1))</f>
        <v>337.15023592377008</v>
      </c>
      <c r="FK50" s="59">
        <f t="shared" si="48"/>
        <v>286.60608582587099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10.110000000000001</v>
      </c>
      <c r="FZ50" s="12">
        <f>IF('Données projet'!$A$244&gt;35,FZ49+FY50-GH49,IF(A50&lt;'Données projet'!$A$244,$FW$205^A50,IF(A50='Données projet'!$A$244,'Données projet'!$B$244,FZ49+FY50-GH49)))</f>
        <v>178.00000000000017</v>
      </c>
      <c r="GA50" s="17">
        <f>FZ50*VLOOKUP('Données projet'!$B$17,Paramètres!$A$1:$I$89,3,0)*VLOOKUP('Données projet'!$B$17,Paramètres!$A$1:$I$89,5,0)</f>
        <v>161.05440000000016</v>
      </c>
      <c r="GB50" s="13">
        <f t="shared" si="49"/>
        <v>41.080247278685491</v>
      </c>
      <c r="GC50" s="20">
        <f t="shared" si="25"/>
        <v>352.05117734371078</v>
      </c>
      <c r="GD50" s="59">
        <f t="shared" si="26"/>
        <v>645.38451067704409</v>
      </c>
      <c r="GE50" s="59">
        <f ca="1">AVERAGE(OFFSET($GD$3,0,0,'Données projet'!$E$17+1,1))-AVERAGE(OFFSET($H$3,0,0,'Données projet'!$E$17+1,1))</f>
        <v>486.55344536255876</v>
      </c>
      <c r="GF50" s="59">
        <f t="shared" si="50"/>
        <v>231.14794884432229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13.279948226485553</v>
      </c>
      <c r="GN50" s="21">
        <f>EXP(-LN(2)/2)*GN49+(1-EXP(-LN(2)/2))/(LN(2)/2)*GH50*GK50*VLOOKUP('Données projet'!$B$17,Paramètres!$A$1:$I$89,3,0)*0.475*44/12</f>
        <v>1.3434437457475121</v>
      </c>
      <c r="GO50" s="21">
        <f t="shared" si="27"/>
        <v>14.623391972233065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336.62479856276508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17.29</v>
      </c>
      <c r="N51" s="13">
        <f>IF('Données projet'!$A$36&gt;35,N50+M51-V50,IF(A51&lt;'Données projet'!$A$36,$K$205^A51,IF(A51='Données projet'!$A$36,'Données projet'!$B$36,N50+M51-V50)))</f>
        <v>341.11</v>
      </c>
      <c r="O51" s="13">
        <f>N51*VLOOKUP('Données projet'!$B$9,Paramètres!$A$1:$I$89,3,0)*VLOOKUP('Données projet'!$B$9,Paramètres!$A$1:$I$89,5,0)</f>
        <v>159.63947999999999</v>
      </c>
      <c r="P51" s="13">
        <f t="shared" si="33"/>
        <v>40.761188441662483</v>
      </c>
      <c r="Q51" s="20">
        <f t="shared" si="53"/>
        <v>349.03116420256214</v>
      </c>
      <c r="R51" s="59">
        <f t="shared" si="0"/>
        <v>642.36449753589545</v>
      </c>
      <c r="S51" s="59">
        <f ca="1">AVERAGE(OFFSET($R$3,0,0,'Données projet'!$E$9+1,1))-AVERAGE(OFFSET($H$3,0,0,'Données projet'!$E$9+1,1))</f>
        <v>252.08270526008477</v>
      </c>
      <c r="T51" s="59">
        <f t="shared" si="34"/>
        <v>239.77811108960179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8.1174698479794678</v>
      </c>
      <c r="AA51" s="21">
        <f>EXP(-LN(2)/25)*AA50+(1-EXP(-LN(2)/25))/(LN(2)/25)*Calculateur!V51*Calculateur!X51*VLOOKUP('Données projet'!$B$9,Paramètres!$A$1:$I$89,3,0)*0.475*44/12</f>
        <v>11.411086159784775</v>
      </c>
      <c r="AB51" s="21">
        <f>EXP(-LN(2)/2)*AB50+(1-EXP(-LN(2)/2))/(LN(2)/2)*V51*Y51*VLOOKUP('Données projet'!$B$9,Paramètres!$A$1:$I$89,3,0)*0.475*44/12</f>
        <v>2.6954043223770885</v>
      </c>
      <c r="AC51" s="22">
        <f t="shared" si="3"/>
        <v>22.223960330141331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14.689999999999998</v>
      </c>
      <c r="AI51" s="13">
        <f>IF('Données projet'!$A$62&gt;35,AI50+AH51-AQ50,IF(A51&lt;'Données projet'!$A$62,$AF$205^A51,IF(A51='Données projet'!$A$62,'Données projet'!$B$62,AI50+AH51-AQ50)))</f>
        <v>349.25000000000006</v>
      </c>
      <c r="AJ51" s="13">
        <f>AI51*VLOOKUP('Données projet'!$B$10,Paramètres!$A$1:$I$89,3,0)*VLOOKUP('Données projet'!$B$10,Paramètres!$A$1:$I$89,5,0)</f>
        <v>208.85150000000004</v>
      </c>
      <c r="AK51" s="13">
        <f t="shared" si="35"/>
        <v>51.684529504057373</v>
      </c>
      <c r="AL51" s="20">
        <f t="shared" si="4"/>
        <v>453.76691805289994</v>
      </c>
      <c r="AM51" s="59">
        <f t="shared" si="5"/>
        <v>747.10025138623325</v>
      </c>
      <c r="AN51" s="59">
        <f ca="1">AVERAGE(OFFSET($AM$3,0,0,'Données projet'!$E$10+1,1))-AVERAGE(OFFSET($H$3,0,0,'Données projet'!$E$10+1,1))</f>
        <v>251.64326096359997</v>
      </c>
      <c r="AO51" s="59">
        <f t="shared" si="36"/>
        <v>256.72142151189894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39.659603008424327</v>
      </c>
      <c r="AV51" s="21">
        <f>EXP(-LN(2)/25)*AV50+(1-EXP(-LN(2)/25))/(LN(2)/25)*Calculateur!AQ51*Calculateur!AS51*VLOOKUP('Données projet'!$B$10,Paramètres!$A$1:$I$89,3,0)*0.475*44/12</f>
        <v>18.128585100766088</v>
      </c>
      <c r="AW51" s="21">
        <f>EXP(-LN(2)/2)*AW50+(1-EXP(-LN(2)/2))/(LN(2)/2)*AQ51*AT51*VLOOKUP('Données projet'!$B$10,Paramètres!$A$1:$I$89,3,0)*0.475*44/12</f>
        <v>2.8237752160644169</v>
      </c>
      <c r="AX51" s="21">
        <f t="shared" si="6"/>
        <v>60.611963325254834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199.29783428981898</v>
      </c>
      <c r="BJ51" s="59">
        <f t="shared" si="38"/>
        <v>237.32002274562547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7.3119247669451441</v>
      </c>
      <c r="BQ51" s="21">
        <f>EXP(-LN(2)/25)*BQ50+(1-EXP(-LN(2)/25))/(LN(2)/25)*Calculateur!BL51*Calculateur!BN51*VLOOKUP('Données projet'!$B$11,Paramètres!$A$1:$I$89,3,0)*0.475*44/12</f>
        <v>40.735089336748345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48.047014103693492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10.001428571428571</v>
      </c>
      <c r="BY51" s="12">
        <f>IF('Données projet'!$A$114&gt;35,BY50+BX51-CG50,IF(A51&lt;'Données projet'!$A$114,$BV$205^A51,IF(A51='Données projet'!$A$114,'Données projet'!$B$114,BY50+BX51-CG50)))</f>
        <v>138.06428571428572</v>
      </c>
      <c r="BZ51" s="13">
        <f>BY51*VLOOKUP('Données projet'!$B$12,Paramètres!$A$1:$I$89,3,0)*VLOOKUP('Données projet'!$B$12,Paramètres!$A$1:$I$89,5,0)</f>
        <v>116.3053542857143</v>
      </c>
      <c r="CA51" s="13">
        <f t="shared" si="39"/>
        <v>30.811721758095928</v>
      </c>
      <c r="CB51" s="20">
        <f t="shared" si="10"/>
        <v>256.2289074429695</v>
      </c>
      <c r="CC51" s="59">
        <f t="shared" si="11"/>
        <v>549.56224077630281</v>
      </c>
      <c r="CD51" s="59">
        <f ca="1">AVERAGE(OFFSET($CC$3,0,0,'Données projet'!$E$12+1,1))-AVERAGE(OFFSET($H$3,0,0,'Données projet'!$E$12+1,1))</f>
        <v>295.59075210589327</v>
      </c>
      <c r="CE51" s="59">
        <f t="shared" si="40"/>
        <v>210.41181542059576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29.548364955813192</v>
      </c>
      <c r="CM51" s="21">
        <f>EXP(-LN(2)/2)*CM50+(1-EXP(-LN(2)/2))/(LN(2)/2)*CG51*CJ51*VLOOKUP('Données projet'!$B$12,Paramètres!$A$1:$I$89,3,0)*0.475*44/12</f>
        <v>2.6986292040128848</v>
      </c>
      <c r="CN51" s="22">
        <f t="shared" si="12"/>
        <v>32.246994159826073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22.8</v>
      </c>
      <c r="CT51" s="12">
        <f>IF('Données projet'!$A$140&gt;35,CT50+CS51-DB50,IF(A51&lt;'Données projet'!$A$140,$CQ$205^A51,IF(A51='Données projet'!$A$140,'Données projet'!$B$140,CT50+CS51-DB50)))</f>
        <v>503.39999999999986</v>
      </c>
      <c r="CU51" s="17">
        <f>CT51*VLOOKUP('Données projet'!$B$13,Paramètres!$A$1:$I$89,3,0)*VLOOKUP('Données projet'!$B$13,Paramètres!$A$1:$I$89,5,0)</f>
        <v>229.04699999999994</v>
      </c>
      <c r="CV51" s="13">
        <f t="shared" si="41"/>
        <v>56.076570881536831</v>
      </c>
      <c r="CW51" s="20">
        <f t="shared" si="13"/>
        <v>496.59021928534315</v>
      </c>
      <c r="CX51" s="59">
        <f t="shared" si="14"/>
        <v>789.92355261867647</v>
      </c>
      <c r="CY51" s="59">
        <f ca="1">AVERAGE(OFFSET($CX$3,0,0,'Données projet'!$E$13+1,1))-AVERAGE(OFFSET($H$3,0,0,'Données projet'!$E$13+1,1))</f>
        <v>338.22448697444298</v>
      </c>
      <c r="CZ51" s="59">
        <f t="shared" si="42"/>
        <v>293.3872365640849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27.543666113154213</v>
      </c>
      <c r="DG51" s="21">
        <f>EXP(-LN(2)/25)*DG50+(1-EXP(-LN(2)/25))/(LN(2)/25)*Calculateur!DB51*Calculateur!DD51*VLOOKUP('Données projet'!$B$13,Paramètres!$A$1:$I$89,3,0)*0.475*44/12</f>
        <v>24.418071481587958</v>
      </c>
      <c r="DH51" s="21">
        <f>EXP(-LN(2)/2)*DH50+(1-EXP(-LN(2)/2))/(LN(2)/2)*DB51*DE51*VLOOKUP('Données projet'!$B$13,Paramètres!$A$1:$I$89,3,0)*0.475*44/12</f>
        <v>3.2304311462551998</v>
      </c>
      <c r="DI51" s="22">
        <f t="shared" si="15"/>
        <v>55.192168740997374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21.970000000000002</v>
      </c>
      <c r="DO51" s="12">
        <f>IF('Données projet'!$A$166&gt;35,DO50+DN51-DW50,IF(A51&lt;'Données projet'!$A$166,$DL$205^A51,IF(A51='Données projet'!$A$166,'Données projet'!$B$166,DO50+DN51-DW50)))</f>
        <v>482.27000000000021</v>
      </c>
      <c r="DP51" s="17">
        <f>DO51*VLOOKUP('Données projet'!$B$14,Paramètres!$A$1:$I$89,3,0)*VLOOKUP('Données projet'!$B$14,Paramètres!$A$1:$I$89,5,0)</f>
        <v>269.58893000000012</v>
      </c>
      <c r="DQ51" s="13">
        <f t="shared" si="43"/>
        <v>64.762022124596854</v>
      </c>
      <c r="DR51" s="20">
        <f t="shared" si="16"/>
        <v>582.32790828367308</v>
      </c>
      <c r="DS51" s="59">
        <f t="shared" si="17"/>
        <v>875.66124161700645</v>
      </c>
      <c r="DT51" s="59">
        <f ca="1">AVERAGE(OFFSET($DS$3,0,0,'Données projet'!$E$14+1,1))-AVERAGE(OFFSET($H$3,0,0,'Données projet'!$E$14+1,1))</f>
        <v>328.15217666639006</v>
      </c>
      <c r="DU51" s="59">
        <f t="shared" si="44"/>
        <v>305.59175773326308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46.638830415728229</v>
      </c>
      <c r="EB51" s="21">
        <f>EXP(-LN(2)/25)*EB50+(1-EXP(-LN(2)/25))/(LN(2)/25)*Calculateur!DW51*Calculateur!DY51*VLOOKUP('Données projet'!$B$14,Paramètres!$A$1:$I$89,3,0)*0.475*44/12</f>
        <v>22.227593424419961</v>
      </c>
      <c r="EC51" s="21">
        <f>EXP(-LN(2)/2)*EC50+(1-EXP(-LN(2)/2))/(LN(2)/2)*DW51*DZ51*VLOOKUP('Données projet'!$B$14,Paramètres!$A$1:$I$89,3,0)*0.475*44/12</f>
        <v>1.7214108841386284</v>
      </c>
      <c r="ED51" s="22">
        <f t="shared" si="18"/>
        <v>70.587834724286822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159.78276497127206</v>
      </c>
      <c r="EP51" s="59">
        <f t="shared" si="46"/>
        <v>190.72163407919857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8.4927585942506543</v>
      </c>
      <c r="EW51" s="21">
        <f>EXP(-LN(2)/25)*EW50+(1-EXP(-LN(2)/25))/(LN(2)/25)*Calculateur!ER51*Calculateur!ET51*VLOOKUP('Données projet'!$B$15,Paramètres!$A$1:$I$89,3,0)*0.475*44/12</f>
        <v>47.31357215492438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55.806330749175032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5.3214035087719296</v>
      </c>
      <c r="FE51" s="12">
        <f>IF('Données projet'!$A$218&gt;35,FE50+FD51-FM50,IF(A51&lt;'Données projet'!$A$218,$FB$205^A51,IF(A51='Données projet'!$A$218,'Données projet'!$B$218,FE50+FD51-FM50)))</f>
        <v>255.42736842105288</v>
      </c>
      <c r="FF51" s="17">
        <f>FE51*VLOOKUP('Données projet'!$B$16,Paramètres!$A$1:$I$89,3,0)*VLOOKUP('Données projet'!$B$16,Paramètres!$A$1:$I$89,5,0)</f>
        <v>219.1566821052634</v>
      </c>
      <c r="FG51" s="13">
        <f t="shared" si="47"/>
        <v>53.931553792926763</v>
      </c>
      <c r="FH51" s="20">
        <f t="shared" si="22"/>
        <v>475.62867752268113</v>
      </c>
      <c r="FI51" s="59">
        <f t="shared" si="23"/>
        <v>768.96201085601444</v>
      </c>
      <c r="FJ51" s="59">
        <f ca="1">AVERAGE(OFFSET($FI$3,0,0,'Données projet'!$E$16+1,1))-AVERAGE(OFFSET($H$3,0,0,'Données projet'!$E$16+1,1))</f>
        <v>337.15023592377008</v>
      </c>
      <c r="FK51" s="59">
        <f t="shared" si="48"/>
        <v>286.60608582587099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10.110000000000001</v>
      </c>
      <c r="FZ51" s="12">
        <f>IF('Données projet'!$A$244&gt;35,FZ50+FY51-GH50,IF(A51&lt;'Données projet'!$A$244,$FW$205^A51,IF(A51='Données projet'!$A$244,'Données projet'!$B$244,FZ50+FY51-GH50)))</f>
        <v>188.11000000000018</v>
      </c>
      <c r="GA51" s="17">
        <f>FZ51*VLOOKUP('Données projet'!$B$17,Paramètres!$A$1:$I$89,3,0)*VLOOKUP('Données projet'!$B$17,Paramètres!$A$1:$I$89,5,0)</f>
        <v>170.20192800000018</v>
      </c>
      <c r="GB51" s="13">
        <f t="shared" si="49"/>
        <v>43.135245614983553</v>
      </c>
      <c r="GC51" s="20">
        <f t="shared" si="25"/>
        <v>371.56224404609662</v>
      </c>
      <c r="GD51" s="59">
        <f t="shared" si="26"/>
        <v>664.89557737942994</v>
      </c>
      <c r="GE51" s="59">
        <f ca="1">AVERAGE(OFFSET($GD$3,0,0,'Données projet'!$E$17+1,1))-AVERAGE(OFFSET($H$3,0,0,'Données projet'!$E$17+1,1))</f>
        <v>486.55344536255876</v>
      </c>
      <c r="GF51" s="59">
        <f t="shared" si="50"/>
        <v>231.14794884432229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12.916807343870181</v>
      </c>
      <c r="GN51" s="21">
        <f>EXP(-LN(2)/2)*GN50+(1-EXP(-LN(2)/2))/(LN(2)/2)*GH51*GK51*VLOOKUP('Données projet'!$B$17,Paramètres!$A$1:$I$89,3,0)*0.475*44/12</f>
        <v>0.94995818276072186</v>
      </c>
      <c r="GO51" s="21">
        <f t="shared" si="27"/>
        <v>13.866765526630903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338.24492278626627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17.29</v>
      </c>
      <c r="N52" s="13">
        <f>IF('Données projet'!$A$36&gt;35,N51+M52-V51,IF(A52&lt;'Données projet'!$A$36,$K$205^A52,IF(A52='Données projet'!$A$36,'Données projet'!$B$36,N51+M52-V51)))</f>
        <v>358.40000000000003</v>
      </c>
      <c r="O52" s="13">
        <f>N52*VLOOKUP('Données projet'!$B$9,Paramètres!$A$1:$I$89,3,0)*VLOOKUP('Données projet'!$B$9,Paramètres!$A$1:$I$89,5,0)</f>
        <v>167.7312</v>
      </c>
      <c r="P52" s="13">
        <f t="shared" si="33"/>
        <v>42.581491199832655</v>
      </c>
      <c r="Q52" s="20">
        <f t="shared" si="53"/>
        <v>366.29460383970854</v>
      </c>
      <c r="R52" s="59">
        <f t="shared" si="0"/>
        <v>659.6279371730418</v>
      </c>
      <c r="S52" s="59">
        <f ca="1">AVERAGE(OFFSET($R$3,0,0,'Données projet'!$E$9+1,1))-AVERAGE(OFFSET($H$3,0,0,'Données projet'!$E$9+1,1))</f>
        <v>252.08270526008477</v>
      </c>
      <c r="T52" s="59">
        <f t="shared" si="34"/>
        <v>239.77811108960179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7.9582912154283107</v>
      </c>
      <c r="AA52" s="21">
        <f>EXP(-LN(2)/25)*AA51+(1-EXP(-LN(2)/25))/(LN(2)/25)*Calculateur!V52*Calculateur!X52*VLOOKUP('Données projet'!$B$9,Paramètres!$A$1:$I$89,3,0)*0.475*44/12</f>
        <v>11.09904940866252</v>
      </c>
      <c r="AB52" s="21">
        <f>EXP(-LN(2)/2)*AB51+(1-EXP(-LN(2)/2))/(LN(2)/2)*V52*Y52*VLOOKUP('Données projet'!$B$9,Paramètres!$A$1:$I$89,3,0)*0.475*44/12</f>
        <v>1.9059386743923705</v>
      </c>
      <c r="AC52" s="22">
        <f t="shared" si="3"/>
        <v>20.963279298483201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14.689999999999998</v>
      </c>
      <c r="AI52" s="13">
        <f>IF('Données projet'!$A$62&gt;35,AI51+AH52-AQ51,IF(A52&lt;'Données projet'!$A$62,$AF$205^A52,IF(A52='Données projet'!$A$62,'Données projet'!$B$62,AI51+AH52-AQ51)))</f>
        <v>363.94000000000005</v>
      </c>
      <c r="AJ52" s="13">
        <f>AI52*VLOOKUP('Données projet'!$B$10,Paramètres!$A$1:$I$89,3,0)*VLOOKUP('Données projet'!$B$10,Paramètres!$A$1:$I$89,5,0)</f>
        <v>217.63612000000003</v>
      </c>
      <c r="AK52" s="13">
        <f t="shared" si="35"/>
        <v>53.600785497261654</v>
      </c>
      <c r="AL52" s="20">
        <f t="shared" si="4"/>
        <v>472.40427707439738</v>
      </c>
      <c r="AM52" s="59">
        <f t="shared" si="5"/>
        <v>765.7376104077307</v>
      </c>
      <c r="AN52" s="59">
        <f ca="1">AVERAGE(OFFSET($AM$3,0,0,'Données projet'!$E$10+1,1))-AVERAGE(OFFSET($H$3,0,0,'Données projet'!$E$10+1,1))</f>
        <v>251.64326096359997</v>
      </c>
      <c r="AO52" s="59">
        <f t="shared" si="36"/>
        <v>256.72142151189894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38.881902383398398</v>
      </c>
      <c r="AV52" s="21">
        <f>EXP(-LN(2)/25)*AV51+(1-EXP(-LN(2)/25))/(LN(2)/25)*Calculateur!AQ52*Calculateur!AS52*VLOOKUP('Données projet'!$B$10,Paramètres!$A$1:$I$89,3,0)*0.475*44/12</f>
        <v>17.632857987844783</v>
      </c>
      <c r="AW52" s="21">
        <f>EXP(-LN(2)/2)*AW51+(1-EXP(-LN(2)/2))/(LN(2)/2)*AQ52*AT52*VLOOKUP('Données projet'!$B$10,Paramètres!$A$1:$I$89,3,0)*0.475*44/12</f>
        <v>1.9967106038256577</v>
      </c>
      <c r="AX52" s="21">
        <f t="shared" si="6"/>
        <v>58.511470975068839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199.29783428981898</v>
      </c>
      <c r="BJ52" s="59">
        <f t="shared" si="38"/>
        <v>237.32002274562547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7.1685423820990861</v>
      </c>
      <c r="BQ52" s="21">
        <f>EXP(-LN(2)/25)*BQ51+(1-EXP(-LN(2)/25))/(LN(2)/25)*Calculateur!BL52*Calculateur!BN52*VLOOKUP('Données projet'!$B$11,Paramètres!$A$1:$I$89,3,0)*0.475*44/12</f>
        <v>39.621186176669717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46.7897285587688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10.001428571428571</v>
      </c>
      <c r="BY52" s="12">
        <f>IF('Données projet'!$A$114&gt;35,BY51+BX52-CG51,IF(A52&lt;'Données projet'!$A$114,$BV$205^A52,IF(A52='Données projet'!$A$114,'Données projet'!$B$114,BY51+BX52-CG51)))</f>
        <v>148.06571428571428</v>
      </c>
      <c r="BZ52" s="13">
        <f>BY52*VLOOKUP('Données projet'!$B$12,Paramètres!$A$1:$I$89,3,0)*VLOOKUP('Données projet'!$B$12,Paramètres!$A$1:$I$89,5,0)</f>
        <v>124.73055771428572</v>
      </c>
      <c r="CA52" s="13">
        <f t="shared" si="39"/>
        <v>32.775829194761329</v>
      </c>
      <c r="CB52" s="20">
        <f t="shared" si="10"/>
        <v>274.32362386659025</v>
      </c>
      <c r="CC52" s="59">
        <f t="shared" si="11"/>
        <v>567.65695719992357</v>
      </c>
      <c r="CD52" s="59">
        <f ca="1">AVERAGE(OFFSET($CC$3,0,0,'Données projet'!$E$12+1,1))-AVERAGE(OFFSET($H$3,0,0,'Données projet'!$E$12+1,1))</f>
        <v>295.59075210589327</v>
      </c>
      <c r="CE52" s="59">
        <f t="shared" si="40"/>
        <v>210.41181542059576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28.740363362215501</v>
      </c>
      <c r="CM52" s="21">
        <f>EXP(-LN(2)/2)*CM51+(1-EXP(-LN(2)/2))/(LN(2)/2)*CG52*CJ52*VLOOKUP('Données projet'!$B$12,Paramètres!$A$1:$I$89,3,0)*0.475*44/12</f>
        <v>1.908219010065566</v>
      </c>
      <c r="CN52" s="22">
        <f t="shared" si="12"/>
        <v>30.648582372281066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22.8</v>
      </c>
      <c r="CT52" s="12">
        <f>IF('Données projet'!$A$140&gt;35,CT51+CS52-DB51,IF(A52&lt;'Données projet'!$A$140,$CQ$205^A52,IF(A52='Données projet'!$A$140,'Données projet'!$B$140,CT51+CS52-DB51)))</f>
        <v>526.19999999999982</v>
      </c>
      <c r="CU52" s="17">
        <f>CT52*VLOOKUP('Données projet'!$B$13,Paramètres!$A$1:$I$89,3,0)*VLOOKUP('Données projet'!$B$13,Paramètres!$A$1:$I$89,5,0)</f>
        <v>239.42099999999991</v>
      </c>
      <c r="CV52" s="13">
        <f t="shared" si="41"/>
        <v>58.31493830473724</v>
      </c>
      <c r="CW52" s="20">
        <f t="shared" si="13"/>
        <v>518.55675921408385</v>
      </c>
      <c r="CX52" s="59">
        <f t="shared" si="14"/>
        <v>811.89009254741723</v>
      </c>
      <c r="CY52" s="59">
        <f ca="1">AVERAGE(OFFSET($CX$3,0,0,'Données projet'!$E$13+1,1))-AVERAGE(OFFSET($H$3,0,0,'Données projet'!$E$13+1,1))</f>
        <v>338.22448697444298</v>
      </c>
      <c r="CZ52" s="59">
        <f t="shared" si="42"/>
        <v>293.3872365640849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27.003551620652729</v>
      </c>
      <c r="DG52" s="21">
        <f>EXP(-LN(2)/25)*DG51+(1-EXP(-LN(2)/25))/(LN(2)/25)*Calculateur!DB52*Calculateur!DD52*VLOOKUP('Données projet'!$B$13,Paramètres!$A$1:$I$89,3,0)*0.475*44/12</f>
        <v>23.750358032833365</v>
      </c>
      <c r="DH52" s="21">
        <f>EXP(-LN(2)/2)*DH51+(1-EXP(-LN(2)/2))/(LN(2)/2)*DB52*DE52*VLOOKUP('Données projet'!$B$13,Paramètres!$A$1:$I$89,3,0)*0.475*44/12</f>
        <v>2.2842597696732838</v>
      </c>
      <c r="DI52" s="22">
        <f t="shared" si="15"/>
        <v>53.038169423159374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>
        <f>VLOOKUP(A52,'Données projet'!$A$165:$I$185,2,0)</f>
        <v>504.24</v>
      </c>
      <c r="DM52" s="12">
        <f>VLOOKUP(A52,'Données projet'!$A$165:$I$185,9,0)</f>
        <v>21.970000000000002</v>
      </c>
      <c r="DN52" s="12">
        <f t="array" ref="DN52">INDEX(DM:DM,MIN(IF(ISNUMBER(DM52:DM248),ROW(DM52:DM248),"")))</f>
        <v>21.970000000000002</v>
      </c>
      <c r="DO52" s="12">
        <f>IF('Données projet'!$A$166&gt;35,DO51+DN52-DW51,IF(A52&lt;'Données projet'!$A$166,$DL$205^A52,IF(A52='Données projet'!$A$166,'Données projet'!$B$166,DO51+DN52-DW51)))</f>
        <v>504.24000000000024</v>
      </c>
      <c r="DP52" s="17">
        <f>DO52*VLOOKUP('Données projet'!$B$14,Paramètres!$A$1:$I$89,3,0)*VLOOKUP('Données projet'!$B$14,Paramètres!$A$1:$I$89,5,0)</f>
        <v>281.87016000000011</v>
      </c>
      <c r="DQ52" s="13">
        <f t="shared" si="43"/>
        <v>67.362074198579379</v>
      </c>
      <c r="DR52" s="20">
        <f t="shared" si="16"/>
        <v>608.24614122919252</v>
      </c>
      <c r="DS52" s="59">
        <f t="shared" si="17"/>
        <v>901.57947456252577</v>
      </c>
      <c r="DT52" s="59">
        <f ca="1">AVERAGE(OFFSET($DS$3,0,0,'Données projet'!$E$14+1,1))-AVERAGE(OFFSET($H$3,0,0,'Données projet'!$E$14+1,1))</f>
        <v>328.15217666639006</v>
      </c>
      <c r="DU52" s="59">
        <f t="shared" si="44"/>
        <v>305.59175773326308</v>
      </c>
      <c r="DV52" s="15">
        <f>IF(ISNA(VLOOKUP(A52,'Données projet'!$A$165:$I$185,3,0)),0,VLOOKUP(A52,'Données projet'!$A$165:$I$185,3,0))</f>
        <v>5</v>
      </c>
      <c r="DW52" s="15">
        <f>IF(ISNA(VLOOKUP(A52,'Données projet'!$A$165:$I$185,4,0)),0,VLOOKUP(A52,'Données projet'!$A$165:$I$185,4,0))</f>
        <v>112.69999999999999</v>
      </c>
      <c r="DX52" s="16">
        <f>IF(ISNA(VLOOKUP(A52,'Données projet'!$A$165:$I$185,5,0)),0%,VLOOKUP(A52,'Données projet'!$A$165:$I$185,5,0)*VLOOKUP('Données projet'!$B$14,Paramètres!$A$1:$I$89,7,0))</f>
        <v>0.33</v>
      </c>
      <c r="DY52" s="16">
        <f>IF(ISNA(VLOOKUP(A52,'Données projet'!$A$165:$I$185,6,0)),0%,VLOOKUP(A52,'Données projet'!$A$165:$I$185,6,0)*VLOOKUP('Données projet'!$B$14,Paramètres!$A$1:$I$89,7,0))</f>
        <v>0.11000000000000001</v>
      </c>
      <c r="DZ52" s="16">
        <f>IF(ISNA(VLOOKUP(A52,'Données projet'!$A$165:$I$185,7,0)),0%,VLOOKUP(A52,'Données projet'!$A$165:$I$185,7,0))</f>
        <v>0.2</v>
      </c>
      <c r="EA52" s="21">
        <f>EXP(-LN(2)/35)*EA51+(1-EXP(-LN(2)/35))/(LN(2)/35)*DW52*DX52*VLOOKUP('Données projet'!$B$14,Paramètres!$A$1:$I$89,3,0)*0.475*44/12</f>
        <v>73.303239990352296</v>
      </c>
      <c r="EB52" s="21">
        <f>EXP(-LN(2)/25)*EB51+(1-EXP(-LN(2)/25))/(LN(2)/25)*Calculateur!DW52*Calculateur!DY52*VLOOKUP('Données projet'!$B$14,Paramètres!$A$1:$I$89,3,0)*0.475*44/12</f>
        <v>30.776571941477684</v>
      </c>
      <c r="EC52" s="21">
        <f>EXP(-LN(2)/2)*EC51+(1-EXP(-LN(2)/2))/(LN(2)/2)*DW52*DZ52*VLOOKUP('Données projet'!$B$14,Paramètres!$A$1:$I$89,3,0)*0.475*44/12</f>
        <v>15.483189745694569</v>
      </c>
      <c r="ED52" s="22">
        <f t="shared" si="18"/>
        <v>119.56300167752455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159.78276497127206</v>
      </c>
      <c r="EP52" s="59">
        <f t="shared" si="46"/>
        <v>190.72163407919857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8.3262207782886524</v>
      </c>
      <c r="EW52" s="21">
        <f>EXP(-LN(2)/25)*EW51+(1-EXP(-LN(2)/25))/(LN(2)/25)*Calculateur!ER52*Calculateur!ET52*VLOOKUP('Données projet'!$B$15,Paramètres!$A$1:$I$89,3,0)*0.475*44/12</f>
        <v>46.019780036235346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54.346000814523997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5.3214035087719296</v>
      </c>
      <c r="FE52" s="12">
        <f>IF('Données projet'!$A$218&gt;35,FE51+FD52-FM51,IF(A52&lt;'Données projet'!$A$218,$FB$205^A52,IF(A52='Données projet'!$A$218,'Données projet'!$B$218,FE51+FD52-FM51)))</f>
        <v>260.74877192982478</v>
      </c>
      <c r="FF52" s="17">
        <f>FE52*VLOOKUP('Données projet'!$B$16,Paramètres!$A$1:$I$89,3,0)*VLOOKUP('Données projet'!$B$16,Paramètres!$A$1:$I$89,5,0)</f>
        <v>223.72244631578971</v>
      </c>
      <c r="FG52" s="13">
        <f t="shared" si="47"/>
        <v>54.923149285346454</v>
      </c>
      <c r="FH52" s="20">
        <f t="shared" si="22"/>
        <v>485.30774567197881</v>
      </c>
      <c r="FI52" s="59">
        <f t="shared" si="23"/>
        <v>778.64107900531212</v>
      </c>
      <c r="FJ52" s="59">
        <f ca="1">AVERAGE(OFFSET($FI$3,0,0,'Données projet'!$E$16+1,1))-AVERAGE(OFFSET($H$3,0,0,'Données projet'!$E$16+1,1))</f>
        <v>337.15023592377008</v>
      </c>
      <c r="FK52" s="59">
        <f t="shared" si="48"/>
        <v>286.60608582587099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10.110000000000001</v>
      </c>
      <c r="FZ52" s="12">
        <f>IF('Données projet'!$A$244&gt;35,FZ51+FY52-GH51,IF(A52&lt;'Données projet'!$A$244,$FW$205^A52,IF(A52='Données projet'!$A$244,'Données projet'!$B$244,FZ51+FY52-GH51)))</f>
        <v>198.2200000000002</v>
      </c>
      <c r="GA52" s="17">
        <f>FZ52*VLOOKUP('Données projet'!$B$17,Paramètres!$A$1:$I$89,3,0)*VLOOKUP('Données projet'!$B$17,Paramètres!$A$1:$I$89,5,0)</f>
        <v>179.34945600000017</v>
      </c>
      <c r="GB52" s="13">
        <f t="shared" si="49"/>
        <v>45.177421627371096</v>
      </c>
      <c r="GC52" s="20">
        <f t="shared" si="25"/>
        <v>391.0509785343383</v>
      </c>
      <c r="GD52" s="59">
        <f t="shared" si="26"/>
        <v>684.38431186767161</v>
      </c>
      <c r="GE52" s="59">
        <f ca="1">AVERAGE(OFFSET($GD$3,0,0,'Données projet'!$E$17+1,1))-AVERAGE(OFFSET($H$3,0,0,'Données projet'!$E$17+1,1))</f>
        <v>486.55344536255876</v>
      </c>
      <c r="GF52" s="59">
        <f t="shared" si="50"/>
        <v>231.14794884432229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12.563596567786675</v>
      </c>
      <c r="GN52" s="21">
        <f>EXP(-LN(2)/2)*GN51+(1-EXP(-LN(2)/2))/(LN(2)/2)*GH52*GK52*VLOOKUP('Données projet'!$B$17,Paramètres!$A$1:$I$89,3,0)*0.475*44/12</f>
        <v>0.67172187287375607</v>
      </c>
      <c r="GO52" s="21">
        <f t="shared" si="27"/>
        <v>13.23531844066043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339.8642327985703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375.69</v>
      </c>
      <c r="L53" s="12">
        <f>VLOOKUP(A53,'Données projet'!$A$35:$I$55,9,0)</f>
        <v>17.29</v>
      </c>
      <c r="M53" s="12">
        <f t="array" ref="M53">INDEX(L:L,MIN(IF(ISNUMBER(L53:L249),ROW(L53:L249),"")))</f>
        <v>17.29</v>
      </c>
      <c r="N53" s="13">
        <f>IF('Données projet'!$A$36&gt;35,N52+M53-V52,IF(A53&lt;'Données projet'!$A$36,$K$205^A53,IF(A53='Données projet'!$A$36,'Données projet'!$B$36,N52+M53-V52)))</f>
        <v>375.69000000000005</v>
      </c>
      <c r="O53" s="13">
        <f>N53*VLOOKUP('Données projet'!$B$9,Paramètres!$A$1:$I$89,3,0)*VLOOKUP('Données projet'!$B$9,Paramètres!$A$1:$I$89,5,0)</f>
        <v>175.82292000000001</v>
      </c>
      <c r="P53" s="13">
        <f t="shared" si="33"/>
        <v>44.391596716593277</v>
      </c>
      <c r="Q53" s="20">
        <f t="shared" si="53"/>
        <v>383.54028328139998</v>
      </c>
      <c r="R53" s="59">
        <f t="shared" si="0"/>
        <v>676.87361661473324</v>
      </c>
      <c r="S53" s="59">
        <f ca="1">AVERAGE(OFFSET($R$3,0,0,'Données projet'!$E$9+1,1))-AVERAGE(OFFSET($H$3,0,0,'Données projet'!$E$9+1,1))</f>
        <v>252.08270526008477</v>
      </c>
      <c r="T53" s="59">
        <f t="shared" si="34"/>
        <v>239.77811108960179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108.07</v>
      </c>
      <c r="W53" s="16">
        <f>IF(ISNA(VLOOKUP(A53,'Données projet'!$A$35:$I$55,5,0)),0%,VLOOKUP(A53,'Données projet'!$A$35:$I$55,5,0)*VLOOKUP('Données projet'!$B$9,Paramètres!$A$1:$I$89,7,0))</f>
        <v>0.33</v>
      </c>
      <c r="X53" s="16">
        <f>IF(ISNA(VLOOKUP(A53,'Données projet'!$A$35:$I$55,6,0)),0%,VLOOKUP(A53,'Données projet'!$A$35:$I$55,6,0)*VLOOKUP('Données projet'!$B$9,Paramètres!$A$1:$I$89,7,0))</f>
        <v>0.11000000000000001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29.943033567579882</v>
      </c>
      <c r="AA53" s="21">
        <f>EXP(-LN(2)/25)*AA52+(1-EXP(-LN(2)/25))/(LN(2)/25)*Calculateur!V53*Calculateur!X53*VLOOKUP('Données projet'!$B$9,Paramètres!$A$1:$I$89,3,0)*0.475*44/12</f>
        <v>18.146752927082538</v>
      </c>
      <c r="AB53" s="21">
        <f>EXP(-LN(2)/2)*AB52+(1-EXP(-LN(2)/2))/(LN(2)/2)*V53*Y53*VLOOKUP('Données projet'!$B$9,Paramètres!$A$1:$I$89,3,0)*0.475*44/12</f>
        <v>12.800630396437477</v>
      </c>
      <c r="AC53" s="22">
        <f t="shared" si="3"/>
        <v>60.890416891099896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14.689999999999998</v>
      </c>
      <c r="AI53" s="13">
        <f>IF('Données projet'!$A$62&gt;35,AI52+AH53-AQ52,IF(A53&lt;'Données projet'!$A$62,$AF$205^A53,IF(A53='Données projet'!$A$62,'Données projet'!$B$62,AI52+AH53-AQ52)))</f>
        <v>378.63000000000005</v>
      </c>
      <c r="AJ53" s="13">
        <f>AI53*VLOOKUP('Données projet'!$B$10,Paramètres!$A$1:$I$89,3,0)*VLOOKUP('Données projet'!$B$10,Paramètres!$A$1:$I$89,5,0)</f>
        <v>226.42074000000005</v>
      </c>
      <c r="AK53" s="13">
        <f t="shared" si="35"/>
        <v>55.508056797434847</v>
      </c>
      <c r="AL53" s="20">
        <f t="shared" si="4"/>
        <v>491.0259877555323</v>
      </c>
      <c r="AM53" s="59">
        <f t="shared" si="5"/>
        <v>784.35932108886561</v>
      </c>
      <c r="AN53" s="59">
        <f ca="1">AVERAGE(OFFSET($AM$3,0,0,'Données projet'!$E$10+1,1))-AVERAGE(OFFSET($H$3,0,0,'Données projet'!$E$10+1,1))</f>
        <v>251.64326096359997</v>
      </c>
      <c r="AO53" s="59">
        <f t="shared" si="36"/>
        <v>256.72142151189894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38.119451993278687</v>
      </c>
      <c r="AV53" s="21">
        <f>EXP(-LN(2)/25)*AV52+(1-EXP(-LN(2)/25))/(LN(2)/25)*Calculateur!AQ53*Calculateur!AS53*VLOOKUP('Données projet'!$B$10,Paramètres!$A$1:$I$89,3,0)*0.475*44/12</f>
        <v>17.150686558895465</v>
      </c>
      <c r="AW53" s="21">
        <f>EXP(-LN(2)/2)*AW52+(1-EXP(-LN(2)/2))/(LN(2)/2)*AQ53*AT53*VLOOKUP('Données projet'!$B$10,Paramètres!$A$1:$I$89,3,0)*0.475*44/12</f>
        <v>1.4118876080322087</v>
      </c>
      <c r="AX53" s="21">
        <f t="shared" si="6"/>
        <v>56.682026160206362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199.29783428981898</v>
      </c>
      <c r="BJ53" s="59">
        <f t="shared" si="38"/>
        <v>237.32002274562547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7.0279716383652397</v>
      </c>
      <c r="BQ53" s="21">
        <f>EXP(-LN(2)/25)*BQ52+(1-EXP(-LN(2)/25))/(LN(2)/25)*Calculateur!BL53*Calculateur!BN53*VLOOKUP('Données projet'!$B$11,Paramètres!$A$1:$I$89,3,0)*0.475*44/12</f>
        <v>38.537742757081055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45.565714395446292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10.001428571428571</v>
      </c>
      <c r="BY53" s="12">
        <f>IF('Données projet'!$A$114&gt;35,BY52+BX53-CG52,IF(A53&lt;'Données projet'!$A$114,$BV$205^A53,IF(A53='Données projet'!$A$114,'Données projet'!$B$114,BY52+BX53-CG52)))</f>
        <v>158.06714285714284</v>
      </c>
      <c r="BZ53" s="13">
        <f>BY53*VLOOKUP('Données projet'!$B$12,Paramètres!$A$1:$I$89,3,0)*VLOOKUP('Données projet'!$B$12,Paramètres!$A$1:$I$89,5,0)</f>
        <v>133.15576114285716</v>
      </c>
      <c r="CA53" s="13">
        <f t="shared" si="39"/>
        <v>34.724542039567829</v>
      </c>
      <c r="CB53" s="20">
        <f t="shared" si="10"/>
        <v>292.39152804272351</v>
      </c>
      <c r="CC53" s="59">
        <f t="shared" si="11"/>
        <v>585.72486137605688</v>
      </c>
      <c r="CD53" s="59">
        <f ca="1">AVERAGE(OFFSET($CC$3,0,0,'Données projet'!$E$12+1,1))-AVERAGE(OFFSET($H$3,0,0,'Données projet'!$E$12+1,1))</f>
        <v>295.59075210589327</v>
      </c>
      <c r="CE53" s="59">
        <f t="shared" si="40"/>
        <v>210.41181542059576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27.954456614685697</v>
      </c>
      <c r="CM53" s="21">
        <f>EXP(-LN(2)/2)*CM52+(1-EXP(-LN(2)/2))/(LN(2)/2)*CG53*CJ53*VLOOKUP('Données projet'!$B$12,Paramètres!$A$1:$I$89,3,0)*0.475*44/12</f>
        <v>1.3493146020064426</v>
      </c>
      <c r="CN53" s="22">
        <f t="shared" si="12"/>
        <v>29.303771216692141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549</v>
      </c>
      <c r="CR53" s="12">
        <f>VLOOKUP(A53,'Données projet'!$A$139:$I$159,9,0)</f>
        <v>22.8</v>
      </c>
      <c r="CS53" s="12">
        <f t="array" ref="CS53">INDEX(CR:CR,MIN(IF(ISNUMBER(CR53:CR249),ROW(CR53:CR249),"")))</f>
        <v>22.8</v>
      </c>
      <c r="CT53" s="12">
        <f>IF('Données projet'!$A$140&gt;35,CT52+CS53-DB52,IF(A53&lt;'Données projet'!$A$140,$CQ$205^A53,IF(A53='Données projet'!$A$140,'Données projet'!$B$140,CT52+CS53-DB52)))</f>
        <v>548.99999999999977</v>
      </c>
      <c r="CU53" s="17">
        <f>CT53*VLOOKUP('Données projet'!$B$13,Paramètres!$A$1:$I$89,3,0)*VLOOKUP('Données projet'!$B$13,Paramètres!$A$1:$I$89,5,0)</f>
        <v>249.7949999999999</v>
      </c>
      <c r="CV53" s="13">
        <f t="shared" si="41"/>
        <v>60.542041092116598</v>
      </c>
      <c r="CW53" s="20">
        <f t="shared" si="13"/>
        <v>540.50367990210282</v>
      </c>
      <c r="CX53" s="59">
        <f t="shared" si="14"/>
        <v>833.83701323543619</v>
      </c>
      <c r="CY53" s="59">
        <f ca="1">AVERAGE(OFFSET($CX$3,0,0,'Données projet'!$E$13+1,1))-AVERAGE(OFFSET($H$3,0,0,'Données projet'!$E$13+1,1))</f>
        <v>338.22448697444298</v>
      </c>
      <c r="CZ53" s="59">
        <f t="shared" si="42"/>
        <v>293.3872365640849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63</v>
      </c>
      <c r="DC53" s="16">
        <f>IF(ISNA(VLOOKUP(A53,'Données projet'!$A$139:$I$159,5,0)),0%,VLOOKUP(A53,'Données projet'!$A$139:$I$159,5,0)*VLOOKUP('Données projet'!$B$13,Paramètres!$A$1:$I$89,7,0))</f>
        <v>0.33</v>
      </c>
      <c r="DD53" s="16">
        <f>IF(ISNA(VLOOKUP(A53,'Données projet'!$A$139:$I$159,6,0)),0%,VLOOKUP(A53,'Données projet'!$A$139:$I$159,6,0)*VLOOKUP('Données projet'!$B$13,Paramètres!$A$1:$I$89,7,0))</f>
        <v>0.11000000000000001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39.022598581919446</v>
      </c>
      <c r="DG53" s="21">
        <f>EXP(-LN(2)/25)*DG52+(1-EXP(-LN(2)/25))/(LN(2)/25)*Calculateur!DB53*Calculateur!DD53*VLOOKUP('Données projet'!$B$13,Paramètres!$A$1:$I$89,3,0)*0.475*44/12</f>
        <v>27.267290455446538</v>
      </c>
      <c r="DH53" s="21">
        <f>EXP(-LN(2)/2)*DH52+(1-EXP(-LN(2)/2))/(LN(2)/2)*DB53*DE53*VLOOKUP('Données projet'!$B$13,Paramètres!$A$1:$I$89,3,0)*0.475*44/12</f>
        <v>8.1063033348468281</v>
      </c>
      <c r="DI53" s="22">
        <f t="shared" si="15"/>
        <v>74.396192372212809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20.355714285714278</v>
      </c>
      <c r="DO53" s="12">
        <f>IF('Données projet'!$A$166&gt;35,DO52+DN53-DW52,IF(A53&lt;'Données projet'!$A$166,$DL$205^A53,IF(A53='Données projet'!$A$166,'Données projet'!$B$166,DO52+DN53-DW52)))</f>
        <v>411.89571428571452</v>
      </c>
      <c r="DP53" s="17">
        <f>DO53*VLOOKUP('Données projet'!$B$14,Paramètres!$A$1:$I$89,3,0)*VLOOKUP('Données projet'!$B$14,Paramètres!$A$1:$I$89,5,0)</f>
        <v>230.24970428571442</v>
      </c>
      <c r="DQ53" s="13">
        <f t="shared" si="43"/>
        <v>56.336670025642462</v>
      </c>
      <c r="DR53" s="20">
        <f t="shared" si="16"/>
        <v>499.13793525894647</v>
      </c>
      <c r="DS53" s="59">
        <f t="shared" si="17"/>
        <v>792.47126859227978</v>
      </c>
      <c r="DT53" s="59">
        <f ca="1">AVERAGE(OFFSET($DS$3,0,0,'Données projet'!$E$14+1,1))-AVERAGE(OFFSET($H$3,0,0,'Données projet'!$E$14+1,1))</f>
        <v>328.15217666639006</v>
      </c>
      <c r="DU53" s="59">
        <f t="shared" si="44"/>
        <v>305.59175773326308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71.865808164703083</v>
      </c>
      <c r="EB53" s="21">
        <f>EXP(-LN(2)/25)*EB52+(1-EXP(-LN(2)/25))/(LN(2)/25)*Calculateur!DW53*Calculateur!DY53*VLOOKUP('Données projet'!$B$14,Paramètres!$A$1:$I$89,3,0)*0.475*44/12</f>
        <v>29.934984963268398</v>
      </c>
      <c r="EC53" s="21">
        <f>EXP(-LN(2)/2)*EC52+(1-EXP(-LN(2)/2))/(LN(2)/2)*DW53*DZ53*VLOOKUP('Données projet'!$B$14,Paramètres!$A$1:$I$89,3,0)*0.475*44/12</f>
        <v>10.948268463578646</v>
      </c>
      <c r="ED53" s="22">
        <f t="shared" si="18"/>
        <v>112.74906159155012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159.78276497127206</v>
      </c>
      <c r="EP53" s="59">
        <f t="shared" si="46"/>
        <v>190.72163407919857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8.1629486673196272</v>
      </c>
      <c r="EW53" s="21">
        <f>EXP(-LN(2)/25)*EW52+(1-EXP(-LN(2)/25))/(LN(2)/25)*Calculateur!ER53*Calculateur!ET53*VLOOKUP('Données projet'!$B$15,Paramètres!$A$1:$I$89,3,0)*0.475*44/12</f>
        <v>44.761366731069437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52.924315398389062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5.3214035087719296</v>
      </c>
      <c r="FE53" s="12">
        <f>IF('Données projet'!$A$218&gt;35,FE52+FD53-FM52,IF(A53&lt;'Données projet'!$A$218,$FB$205^A53,IF(A53='Données projet'!$A$218,'Données projet'!$B$218,FE52+FD53-FM52)))</f>
        <v>266.07017543859672</v>
      </c>
      <c r="FF53" s="17">
        <f>FE53*VLOOKUP('Données projet'!$B$16,Paramètres!$A$1:$I$89,3,0)*VLOOKUP('Données projet'!$B$16,Paramètres!$A$1:$I$89,5,0)</f>
        <v>228.28821052631599</v>
      </c>
      <c r="FG53" s="13">
        <f t="shared" si="47"/>
        <v>55.912391855505057</v>
      </c>
      <c r="FH53" s="20">
        <f t="shared" si="22"/>
        <v>494.98271581500495</v>
      </c>
      <c r="FI53" s="59">
        <f t="shared" si="23"/>
        <v>788.31604914833827</v>
      </c>
      <c r="FJ53" s="59">
        <f ca="1">AVERAGE(OFFSET($FI$3,0,0,'Données projet'!$E$16+1,1))-AVERAGE(OFFSET($H$3,0,0,'Données projet'!$E$16+1,1))</f>
        <v>337.15023592377008</v>
      </c>
      <c r="FK53" s="59">
        <f t="shared" si="48"/>
        <v>286.60608582587099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208.33</v>
      </c>
      <c r="FX53" s="12">
        <f>VLOOKUP(A53,'Données projet'!$A$243:$I$263,9,0)</f>
        <v>10.110000000000001</v>
      </c>
      <c r="FY53" s="12">
        <f t="array" ref="FY53">INDEX(FX:FX,MIN(IF(ISNUMBER(FX53:FX249),ROW(FX53:FX249),"")))</f>
        <v>10.110000000000001</v>
      </c>
      <c r="FZ53" s="12">
        <f>IF('Données projet'!$A$244&gt;35,FZ52+FY53-GH52,IF(A53&lt;'Données projet'!$A$244,$FW$205^A53,IF(A53='Données projet'!$A$244,'Données projet'!$B$244,FZ52+FY53-GH52)))</f>
        <v>208.33000000000021</v>
      </c>
      <c r="GA53" s="17">
        <f>FZ53*VLOOKUP('Données projet'!$B$17,Paramètres!$A$1:$I$89,3,0)*VLOOKUP('Données projet'!$B$17,Paramètres!$A$1:$I$89,5,0)</f>
        <v>188.4969840000002</v>
      </c>
      <c r="GB53" s="13">
        <f t="shared" si="49"/>
        <v>47.207503913482938</v>
      </c>
      <c r="GC53" s="20">
        <f t="shared" si="25"/>
        <v>410.51864978264985</v>
      </c>
      <c r="GD53" s="59">
        <f t="shared" si="26"/>
        <v>703.8519831159831</v>
      </c>
      <c r="GE53" s="59">
        <f ca="1">AVERAGE(OFFSET($GD$3,0,0,'Données projet'!$E$17+1,1))-AVERAGE(OFFSET($H$3,0,0,'Données projet'!$E$17+1,1))</f>
        <v>486.55344536255876</v>
      </c>
      <c r="GF53" s="59">
        <f t="shared" si="50"/>
        <v>231.14794884432229</v>
      </c>
      <c r="GG53" s="15">
        <f>IF(ISNA(VLOOKUP(A53,'Données projet'!$A$243:$I$263,3,0)),0,VLOOKUP(A53,'Données projet'!$A$243:$I$263,3,0))</f>
        <v>2</v>
      </c>
      <c r="GH53" s="15">
        <f>IF(ISNA(VLOOKUP(A53,'Données projet'!$A$243:$I$263,4,0)),0,VLOOKUP(A53,'Données projet'!$A$243:$I$263,4,0))</f>
        <v>37.54000000000002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0.34400000000000003</v>
      </c>
      <c r="GK53" s="16">
        <f>IF(ISNA(VLOOKUP(A53,'Données projet'!$A$243:$I$263,7,0)),0%,VLOOKUP(A53,'Données projet'!$A$243:$I$263,7,0))</f>
        <v>0.2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25.085911282565853</v>
      </c>
      <c r="GN53" s="21">
        <f>EXP(-LN(2)/2)*GN52+(1-EXP(-LN(2)/2))/(LN(2)/2)*GH53*GK53*VLOOKUP('Données projet'!$B$17,Paramètres!$A$1:$I$89,3,0)*0.475*44/12</f>
        <v>6.8845823591112083</v>
      </c>
      <c r="GO53" s="21">
        <f t="shared" si="27"/>
        <v>31.970493641677059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341.48274676068348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16.561250000000001</v>
      </c>
      <c r="N54" s="13">
        <f>IF('Données projet'!$A$36&gt;35,N53+M54-V53,IF(A54&lt;'Données projet'!$A$36,$K$205^A54,IF(A54='Données projet'!$A$36,'Données projet'!$B$36,N53+M54-V53)))</f>
        <v>284.18125000000003</v>
      </c>
      <c r="O54" s="13">
        <f>N54*VLOOKUP('Données projet'!$B$9,Paramètres!$A$1:$I$89,3,0)*VLOOKUP('Données projet'!$B$9,Paramètres!$A$1:$I$89,5,0)</f>
        <v>132.99682500000003</v>
      </c>
      <c r="P54" s="13">
        <f t="shared" si="33"/>
        <v>34.687916407887755</v>
      </c>
      <c r="Q54" s="20">
        <f t="shared" si="53"/>
        <v>292.05092461873784</v>
      </c>
      <c r="R54" s="59">
        <f t="shared" si="0"/>
        <v>585.38425795207115</v>
      </c>
      <c r="S54" s="59">
        <f ca="1">AVERAGE(OFFSET($R$3,0,0,'Données projet'!$E$9+1,1))-AVERAGE(OFFSET($H$3,0,0,'Données projet'!$E$9+1,1))</f>
        <v>252.08270526008477</v>
      </c>
      <c r="T54" s="59">
        <f t="shared" si="34"/>
        <v>239.77811108960179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29.355868942766751</v>
      </c>
      <c r="AA54" s="21">
        <f>EXP(-LN(2)/25)*AA53+(1-EXP(-LN(2)/25))/(LN(2)/25)*Calculateur!V54*Calculateur!X54*VLOOKUP('Données projet'!$B$9,Paramètres!$A$1:$I$89,3,0)*0.475*44/12</f>
        <v>17.650529013995204</v>
      </c>
      <c r="AB54" s="21">
        <f>EXP(-LN(2)/2)*AB53+(1-EXP(-LN(2)/2))/(LN(2)/2)*V54*Y54*VLOOKUP('Données projet'!$B$9,Paramètres!$A$1:$I$89,3,0)*0.475*44/12</f>
        <v>9.0514125567835837</v>
      </c>
      <c r="AC54" s="22">
        <f t="shared" si="3"/>
        <v>56.05781051354554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14.689999999999998</v>
      </c>
      <c r="AI54" s="13">
        <f>IF('Données projet'!$A$62&gt;35,AI53+AH54-AQ53,IF(A54&lt;'Données projet'!$A$62,$AF$205^A54,IF(A54='Données projet'!$A$62,'Données projet'!$B$62,AI53+AH54-AQ53)))</f>
        <v>393.32000000000005</v>
      </c>
      <c r="AJ54" s="13">
        <f>AI54*VLOOKUP('Données projet'!$B$10,Paramètres!$A$1:$I$89,3,0)*VLOOKUP('Données projet'!$B$10,Paramètres!$A$1:$I$89,5,0)</f>
        <v>235.20536000000004</v>
      </c>
      <c r="AK54" s="13">
        <f t="shared" si="35"/>
        <v>57.406731887132807</v>
      </c>
      <c r="AL54" s="20">
        <f t="shared" si="4"/>
        <v>509.63272670342303</v>
      </c>
      <c r="AM54" s="59">
        <f t="shared" si="5"/>
        <v>802.96606003675629</v>
      </c>
      <c r="AN54" s="59">
        <f ca="1">AVERAGE(OFFSET($AM$3,0,0,'Données projet'!$E$10+1,1))-AVERAGE(OFFSET($H$3,0,0,'Données projet'!$E$10+1,1))</f>
        <v>251.64326096359997</v>
      </c>
      <c r="AO54" s="59">
        <f t="shared" si="36"/>
        <v>256.72142151189894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37.371952790260409</v>
      </c>
      <c r="AV54" s="21">
        <f>EXP(-LN(2)/25)*AV53+(1-EXP(-LN(2)/25))/(LN(2)/25)*Calculateur!AQ54*Calculateur!AS54*VLOOKUP('Données projet'!$B$10,Paramètres!$A$1:$I$89,3,0)*0.475*44/12</f>
        <v>16.681700133027061</v>
      </c>
      <c r="AW54" s="21">
        <f>EXP(-LN(2)/2)*AW53+(1-EXP(-LN(2)/2))/(LN(2)/2)*AQ54*AT54*VLOOKUP('Données projet'!$B$10,Paramètres!$A$1:$I$89,3,0)*0.475*44/12</f>
        <v>0.99835530191282906</v>
      </c>
      <c r="AX54" s="21">
        <f t="shared" si="6"/>
        <v>55.052008225200304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199.29783428981898</v>
      </c>
      <c r="BJ54" s="59">
        <f t="shared" si="38"/>
        <v>237.32002274562547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6.8901574011763262</v>
      </c>
      <c r="BQ54" s="21">
        <f>EXP(-LN(2)/25)*BQ53+(1-EXP(-LN(2)/25))/(LN(2)/25)*Calculateur!BL54*Calculateur!BN54*VLOOKUP('Données projet'!$B$11,Paramètres!$A$1:$I$89,3,0)*0.475*44/12</f>
        <v>37.48392615477686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44.374083555953185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10.001428571428571</v>
      </c>
      <c r="BY54" s="12">
        <f>IF('Données projet'!$A$114&gt;35,BY53+BX54-CG53,IF(A54&lt;'Données projet'!$A$114,$BV$205^A54,IF(A54='Données projet'!$A$114,'Données projet'!$B$114,BY53+BX54-CG53)))</f>
        <v>168.0685714285714</v>
      </c>
      <c r="BZ54" s="13">
        <f>BY54*VLOOKUP('Données projet'!$B$12,Paramètres!$A$1:$I$89,3,0)*VLOOKUP('Données projet'!$B$12,Paramètres!$A$1:$I$89,5,0)</f>
        <v>141.58096457142855</v>
      </c>
      <c r="CA54" s="13">
        <f t="shared" si="39"/>
        <v>36.658945238766755</v>
      </c>
      <c r="CB54" s="20">
        <f t="shared" si="10"/>
        <v>310.43450958609014</v>
      </c>
      <c r="CC54" s="59">
        <f t="shared" si="11"/>
        <v>603.7678429194234</v>
      </c>
      <c r="CD54" s="59">
        <f ca="1">AVERAGE(OFFSET($CC$3,0,0,'Données projet'!$E$12+1,1))-AVERAGE(OFFSET($H$3,0,0,'Données projet'!$E$12+1,1))</f>
        <v>295.59075210589327</v>
      </c>
      <c r="CE54" s="59">
        <f t="shared" si="40"/>
        <v>210.41181542059576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27.190040528496134</v>
      </c>
      <c r="CM54" s="21">
        <f>EXP(-LN(2)/2)*CM53+(1-EXP(-LN(2)/2))/(LN(2)/2)*CG54*CJ54*VLOOKUP('Données projet'!$B$12,Paramètres!$A$1:$I$89,3,0)*0.475*44/12</f>
        <v>0.95410950503278313</v>
      </c>
      <c r="CN54" s="22">
        <f t="shared" si="12"/>
        <v>28.144150033528916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21.6</v>
      </c>
      <c r="CT54" s="12">
        <f>IF('Données projet'!$A$140&gt;35,CT53+CS54-DB53,IF(A54&lt;'Données projet'!$A$140,$CQ$205^A54,IF(A54='Données projet'!$A$140,'Données projet'!$B$140,CT53+CS54-DB53)))</f>
        <v>507.5999999999998</v>
      </c>
      <c r="CU54" s="17">
        <f>CT54*VLOOKUP('Données projet'!$B$13,Paramètres!$A$1:$I$89,3,0)*VLOOKUP('Données projet'!$B$13,Paramètres!$A$1:$I$89,5,0)</f>
        <v>230.95799999999988</v>
      </c>
      <c r="CV54" s="13">
        <f t="shared" si="41"/>
        <v>56.489773392384429</v>
      </c>
      <c r="CW54" s="20">
        <f t="shared" si="13"/>
        <v>500.63820532506929</v>
      </c>
      <c r="CX54" s="59">
        <f t="shared" si="14"/>
        <v>793.97153865840255</v>
      </c>
      <c r="CY54" s="59">
        <f ca="1">AVERAGE(OFFSET($CX$3,0,0,'Données projet'!$E$13+1,1))-AVERAGE(OFFSET($H$3,0,0,'Données projet'!$E$13+1,1))</f>
        <v>338.22448697444298</v>
      </c>
      <c r="CZ54" s="59">
        <f t="shared" si="42"/>
        <v>293.3872365640849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38.257389225162946</v>
      </c>
      <c r="DG54" s="21">
        <f>EXP(-LN(2)/25)*DG53+(1-EXP(-LN(2)/25))/(LN(2)/25)*Calculateur!DB54*Calculateur!DD54*VLOOKUP('Données projet'!$B$13,Paramètres!$A$1:$I$89,3,0)*0.475*44/12</f>
        <v>26.521664964017869</v>
      </c>
      <c r="DH54" s="21">
        <f>EXP(-LN(2)/2)*DH53+(1-EXP(-LN(2)/2))/(LN(2)/2)*DB54*DE54*VLOOKUP('Données projet'!$B$13,Paramètres!$A$1:$I$89,3,0)*0.475*44/12</f>
        <v>5.7320220584253168</v>
      </c>
      <c r="DI54" s="22">
        <f t="shared" si="15"/>
        <v>70.511076247606127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20.355714285714278</v>
      </c>
      <c r="DO54" s="12">
        <f>IF('Données projet'!$A$166&gt;35,DO53+DN54-DW53,IF(A54&lt;'Données projet'!$A$166,$DL$205^A54,IF(A54='Données projet'!$A$166,'Données projet'!$B$166,DO53+DN54-DW53)))</f>
        <v>432.25142857142879</v>
      </c>
      <c r="DP54" s="17">
        <f>DO54*VLOOKUP('Données projet'!$B$14,Paramètres!$A$1:$I$89,3,0)*VLOOKUP('Données projet'!$B$14,Paramètres!$A$1:$I$89,5,0)</f>
        <v>241.62854857142869</v>
      </c>
      <c r="DQ54" s="13">
        <f t="shared" si="43"/>
        <v>58.789782611687855</v>
      </c>
      <c r="DR54" s="20">
        <f t="shared" si="16"/>
        <v>523.22859347726126</v>
      </c>
      <c r="DS54" s="59">
        <f t="shared" si="17"/>
        <v>816.56192681059451</v>
      </c>
      <c r="DT54" s="59">
        <f ca="1">AVERAGE(OFFSET($DS$3,0,0,'Données projet'!$E$14+1,1))-AVERAGE(OFFSET($H$3,0,0,'Données projet'!$E$14+1,1))</f>
        <v>328.15217666639006</v>
      </c>
      <c r="DU54" s="59">
        <f t="shared" si="44"/>
        <v>305.59175773326308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70.456563500408009</v>
      </c>
      <c r="EB54" s="21">
        <f>EXP(-LN(2)/25)*EB53+(1-EXP(-LN(2)/25))/(LN(2)/25)*Calculateur!DW54*Calculateur!DY54*VLOOKUP('Données projet'!$B$14,Paramètres!$A$1:$I$89,3,0)*0.475*44/12</f>
        <v>29.116411225235382</v>
      </c>
      <c r="EC54" s="21">
        <f>EXP(-LN(2)/2)*EC53+(1-EXP(-LN(2)/2))/(LN(2)/2)*DW54*DZ54*VLOOKUP('Données projet'!$B$14,Paramètres!$A$1:$I$89,3,0)*0.475*44/12</f>
        <v>7.7415948728472852</v>
      </c>
      <c r="ED54" s="22">
        <f t="shared" si="18"/>
        <v>107.31456959849068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159.78276497127206</v>
      </c>
      <c r="EP54" s="59">
        <f t="shared" si="46"/>
        <v>190.72163407919857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8.0028782228605504</v>
      </c>
      <c r="EW54" s="21">
        <f>EXP(-LN(2)/25)*EW53+(1-EXP(-LN(2)/25))/(LN(2)/25)*Calculateur!ER54*Calculateur!ET54*VLOOKUP('Données projet'!$B$15,Paramètres!$A$1:$I$89,3,0)*0.475*44/12</f>
        <v>43.537364803910371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51.540243026770924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5.3214035087719296</v>
      </c>
      <c r="FE54" s="12">
        <f>IF('Données projet'!$A$218&gt;35,FE53+FD54-FM53,IF(A54&lt;'Données projet'!$A$218,$FB$205^A54,IF(A54='Données projet'!$A$218,'Données projet'!$B$218,FE53+FD54-FM53)))</f>
        <v>271.39157894736866</v>
      </c>
      <c r="FF54" s="17">
        <f>FE54*VLOOKUP('Données projet'!$B$16,Paramètres!$A$1:$I$89,3,0)*VLOOKUP('Données projet'!$B$16,Paramètres!$A$1:$I$89,5,0)</f>
        <v>232.85397473684236</v>
      </c>
      <c r="FG54" s="13">
        <f t="shared" si="47"/>
        <v>56.899333985407665</v>
      </c>
      <c r="FH54" s="20">
        <f t="shared" si="22"/>
        <v>504.65367935791875</v>
      </c>
      <c r="FI54" s="59">
        <f t="shared" si="23"/>
        <v>797.98701269125206</v>
      </c>
      <c r="FJ54" s="59">
        <f ca="1">AVERAGE(OFFSET($FI$3,0,0,'Données projet'!$E$16+1,1))-AVERAGE(OFFSET($H$3,0,0,'Données projet'!$E$16+1,1))</f>
        <v>337.15023592377008</v>
      </c>
      <c r="FK54" s="59">
        <f t="shared" si="48"/>
        <v>286.60608582587099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10.36375</v>
      </c>
      <c r="FZ54" s="12">
        <f>IF('Données projet'!$A$244&gt;35,FZ53+FY54-GH53,IF(A54&lt;'Données projet'!$A$244,$FW$205^A54,IF(A54='Données projet'!$A$244,'Données projet'!$B$244,FZ53+FY54-GH53)))</f>
        <v>181.1537500000002</v>
      </c>
      <c r="GA54" s="17">
        <f>FZ54*VLOOKUP('Données projet'!$B$17,Paramètres!$A$1:$I$89,3,0)*VLOOKUP('Données projet'!$B$17,Paramètres!$A$1:$I$89,5,0)</f>
        <v>163.90791300000018</v>
      </c>
      <c r="GB54" s="13">
        <f t="shared" si="49"/>
        <v>41.72271436472046</v>
      </c>
      <c r="GC54" s="20">
        <f t="shared" si="25"/>
        <v>358.14000932688845</v>
      </c>
      <c r="GD54" s="59">
        <f t="shared" si="26"/>
        <v>651.47334266022176</v>
      </c>
      <c r="GE54" s="59">
        <f ca="1">AVERAGE(OFFSET($GD$3,0,0,'Données projet'!$E$17+1,1))-AVERAGE(OFFSET($H$3,0,0,'Données projet'!$E$17+1,1))</f>
        <v>486.55344536255876</v>
      </c>
      <c r="GF54" s="59">
        <f t="shared" si="50"/>
        <v>231.14794884432229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24.399935719333349</v>
      </c>
      <c r="GN54" s="21">
        <f>EXP(-LN(2)/2)*GN53+(1-EXP(-LN(2)/2))/(LN(2)/2)*GH54*GK54*VLOOKUP('Données projet'!$B$17,Paramètres!$A$1:$I$89,3,0)*0.475*44/12</f>
        <v>4.8681348717648145</v>
      </c>
      <c r="GO54" s="21">
        <f t="shared" si="27"/>
        <v>29.268070591098166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343.10048208068082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16.561250000000001</v>
      </c>
      <c r="N55" s="13">
        <f>IF('Données projet'!$A$36&gt;35,N54+M55-V54,IF(A55&lt;'Données projet'!$A$36,$K$205^A55,IF(A55='Données projet'!$A$36,'Données projet'!$B$36,N54+M55-V54)))</f>
        <v>300.74250000000006</v>
      </c>
      <c r="O55" s="13">
        <f>N55*VLOOKUP('Données projet'!$B$9,Paramètres!$A$1:$I$89,3,0)*VLOOKUP('Données projet'!$B$9,Paramètres!$A$1:$I$89,5,0)</f>
        <v>140.74749000000003</v>
      </c>
      <c r="P55" s="13">
        <f t="shared" si="33"/>
        <v>36.46819185149684</v>
      </c>
      <c r="Q55" s="20">
        <f t="shared" si="53"/>
        <v>308.65064589135704</v>
      </c>
      <c r="R55" s="59">
        <f t="shared" si="0"/>
        <v>601.9839792246903</v>
      </c>
      <c r="S55" s="59">
        <f ca="1">AVERAGE(OFFSET($R$3,0,0,'Données projet'!$E$9+1,1))-AVERAGE(OFFSET($H$3,0,0,'Données projet'!$E$9+1,1))</f>
        <v>252.08270526008477</v>
      </c>
      <c r="T55" s="59">
        <f t="shared" si="34"/>
        <v>239.77811108960179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28.780218258111148</v>
      </c>
      <c r="AA55" s="21">
        <f>EXP(-LN(2)/25)*AA54+(1-EXP(-LN(2)/25))/(LN(2)/25)*Calculateur!V55*Calculateur!X55*VLOOKUP('Données projet'!$B$9,Paramètres!$A$1:$I$89,3,0)*0.475*44/12</f>
        <v>17.167874369906524</v>
      </c>
      <c r="AB55" s="21">
        <f>EXP(-LN(2)/2)*AB54+(1-EXP(-LN(2)/2))/(LN(2)/2)*V55*Y55*VLOOKUP('Données projet'!$B$9,Paramètres!$A$1:$I$89,3,0)*0.475*44/12</f>
        <v>6.4003151982187383</v>
      </c>
      <c r="AC55" s="22">
        <f t="shared" si="3"/>
        <v>52.348407826236411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14.689999999999998</v>
      </c>
      <c r="AH55" s="12">
        <f t="array" ref="AH55">INDEX(AG:AG,MIN(IF(ISNUMBER(AG55:AG251),ROW(AG55:AG251),"")))</f>
        <v>14.689999999999998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821.5584504543915</v>
      </c>
      <c r="AN55" s="59">
        <f ca="1">AVERAGE(OFFSET($AM$3,0,0,'Données projet'!$E$10+1,1))-AVERAGE(OFFSET($H$3,0,0,'Données projet'!$E$10+1,1))</f>
        <v>251.64326096359997</v>
      </c>
      <c r="AO55" s="59">
        <f t="shared" si="36"/>
        <v>256.72142151189894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75.70999999999998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52.855216702681361</v>
      </c>
      <c r="AV55" s="21">
        <f>EXP(-LN(2)/25)*AV54+(1-EXP(-LN(2)/25))/(LN(2)/25)*Calculateur!AQ55*Calculateur!AS55*VLOOKUP('Données projet'!$B$10,Paramètres!$A$1:$I$89,3,0)*0.475*44/12</f>
        <v>21.609623541420671</v>
      </c>
      <c r="AW55" s="21">
        <f>EXP(-LN(2)/2)*AW54+(1-EXP(-LN(2)/2))/(LN(2)/2)*AQ55*AT55*VLOOKUP('Données projet'!$B$10,Paramètres!$A$1:$I$89,3,0)*0.475*44/12</f>
        <v>10.958212150605259</v>
      </c>
      <c r="AX55" s="21">
        <f t="shared" si="6"/>
        <v>85.423052394707298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199.29783428981898</v>
      </c>
      <c r="BJ55" s="59">
        <f t="shared" si="38"/>
        <v>237.32002274562547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6.7550456171203024</v>
      </c>
      <c r="BQ55" s="21">
        <f>EXP(-LN(2)/25)*BQ54+(1-EXP(-LN(2)/25))/(LN(2)/25)*Calculateur!BL55*Calculateur!BN55*VLOOKUP('Données projet'!$B$11,Paramètres!$A$1:$I$89,3,0)*0.475*44/12</f>
        <v>36.458926222880478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43.213971840000781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178.07</v>
      </c>
      <c r="BW55" s="12">
        <f>VLOOKUP(A55,'Données projet'!$A$113:$I$133,9,0)</f>
        <v>10.001428571428571</v>
      </c>
      <c r="BX55" s="12">
        <f t="array" ref="BX55">INDEX(BW:BW,MIN(IF(ISNUMBER(BW55:BW251),ROW(BW55:BW251),"")))</f>
        <v>10.001428571428571</v>
      </c>
      <c r="BY55" s="12">
        <f>IF('Données projet'!$A$114&gt;35,BY54+BX55-CG54,IF(A55&lt;'Données projet'!$A$114,$BV$205^A55,IF(A55='Données projet'!$A$114,'Données projet'!$B$114,BY54+BX55-CG54)))</f>
        <v>178.06999999999996</v>
      </c>
      <c r="BZ55" s="13">
        <f>BY55*VLOOKUP('Données projet'!$B$12,Paramètres!$A$1:$I$89,3,0)*VLOOKUP('Données projet'!$B$12,Paramètres!$A$1:$I$89,5,0)</f>
        <v>150.00616799999997</v>
      </c>
      <c r="CA55" s="13">
        <f t="shared" si="39"/>
        <v>38.579987317632231</v>
      </c>
      <c r="CB55" s="20">
        <f t="shared" si="10"/>
        <v>328.45422051154276</v>
      </c>
      <c r="CC55" s="59">
        <f t="shared" si="11"/>
        <v>621.78755384487613</v>
      </c>
      <c r="CD55" s="59">
        <f ca="1">AVERAGE(OFFSET($CC$3,0,0,'Données projet'!$E$12+1,1))-AVERAGE(OFFSET($H$3,0,0,'Données projet'!$E$12+1,1))</f>
        <v>295.59075210589327</v>
      </c>
      <c r="CE55" s="59">
        <f t="shared" si="40"/>
        <v>210.41181542059576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44.400000000000006</v>
      </c>
      <c r="CH55" s="16">
        <f>IF(ISNA(VLOOKUP(A55,'Données projet'!$A$113:$I$133,5,0)),0%,VLOOKUP(A55,'Données projet'!$A$113:$I$133,5,0)*VLOOKUP('Données projet'!$B$12,Paramètres!$A$1:$I$89,7,0))</f>
        <v>0.15049999999999999</v>
      </c>
      <c r="CI55" s="16">
        <f>IF(ISNA(VLOOKUP(A55,'Données projet'!$A$113:$I$133,6,0)),0%,VLOOKUP(A55,'Données projet'!$A$113:$I$133,6,0)*VLOOKUP('Données projet'!$B$12,Paramètres!$A$1:$I$89,7,0))</f>
        <v>8.6000000000000007E-2</v>
      </c>
      <c r="CJ55" s="16">
        <f>IF(ISNA(VLOOKUP(A55,'Données projet'!$A$113:$I$133,7,0)),0%,VLOOKUP(A55,'Données projet'!$A$113:$I$133,7,0))</f>
        <v>0.1</v>
      </c>
      <c r="CK55" s="21">
        <f>EXP(-LN(2)/35)*CK54+(1-EXP(-LN(2)/35))/(LN(2)/35)*CG55*CH55*VLOOKUP('Données projet'!$B$12,Paramètres!$A$1:$I$89,3,0)*0.475*44/12</f>
        <v>6.2227870409049437</v>
      </c>
      <c r="CL55" s="21">
        <f>EXP(-LN(2)/25)*CL54+(1-EXP(-LN(2)/25))/(LN(2)/25)*Calculateur!CG55*Calculateur!CI55*VLOOKUP('Données projet'!$B$12,Paramètres!$A$1:$I$89,3,0)*0.475*44/12</f>
        <v>29.988404901672119</v>
      </c>
      <c r="CM55" s="21">
        <f>EXP(-LN(2)/2)*CM54+(1-EXP(-LN(2)/2))/(LN(2)/2)*CG55*CJ55*VLOOKUP('Données projet'!$B$12,Paramètres!$A$1:$I$89,3,0)*0.475*44/12</f>
        <v>4.2036895045175138</v>
      </c>
      <c r="CN55" s="22">
        <f t="shared" si="12"/>
        <v>40.414881447094572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21.6</v>
      </c>
      <c r="CT55" s="12">
        <f>IF('Données projet'!$A$140&gt;35,CT54+CS55-DB54,IF(A55&lt;'Données projet'!$A$140,$CQ$205^A55,IF(A55='Données projet'!$A$140,'Données projet'!$B$140,CT54+CS55-DB54)))</f>
        <v>529.19999999999982</v>
      </c>
      <c r="CU55" s="17">
        <f>CT55*VLOOKUP('Données projet'!$B$13,Paramètres!$A$1:$I$89,3,0)*VLOOKUP('Données projet'!$B$13,Paramètres!$A$1:$I$89,5,0)</f>
        <v>240.78599999999989</v>
      </c>
      <c r="CV55" s="13">
        <f t="shared" si="41"/>
        <v>58.608610016803794</v>
      </c>
      <c r="CW55" s="20">
        <f t="shared" si="13"/>
        <v>521.44561244593308</v>
      </c>
      <c r="CX55" s="59">
        <f t="shared" si="14"/>
        <v>814.77894577926645</v>
      </c>
      <c r="CY55" s="59">
        <f ca="1">AVERAGE(OFFSET($CX$3,0,0,'Données projet'!$E$13+1,1))-AVERAGE(OFFSET($H$3,0,0,'Données projet'!$E$13+1,1))</f>
        <v>338.22448697444298</v>
      </c>
      <c r="CZ55" s="59">
        <f t="shared" si="42"/>
        <v>293.3872365640849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37.507185157160819</v>
      </c>
      <c r="DG55" s="21">
        <f>EXP(-LN(2)/25)*DG54+(1-EXP(-LN(2)/25))/(LN(2)/25)*Calculateur!DB55*Calculateur!DD55*VLOOKUP('Données projet'!$B$13,Paramètres!$A$1:$I$89,3,0)*0.475*44/12</f>
        <v>25.796428640863056</v>
      </c>
      <c r="DH55" s="21">
        <f>EXP(-LN(2)/2)*DH54+(1-EXP(-LN(2)/2))/(LN(2)/2)*DB55*DE55*VLOOKUP('Données projet'!$B$13,Paramètres!$A$1:$I$89,3,0)*0.475*44/12</f>
        <v>4.053151667423414</v>
      </c>
      <c r="DI55" s="22">
        <f t="shared" si="15"/>
        <v>67.356765465447296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20.355714285714278</v>
      </c>
      <c r="DO55" s="12">
        <f>IF('Données projet'!$A$166&gt;35,DO54+DN55-DW54,IF(A55&lt;'Données projet'!$A$166,$DL$205^A55,IF(A55='Données projet'!$A$166,'Données projet'!$B$166,DO54+DN55-DW54)))</f>
        <v>452.60714285714306</v>
      </c>
      <c r="DP55" s="17">
        <f>DO55*VLOOKUP('Données projet'!$B$14,Paramètres!$A$1:$I$89,3,0)*VLOOKUP('Données projet'!$B$14,Paramètres!$A$1:$I$89,5,0)</f>
        <v>253.007392857143</v>
      </c>
      <c r="DQ55" s="13">
        <f t="shared" si="43"/>
        <v>61.229479905592257</v>
      </c>
      <c r="DR55" s="20">
        <f t="shared" si="16"/>
        <v>547.29588672843067</v>
      </c>
      <c r="DS55" s="59">
        <f t="shared" si="17"/>
        <v>840.62922006176404</v>
      </c>
      <c r="DT55" s="59">
        <f ca="1">AVERAGE(OFFSET($DS$3,0,0,'Données projet'!$E$14+1,1))-AVERAGE(OFFSET($H$3,0,0,'Données projet'!$E$14+1,1))</f>
        <v>328.15217666639006</v>
      </c>
      <c r="DU55" s="59">
        <f t="shared" si="44"/>
        <v>305.59175773326308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69.074953264425389</v>
      </c>
      <c r="EB55" s="21">
        <f>EXP(-LN(2)/25)*EB54+(1-EXP(-LN(2)/25))/(LN(2)/25)*Calculateur!DW55*Calculateur!DY55*VLOOKUP('Données projet'!$B$14,Paramètres!$A$1:$I$89,3,0)*0.475*44/12</f>
        <v>28.320221429115801</v>
      </c>
      <c r="EC55" s="21">
        <f>EXP(-LN(2)/2)*EC54+(1-EXP(-LN(2)/2))/(LN(2)/2)*DW55*DZ55*VLOOKUP('Données projet'!$B$14,Paramètres!$A$1:$I$89,3,0)*0.475*44/12</f>
        <v>5.474134231789324</v>
      </c>
      <c r="ED55" s="22">
        <f t="shared" si="18"/>
        <v>102.86930892533051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159.78276497127206</v>
      </c>
      <c r="EP55" s="59">
        <f t="shared" si="46"/>
        <v>190.72163407919857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7.8459466621839855</v>
      </c>
      <c r="EW55" s="21">
        <f>EXP(-LN(2)/25)*EW54+(1-EXP(-LN(2)/25))/(LN(2)/25)*Calculateur!ER55*Calculateur!ET55*VLOOKUP('Données projet'!$B$15,Paramètres!$A$1:$I$89,3,0)*0.475*44/12</f>
        <v>42.346833273816934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50.192779936000917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5.3214035087719296</v>
      </c>
      <c r="FE55" s="12">
        <f>IF('Données projet'!$A$218&gt;35,FE54+FD55-FM54,IF(A55&lt;'Données projet'!$A$218,$FB$205^A55,IF(A55='Données projet'!$A$218,'Données projet'!$B$218,FE54+FD55-FM54)))</f>
        <v>276.71298245614059</v>
      </c>
      <c r="FF55" s="17">
        <f>FE55*VLOOKUP('Données projet'!$B$16,Paramètres!$A$1:$I$89,3,0)*VLOOKUP('Données projet'!$B$16,Paramètres!$A$1:$I$89,5,0)</f>
        <v>237.41973894736864</v>
      </c>
      <c r="FG55" s="13">
        <f t="shared" si="47"/>
        <v>57.884025981224582</v>
      </c>
      <c r="FH55" s="20">
        <f t="shared" si="22"/>
        <v>514.32072391729992</v>
      </c>
      <c r="FI55" s="59">
        <f t="shared" si="23"/>
        <v>807.65405725063329</v>
      </c>
      <c r="FJ55" s="59">
        <f ca="1">AVERAGE(OFFSET($FI$3,0,0,'Données projet'!$E$16+1,1))-AVERAGE(OFFSET($H$3,0,0,'Données projet'!$E$16+1,1))</f>
        <v>337.15023592377008</v>
      </c>
      <c r="FK55" s="59">
        <f t="shared" si="48"/>
        <v>286.60608582587099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10.36375</v>
      </c>
      <c r="FZ55" s="12">
        <f>IF('Données projet'!$A$244&gt;35,FZ54+FY55-GH54,IF(A55&lt;'Données projet'!$A$244,$FW$205^A55,IF(A55='Données projet'!$A$244,'Données projet'!$B$244,FZ54+FY55-GH54)))</f>
        <v>191.51750000000021</v>
      </c>
      <c r="GA55" s="17">
        <f>FZ55*VLOOKUP('Données projet'!$B$17,Paramètres!$A$1:$I$89,3,0)*VLOOKUP('Données projet'!$B$17,Paramètres!$A$1:$I$89,5,0)</f>
        <v>173.28503400000019</v>
      </c>
      <c r="GB55" s="13">
        <f t="shared" si="49"/>
        <v>43.82494037101592</v>
      </c>
      <c r="GC55" s="20">
        <f t="shared" si="25"/>
        <v>378.133205362853</v>
      </c>
      <c r="GD55" s="59">
        <f t="shared" si="26"/>
        <v>671.46653869618626</v>
      </c>
      <c r="GE55" s="59">
        <f ca="1">AVERAGE(OFFSET($GD$3,0,0,'Données projet'!$E$17+1,1))-AVERAGE(OFFSET($H$3,0,0,'Données projet'!$E$17+1,1))</f>
        <v>486.55344536255876</v>
      </c>
      <c r="GF55" s="59">
        <f t="shared" si="50"/>
        <v>231.14794884432229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23.732718193951328</v>
      </c>
      <c r="GN55" s="21">
        <f>EXP(-LN(2)/2)*GN54+(1-EXP(-LN(2)/2))/(LN(2)/2)*GH55*GK55*VLOOKUP('Données projet'!$B$17,Paramètres!$A$1:$I$89,3,0)*0.475*44/12</f>
        <v>3.4422911795556046</v>
      </c>
      <c r="GO55" s="21">
        <f t="shared" si="27"/>
        <v>27.175009373506931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344.71745545879031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16.561250000000001</v>
      </c>
      <c r="N56" s="13">
        <f>IF('Données projet'!$A$36&gt;35,N55+M56-V55,IF(A56&lt;'Données projet'!$A$36,$K$205^A56,IF(A56='Données projet'!$A$36,'Données projet'!$B$36,N55+M56-V55)))</f>
        <v>317.30375000000004</v>
      </c>
      <c r="O56" s="13">
        <f>N56*VLOOKUP('Données projet'!$B$9,Paramètres!$A$1:$I$89,3,0)*VLOOKUP('Données projet'!$B$9,Paramètres!$A$1:$I$89,5,0)</f>
        <v>148.49815500000003</v>
      </c>
      <c r="P56" s="13">
        <f t="shared" si="33"/>
        <v>38.237086329747228</v>
      </c>
      <c r="Q56" s="20">
        <f t="shared" si="53"/>
        <v>325.23054531597643</v>
      </c>
      <c r="R56" s="59">
        <f t="shared" si="0"/>
        <v>618.5638786493098</v>
      </c>
      <c r="S56" s="59">
        <f ca="1">AVERAGE(OFFSET($R$3,0,0,'Données projet'!$E$9+1,1))-AVERAGE(OFFSET($H$3,0,0,'Données projet'!$E$9+1,1))</f>
        <v>252.08270526008477</v>
      </c>
      <c r="T56" s="59">
        <f t="shared" si="34"/>
        <v>239.77811108960179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28.215855732269393</v>
      </c>
      <c r="AA56" s="21">
        <f>EXP(-LN(2)/25)*AA55+(1-EXP(-LN(2)/25))/(LN(2)/25)*Calculateur!V56*Calculateur!X56*VLOOKUP('Données projet'!$B$9,Paramètres!$A$1:$I$89,3,0)*0.475*44/12</f>
        <v>16.698417942442155</v>
      </c>
      <c r="AB56" s="21">
        <f>EXP(-LN(2)/2)*AB55+(1-EXP(-LN(2)/2))/(LN(2)/2)*V56*Y56*VLOOKUP('Données projet'!$B$9,Paramètres!$A$1:$I$89,3,0)*0.475*44/12</f>
        <v>4.5257062783917918</v>
      </c>
      <c r="AC56" s="22">
        <f t="shared" si="3"/>
        <v>49.439979953103347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13.18</v>
      </c>
      <c r="AI56" s="13">
        <f>IF('Données projet'!$A$62&gt;35,AI55+AH56-AQ55,IF(A56&lt;'Données projet'!$A$62,$AF$205^A56,IF(A56='Données projet'!$A$62,'Données projet'!$B$62,AI55+AH56-AQ55)))</f>
        <v>345.48000000000008</v>
      </c>
      <c r="AJ56" s="13">
        <f>AI56*VLOOKUP('Données projet'!$B$10,Paramètres!$A$1:$I$89,3,0)*VLOOKUP('Données projet'!$B$10,Paramètres!$A$1:$I$89,5,0)</f>
        <v>206.59704000000005</v>
      </c>
      <c r="AK56" s="13">
        <f t="shared" si="35"/>
        <v>51.191247731076885</v>
      </c>
      <c r="AL56" s="20">
        <f t="shared" si="4"/>
        <v>448.98126779829232</v>
      </c>
      <c r="AM56" s="59">
        <f t="shared" si="5"/>
        <v>742.31460113162564</v>
      </c>
      <c r="AN56" s="59">
        <f ca="1">AVERAGE(OFFSET($AM$3,0,0,'Données projet'!$E$10+1,1))-AVERAGE(OFFSET($H$3,0,0,'Données projet'!$E$10+1,1))</f>
        <v>251.64326096359997</v>
      </c>
      <c r="AO56" s="59">
        <f t="shared" si="36"/>
        <v>256.72142151189894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51.818758141640679</v>
      </c>
      <c r="AV56" s="21">
        <f>EXP(-LN(2)/25)*AV55+(1-EXP(-LN(2)/25))/(LN(2)/25)*Calculateur!AQ56*Calculateur!AS56*VLOOKUP('Données projet'!$B$10,Paramètres!$A$1:$I$89,3,0)*0.475*44/12</f>
        <v>21.01870724927981</v>
      </c>
      <c r="AW56" s="21">
        <f>EXP(-LN(2)/2)*AW55+(1-EXP(-LN(2)/2))/(LN(2)/2)*AQ56*AT56*VLOOKUP('Données projet'!$B$10,Paramètres!$A$1:$I$89,3,0)*0.475*44/12</f>
        <v>7.7486261213737997</v>
      </c>
      <c r="AX56" s="21">
        <f t="shared" si="6"/>
        <v>80.586091512294288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199.29783428981898</v>
      </c>
      <c r="BJ56" s="59">
        <f t="shared" si="38"/>
        <v>237.32002274562547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6.6225832927395665</v>
      </c>
      <c r="BQ56" s="21">
        <f>EXP(-LN(2)/25)*BQ55+(1-EXP(-LN(2)/25))/(LN(2)/25)*Calculateur!BL56*Calculateur!BN56*VLOOKUP('Données projet'!$B$11,Paramètres!$A$1:$I$89,3,0)*0.475*44/12</f>
        <v>35.461954968024209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42.084538260763779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9.8828571428571443</v>
      </c>
      <c r="BY56" s="12">
        <f>IF('Données projet'!$A$114&gt;35,BY55+BX56-CG55,IF(A56&lt;'Données projet'!$A$114,$BV$205^A56,IF(A56='Données projet'!$A$114,'Données projet'!$B$114,BY55+BX56-CG55)))</f>
        <v>143.55285714285711</v>
      </c>
      <c r="BZ56" s="13">
        <f>BY56*VLOOKUP('Données projet'!$B$12,Paramètres!$A$1:$I$89,3,0)*VLOOKUP('Données projet'!$B$12,Paramètres!$A$1:$I$89,5,0)</f>
        <v>120.92892685714284</v>
      </c>
      <c r="CA56" s="13">
        <f t="shared" si="39"/>
        <v>31.891558898535312</v>
      </c>
      <c r="CB56" s="20">
        <f t="shared" si="10"/>
        <v>266.16234602447281</v>
      </c>
      <c r="CC56" s="59">
        <f t="shared" si="11"/>
        <v>559.49567935780613</v>
      </c>
      <c r="CD56" s="59">
        <f ca="1">AVERAGE(OFFSET($CC$3,0,0,'Données projet'!$E$12+1,1))-AVERAGE(OFFSET($H$3,0,0,'Données projet'!$E$12+1,1))</f>
        <v>295.59075210589327</v>
      </c>
      <c r="CE56" s="59">
        <f t="shared" si="40"/>
        <v>210.41181542059576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6.1007619825581161</v>
      </c>
      <c r="CL56" s="21">
        <f>EXP(-LN(2)/25)*CL55+(1-EXP(-LN(2)/25))/(LN(2)/25)*Calculateur!CG56*Calculateur!CI56*VLOOKUP('Données projet'!$B$12,Paramètres!$A$1:$I$89,3,0)*0.475*44/12</f>
        <v>29.168370392614221</v>
      </c>
      <c r="CM56" s="21">
        <f>EXP(-LN(2)/2)*CM55+(1-EXP(-LN(2)/2))/(LN(2)/2)*CG56*CJ56*VLOOKUP('Données projet'!$B$12,Paramètres!$A$1:$I$89,3,0)*0.475*44/12</f>
        <v>2.9724573546470521</v>
      </c>
      <c r="CN56" s="22">
        <f t="shared" si="12"/>
        <v>38.241589729819395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21.6</v>
      </c>
      <c r="CT56" s="12">
        <f>IF('Données projet'!$A$140&gt;35,CT55+CS56-DB55,IF(A56&lt;'Données projet'!$A$140,$CQ$205^A56,IF(A56='Données projet'!$A$140,'Données projet'!$B$140,CT55+CS56-DB55)))</f>
        <v>550.79999999999984</v>
      </c>
      <c r="CU56" s="17">
        <f>CT56*VLOOKUP('Données projet'!$B$13,Paramètres!$A$1:$I$89,3,0)*VLOOKUP('Données projet'!$B$13,Paramètres!$A$1:$I$89,5,0)</f>
        <v>250.61399999999995</v>
      </c>
      <c r="CV56" s="13">
        <f t="shared" si="41"/>
        <v>60.717400934916043</v>
      </c>
      <c r="CW56" s="20">
        <f t="shared" si="13"/>
        <v>542.23552329497863</v>
      </c>
      <c r="CX56" s="59">
        <f t="shared" si="14"/>
        <v>835.56885662831201</v>
      </c>
      <c r="CY56" s="59">
        <f ca="1">AVERAGE(OFFSET($CX$3,0,0,'Données projet'!$E$13+1,1))-AVERAGE(OFFSET($H$3,0,0,'Données projet'!$E$13+1,1))</f>
        <v>338.22448697444298</v>
      </c>
      <c r="CZ56" s="59">
        <f t="shared" si="42"/>
        <v>293.3872365640849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36.771692133352914</v>
      </c>
      <c r="DG56" s="21">
        <f>EXP(-LN(2)/25)*DG55+(1-EXP(-LN(2)/25))/(LN(2)/25)*Calculateur!DB56*Calculateur!DD56*VLOOKUP('Données projet'!$B$13,Paramètres!$A$1:$I$89,3,0)*0.475*44/12</f>
        <v>25.091023943103433</v>
      </c>
      <c r="DH56" s="21">
        <f>EXP(-LN(2)/2)*DH55+(1-EXP(-LN(2)/2))/(LN(2)/2)*DB56*DE56*VLOOKUP('Données projet'!$B$13,Paramètres!$A$1:$I$89,3,0)*0.475*44/12</f>
        <v>2.8660110292126584</v>
      </c>
      <c r="DI56" s="22">
        <f t="shared" si="15"/>
        <v>64.728727105669009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20.355714285714278</v>
      </c>
      <c r="DO56" s="12">
        <f>IF('Données projet'!$A$166&gt;35,DO55+DN56-DW55,IF(A56&lt;'Données projet'!$A$166,$DL$205^A56,IF(A56='Données projet'!$A$166,'Données projet'!$B$166,DO55+DN56-DW55)))</f>
        <v>472.96285714285733</v>
      </c>
      <c r="DP56" s="17">
        <f>DO56*VLOOKUP('Données projet'!$B$14,Paramètres!$A$1:$I$89,3,0)*VLOOKUP('Données projet'!$B$14,Paramètres!$A$1:$I$89,5,0)</f>
        <v>264.38623714285728</v>
      </c>
      <c r="DQ56" s="13">
        <f t="shared" si="43"/>
        <v>63.656434183712321</v>
      </c>
      <c r="DR56" s="20">
        <f t="shared" si="16"/>
        <v>571.34098589377538</v>
      </c>
      <c r="DS56" s="59">
        <f t="shared" si="17"/>
        <v>864.67431922710875</v>
      </c>
      <c r="DT56" s="59">
        <f ca="1">AVERAGE(OFFSET($DS$3,0,0,'Données projet'!$E$14+1,1))-AVERAGE(OFFSET($H$3,0,0,'Données projet'!$E$14+1,1))</f>
        <v>328.15217666639006</v>
      </c>
      <c r="DU56" s="59">
        <f t="shared" si="44"/>
        <v>305.59175773326308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67.720435562471351</v>
      </c>
      <c r="EB56" s="21">
        <f>EXP(-LN(2)/25)*EB55+(1-EXP(-LN(2)/25))/(LN(2)/25)*Calculateur!DW56*Calculateur!DY56*VLOOKUP('Données projet'!$B$14,Paramètres!$A$1:$I$89,3,0)*0.475*44/12</f>
        <v>27.54580348484091</v>
      </c>
      <c r="EC56" s="21">
        <f>EXP(-LN(2)/2)*EC55+(1-EXP(-LN(2)/2))/(LN(2)/2)*DW56*DZ56*VLOOKUP('Données projet'!$B$14,Paramètres!$A$1:$I$89,3,0)*0.475*44/12</f>
        <v>3.870797436423643</v>
      </c>
      <c r="ED56" s="22">
        <f t="shared" si="18"/>
        <v>99.137036483735912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159.78276497127206</v>
      </c>
      <c r="EP56" s="59">
        <f t="shared" si="46"/>
        <v>190.72163407919857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7.6920924336934871</v>
      </c>
      <c r="EW56" s="21">
        <f>EXP(-LN(2)/25)*EW55+(1-EXP(-LN(2)/25))/(LN(2)/25)*Calculateur!ER56*Calculateur!ET56*VLOOKUP('Données projet'!$B$15,Paramètres!$A$1:$I$89,3,0)*0.475*44/12</f>
        <v>41.188856891021231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48.88094932471472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5.3214035087719296</v>
      </c>
      <c r="FE56" s="12">
        <f>IF('Données projet'!$A$218&gt;35,FE55+FD56-FM55,IF(A56&lt;'Données projet'!$A$218,$FB$205^A56,IF(A56='Données projet'!$A$218,'Données projet'!$B$218,FE55+FD56-FM55)))</f>
        <v>282.03438596491253</v>
      </c>
      <c r="FF56" s="17">
        <f>FE56*VLOOKUP('Données projet'!$B$16,Paramètres!$A$1:$I$89,3,0)*VLOOKUP('Données projet'!$B$16,Paramètres!$A$1:$I$89,5,0)</f>
        <v>241.98550315789495</v>
      </c>
      <c r="FG56" s="13">
        <f t="shared" si="47"/>
        <v>58.866516103576984</v>
      </c>
      <c r="FH56" s="20">
        <f t="shared" si="22"/>
        <v>523.98393354706366</v>
      </c>
      <c r="FI56" s="59">
        <f t="shared" si="23"/>
        <v>817.31726688039703</v>
      </c>
      <c r="FJ56" s="59">
        <f ca="1">AVERAGE(OFFSET($FI$3,0,0,'Données projet'!$E$16+1,1))-AVERAGE(OFFSET($H$3,0,0,'Données projet'!$E$16+1,1))</f>
        <v>337.15023592377008</v>
      </c>
      <c r="FK56" s="59">
        <f t="shared" si="48"/>
        <v>286.60608582587099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10.36375</v>
      </c>
      <c r="FZ56" s="12">
        <f>IF('Données projet'!$A$244&gt;35,FZ55+FY56-GH55,IF(A56&lt;'Données projet'!$A$244,$FW$205^A56,IF(A56='Données projet'!$A$244,'Données projet'!$B$244,FZ55+FY56-GH55)))</f>
        <v>201.88125000000022</v>
      </c>
      <c r="GA56" s="17">
        <f>FZ56*VLOOKUP('Données projet'!$B$17,Paramètres!$A$1:$I$89,3,0)*VLOOKUP('Données projet'!$B$17,Paramètres!$A$1:$I$89,5,0)</f>
        <v>182.66215500000018</v>
      </c>
      <c r="GB56" s="13">
        <f t="shared" si="49"/>
        <v>45.913959577546748</v>
      </c>
      <c r="GC56" s="20">
        <f t="shared" si="25"/>
        <v>398.10339955589421</v>
      </c>
      <c r="GD56" s="59">
        <f t="shared" si="26"/>
        <v>691.43673288922753</v>
      </c>
      <c r="GE56" s="59">
        <f ca="1">AVERAGE(OFFSET($GD$3,0,0,'Données projet'!$E$17+1,1))-AVERAGE(OFFSET($H$3,0,0,'Données projet'!$E$17+1,1))</f>
        <v>486.55344536255876</v>
      </c>
      <c r="GF56" s="59">
        <f t="shared" si="50"/>
        <v>231.14794884432229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23.08374576688832</v>
      </c>
      <c r="GN56" s="21">
        <f>EXP(-LN(2)/2)*GN55+(1-EXP(-LN(2)/2))/(LN(2)/2)*GH56*GK56*VLOOKUP('Données projet'!$B$17,Paramètres!$A$1:$I$89,3,0)*0.475*44/12</f>
        <v>2.4340674358824077</v>
      </c>
      <c r="GO56" s="21">
        <f t="shared" si="27"/>
        <v>25.517813202770729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346.33368292897848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16.561250000000001</v>
      </c>
      <c r="N57" s="13">
        <f>IF('Données projet'!$A$36&gt;35,N56+M57-V56,IF(A57&lt;'Données projet'!$A$36,$K$205^A57,IF(A57='Données projet'!$A$36,'Données projet'!$B$36,N56+M57-V56)))</f>
        <v>333.86500000000001</v>
      </c>
      <c r="O57" s="13">
        <f>N57*VLOOKUP('Données projet'!$B$9,Paramètres!$A$1:$I$89,3,0)*VLOOKUP('Données projet'!$B$9,Paramètres!$A$1:$I$89,5,0)</f>
        <v>156.24881999999999</v>
      </c>
      <c r="P57" s="13">
        <f t="shared" si="33"/>
        <v>39.995261606085506</v>
      </c>
      <c r="Q57" s="20">
        <f t="shared" si="53"/>
        <v>341.7917754639322</v>
      </c>
      <c r="R57" s="59">
        <f t="shared" si="0"/>
        <v>635.12510879726551</v>
      </c>
      <c r="S57" s="59">
        <f ca="1">AVERAGE(OFFSET($R$3,0,0,'Données projet'!$E$9+1,1))-AVERAGE(OFFSET($H$3,0,0,'Données projet'!$E$9+1,1))</f>
        <v>252.08270526008477</v>
      </c>
      <c r="T57" s="59">
        <f t="shared" si="34"/>
        <v>239.77811108960179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27.662560011332243</v>
      </c>
      <c r="AA57" s="21">
        <f>EXP(-LN(2)/25)*AA56+(1-EXP(-LN(2)/25))/(LN(2)/25)*Calculateur!V57*Calculateur!X57*VLOOKUP('Données projet'!$B$9,Paramètres!$A$1:$I$89,3,0)*0.475*44/12</f>
        <v>16.24179882567444</v>
      </c>
      <c r="AB57" s="21">
        <f>EXP(-LN(2)/2)*AB56+(1-EXP(-LN(2)/2))/(LN(2)/2)*V57*Y57*VLOOKUP('Données projet'!$B$9,Paramètres!$A$1:$I$89,3,0)*0.475*44/12</f>
        <v>3.2001575991093691</v>
      </c>
      <c r="AC57" s="22">
        <f t="shared" si="3"/>
        <v>47.10451643611605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13.18</v>
      </c>
      <c r="AI57" s="13">
        <f>IF('Données projet'!$A$62&gt;35,AI56+AH57-AQ56,IF(A57&lt;'Données projet'!$A$62,$AF$205^A57,IF(A57='Données projet'!$A$62,'Données projet'!$B$62,AI56+AH57-AQ56)))</f>
        <v>358.66000000000008</v>
      </c>
      <c r="AJ57" s="13">
        <f>AI57*VLOOKUP('Données projet'!$B$10,Paramètres!$A$1:$I$89,3,0)*VLOOKUP('Données projet'!$B$10,Paramètres!$A$1:$I$89,5,0)</f>
        <v>214.47868000000008</v>
      </c>
      <c r="AK57" s="13">
        <f t="shared" si="35"/>
        <v>52.913084692982125</v>
      </c>
      <c r="AL57" s="20">
        <f t="shared" si="4"/>
        <v>465.70732350694396</v>
      </c>
      <c r="AM57" s="59">
        <f t="shared" si="5"/>
        <v>759.04065684027728</v>
      </c>
      <c r="AN57" s="59">
        <f ca="1">AVERAGE(OFFSET($AM$3,0,0,'Données projet'!$E$10+1,1))-AVERAGE(OFFSET($H$3,0,0,'Données projet'!$E$10+1,1))</f>
        <v>251.64326096359997</v>
      </c>
      <c r="AO57" s="59">
        <f t="shared" si="36"/>
        <v>256.72142151189894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50.802623900804704</v>
      </c>
      <c r="AV57" s="21">
        <f>EXP(-LN(2)/25)*AV56+(1-EXP(-LN(2)/25))/(LN(2)/25)*Calculateur!AQ57*Calculateur!AS57*VLOOKUP('Données projet'!$B$10,Paramètres!$A$1:$I$89,3,0)*0.475*44/12</f>
        <v>20.443949594222477</v>
      </c>
      <c r="AW57" s="21">
        <f>EXP(-LN(2)/2)*AW56+(1-EXP(-LN(2)/2))/(LN(2)/2)*AQ57*AT57*VLOOKUP('Données projet'!$B$10,Paramètres!$A$1:$I$89,3,0)*0.475*44/12</f>
        <v>5.4791060753026306</v>
      </c>
      <c r="AX57" s="21">
        <f t="shared" si="6"/>
        <v>76.725679570329802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199.29783428981898</v>
      </c>
      <c r="BJ57" s="59">
        <f t="shared" si="38"/>
        <v>237.32002274562547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6.4927184737458967</v>
      </c>
      <c r="BQ57" s="21">
        <f>EXP(-LN(2)/25)*BQ56+(1-EXP(-LN(2)/25))/(LN(2)/25)*Calculateur!BL57*Calculateur!BN57*VLOOKUP('Données projet'!$B$11,Paramètres!$A$1:$I$89,3,0)*0.475*44/12</f>
        <v>34.492245944560423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40.984964418306319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9.8828571428571443</v>
      </c>
      <c r="BY57" s="12">
        <f>IF('Données projet'!$A$114&gt;35,BY56+BX57-CG56,IF(A57&lt;'Données projet'!$A$114,$BV$205^A57,IF(A57='Données projet'!$A$114,'Données projet'!$B$114,BY56+BX57-CG56)))</f>
        <v>153.43571428571425</v>
      </c>
      <c r="BZ57" s="13">
        <f>BY57*VLOOKUP('Données projet'!$B$12,Paramètres!$A$1:$I$89,3,0)*VLOOKUP('Données projet'!$B$12,Paramètres!$A$1:$I$89,5,0)</f>
        <v>129.2542457142857</v>
      </c>
      <c r="CA57" s="13">
        <f t="shared" si="39"/>
        <v>33.82397975675898</v>
      </c>
      <c r="CB57" s="20">
        <f t="shared" si="10"/>
        <v>284.02790936206947</v>
      </c>
      <c r="CC57" s="59">
        <f t="shared" si="11"/>
        <v>577.36124269540278</v>
      </c>
      <c r="CD57" s="59">
        <f ca="1">AVERAGE(OFFSET($CC$3,0,0,'Données projet'!$E$12+1,1))-AVERAGE(OFFSET($H$3,0,0,'Données projet'!$E$12+1,1))</f>
        <v>295.59075210589327</v>
      </c>
      <c r="CE57" s="59">
        <f t="shared" si="40"/>
        <v>210.41181542059576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5.9811297611775327</v>
      </c>
      <c r="CL57" s="21">
        <f>EXP(-LN(2)/25)*CL56+(1-EXP(-LN(2)/25))/(LN(2)/25)*Calculateur!CG57*Calculateur!CI57*VLOOKUP('Données projet'!$B$12,Paramètres!$A$1:$I$89,3,0)*0.475*44/12</f>
        <v>28.370759770330253</v>
      </c>
      <c r="CM57" s="21">
        <f>EXP(-LN(2)/2)*CM56+(1-EXP(-LN(2)/2))/(LN(2)/2)*CG57*CJ57*VLOOKUP('Données projet'!$B$12,Paramètres!$A$1:$I$89,3,0)*0.475*44/12</f>
        <v>2.1018447522587569</v>
      </c>
      <c r="CN57" s="22">
        <f t="shared" si="12"/>
        <v>36.453734283766543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21.6</v>
      </c>
      <c r="CT57" s="12">
        <f>IF('Données projet'!$A$140&gt;35,CT56+CS57-DB56,IF(A57&lt;'Données projet'!$A$140,$CQ$205^A57,IF(A57='Données projet'!$A$140,'Données projet'!$B$140,CT56+CS57-DB56)))</f>
        <v>572.39999999999986</v>
      </c>
      <c r="CU57" s="17">
        <f>CT57*VLOOKUP('Données projet'!$B$13,Paramètres!$A$1:$I$89,3,0)*VLOOKUP('Données projet'!$B$13,Paramètres!$A$1:$I$89,5,0)</f>
        <v>260.44199999999995</v>
      </c>
      <c r="CV57" s="13">
        <f t="shared" si="41"/>
        <v>62.816585178645781</v>
      </c>
      <c r="CW57" s="20">
        <f t="shared" si="13"/>
        <v>563.00870251947458</v>
      </c>
      <c r="CX57" s="59">
        <f t="shared" si="14"/>
        <v>856.34203585280784</v>
      </c>
      <c r="CY57" s="59">
        <f ca="1">AVERAGE(OFFSET($CX$3,0,0,'Données projet'!$E$13+1,1))-AVERAGE(OFFSET($H$3,0,0,'Données projet'!$E$13+1,1))</f>
        <v>338.22448697444298</v>
      </c>
      <c r="CZ57" s="59">
        <f t="shared" si="42"/>
        <v>293.3872365640849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36.050621679135432</v>
      </c>
      <c r="DG57" s="21">
        <f>EXP(-LN(2)/25)*DG56+(1-EXP(-LN(2)/25))/(LN(2)/25)*Calculateur!DB57*Calculateur!DD57*VLOOKUP('Données projet'!$B$13,Paramètres!$A$1:$I$89,3,0)*0.475*44/12</f>
        <v>24.404908573899668</v>
      </c>
      <c r="DH57" s="21">
        <f>EXP(-LN(2)/2)*DH56+(1-EXP(-LN(2)/2))/(LN(2)/2)*DB57*DE57*VLOOKUP('Données projet'!$B$13,Paramètres!$A$1:$I$89,3,0)*0.475*44/12</f>
        <v>2.026575833711707</v>
      </c>
      <c r="DI57" s="22">
        <f t="shared" si="15"/>
        <v>62.482106086746811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20.355714285714278</v>
      </c>
      <c r="DO57" s="12">
        <f>IF('Données projet'!$A$166&gt;35,DO56+DN57-DW56,IF(A57&lt;'Données projet'!$A$166,$DL$205^A57,IF(A57='Données projet'!$A$166,'Données projet'!$B$166,DO56+DN57-DW56)))</f>
        <v>493.3185714285716</v>
      </c>
      <c r="DP57" s="17">
        <f>DO57*VLOOKUP('Données projet'!$B$14,Paramètres!$A$1:$I$89,3,0)*VLOOKUP('Données projet'!$B$14,Paramètres!$A$1:$I$89,5,0)</f>
        <v>275.76508142857153</v>
      </c>
      <c r="DQ57" s="13">
        <f t="shared" si="43"/>
        <v>66.071256581811042</v>
      </c>
      <c r="DR57" s="20">
        <f t="shared" si="16"/>
        <v>595.36495536808297</v>
      </c>
      <c r="DS57" s="59">
        <f t="shared" si="17"/>
        <v>888.69828870141623</v>
      </c>
      <c r="DT57" s="59">
        <f ca="1">AVERAGE(OFFSET($DS$3,0,0,'Données projet'!$E$14+1,1))-AVERAGE(OFFSET($H$3,0,0,'Données projet'!$E$14+1,1))</f>
        <v>328.15217666639006</v>
      </c>
      <c r="DU57" s="59">
        <f t="shared" si="44"/>
        <v>305.59175773326308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66.392479126478406</v>
      </c>
      <c r="EB57" s="21">
        <f>EXP(-LN(2)/25)*EB56+(1-EXP(-LN(2)/25))/(LN(2)/25)*Calculateur!DW57*Calculateur!DY57*VLOOKUP('Données projet'!$B$14,Paramètres!$A$1:$I$89,3,0)*0.475*44/12</f>
        <v>26.792562039977085</v>
      </c>
      <c r="EC57" s="21">
        <f>EXP(-LN(2)/2)*EC56+(1-EXP(-LN(2)/2))/(LN(2)/2)*DW57*DZ57*VLOOKUP('Données projet'!$B$14,Paramètres!$A$1:$I$89,3,0)*0.475*44/12</f>
        <v>2.7370671158946625</v>
      </c>
      <c r="ED57" s="22">
        <f t="shared" si="18"/>
        <v>95.922108282350152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159.78276497127206</v>
      </c>
      <c r="EP57" s="59">
        <f t="shared" si="46"/>
        <v>190.72163407919857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7.5412551927818745</v>
      </c>
      <c r="EW57" s="21">
        <f>EXP(-LN(2)/25)*EW56+(1-EXP(-LN(2)/25))/(LN(2)/25)*Calculateur!ER57*Calculateur!ET57*VLOOKUP('Données projet'!$B$15,Paramètres!$A$1:$I$89,3,0)*0.475*44/12</f>
        <v>40.062545433308408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47.603800626090283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5.3214035087719296</v>
      </c>
      <c r="FE57" s="12">
        <f>IF('Données projet'!$A$218&gt;35,FE56+FD57-FM56,IF(A57&lt;'Données projet'!$A$218,$FB$205^A57,IF(A57='Données projet'!$A$218,'Données projet'!$B$218,FE56+FD57-FM56)))</f>
        <v>287.35578947368447</v>
      </c>
      <c r="FF57" s="17">
        <f>FE57*VLOOKUP('Données projet'!$B$16,Paramètres!$A$1:$I$89,3,0)*VLOOKUP('Données projet'!$B$16,Paramètres!$A$1:$I$89,5,0)</f>
        <v>246.55126736842132</v>
      </c>
      <c r="FG57" s="13">
        <f t="shared" si="47"/>
        <v>59.846850687711651</v>
      </c>
      <c r="FH57" s="20">
        <f t="shared" si="22"/>
        <v>533.64338894776483</v>
      </c>
      <c r="FI57" s="59">
        <f t="shared" si="23"/>
        <v>826.97672228109809</v>
      </c>
      <c r="FJ57" s="59">
        <f ca="1">AVERAGE(OFFSET($FI$3,0,0,'Données projet'!$E$16+1,1))-AVERAGE(OFFSET($H$3,0,0,'Données projet'!$E$16+1,1))</f>
        <v>337.15023592377008</v>
      </c>
      <c r="FK57" s="59">
        <f t="shared" si="48"/>
        <v>286.60608582587099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10.36375</v>
      </c>
      <c r="FZ57" s="12">
        <f>IF('Données projet'!$A$244&gt;35,FZ56+FY57-GH56,IF(A57&lt;'Données projet'!$A$244,$FW$205^A57,IF(A57='Données projet'!$A$244,'Données projet'!$B$244,FZ56+FY57-GH56)))</f>
        <v>212.24500000000023</v>
      </c>
      <c r="GA57" s="17">
        <f>FZ57*VLOOKUP('Données projet'!$B$17,Paramètres!$A$1:$I$89,3,0)*VLOOKUP('Données projet'!$B$17,Paramètres!$A$1:$I$89,5,0)</f>
        <v>192.0392760000002</v>
      </c>
      <c r="GB57" s="13">
        <f t="shared" si="49"/>
        <v>47.990527307113453</v>
      </c>
      <c r="GC57" s="20">
        <f t="shared" si="25"/>
        <v>418.05190742655623</v>
      </c>
      <c r="GD57" s="59">
        <f t="shared" si="26"/>
        <v>711.38524075988948</v>
      </c>
      <c r="GE57" s="59">
        <f ca="1">AVERAGE(OFFSET($GD$3,0,0,'Données projet'!$E$17+1,1))-AVERAGE(OFFSET($H$3,0,0,'Données projet'!$E$17+1,1))</f>
        <v>486.55344536255876</v>
      </c>
      <c r="GF57" s="59">
        <f t="shared" si="50"/>
        <v>231.14794884432229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22.452519524971329</v>
      </c>
      <c r="GN57" s="21">
        <f>EXP(-LN(2)/2)*GN56+(1-EXP(-LN(2)/2))/(LN(2)/2)*GH57*GK57*VLOOKUP('Données projet'!$B$17,Paramètres!$A$1:$I$89,3,0)*0.475*44/12</f>
        <v>1.7211455897778025</v>
      </c>
      <c r="GO57" s="21">
        <f t="shared" si="27"/>
        <v>24.173665114749131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347.94917989736837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16.561250000000001</v>
      </c>
      <c r="N58" s="13">
        <f>IF('Données projet'!$A$36&gt;35,N57+M58-V57,IF(A58&lt;'Données projet'!$A$36,$K$205^A58,IF(A58='Données projet'!$A$36,'Données projet'!$B$36,N57+M58-V57)))</f>
        <v>350.42624999999998</v>
      </c>
      <c r="O58" s="13">
        <f>N58*VLOOKUP('Données projet'!$B$9,Paramètres!$A$1:$I$89,3,0)*VLOOKUP('Données projet'!$B$9,Paramètres!$A$1:$I$89,5,0)</f>
        <v>163.99948499999999</v>
      </c>
      <c r="P58" s="13">
        <f t="shared" si="33"/>
        <v>41.743310082042726</v>
      </c>
      <c r="Q58" s="20">
        <f t="shared" si="53"/>
        <v>358.33536810122433</v>
      </c>
      <c r="R58" s="59">
        <f t="shared" si="0"/>
        <v>651.66870143455765</v>
      </c>
      <c r="S58" s="59">
        <f ca="1">AVERAGE(OFFSET($R$3,0,0,'Données projet'!$E$9+1,1))-AVERAGE(OFFSET($H$3,0,0,'Données projet'!$E$9+1,1))</f>
        <v>252.08270526008477</v>
      </c>
      <c r="T58" s="59">
        <f t="shared" si="34"/>
        <v>239.77811108960179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27.120114082005603</v>
      </c>
      <c r="AA58" s="21">
        <f>EXP(-LN(2)/25)*AA57+(1-EXP(-LN(2)/25))/(LN(2)/25)*Calculateur!V58*Calculateur!X58*VLOOKUP('Données projet'!$B$9,Paramètres!$A$1:$I$89,3,0)*0.475*44/12</f>
        <v>15.797665982667294</v>
      </c>
      <c r="AB58" s="21">
        <f>EXP(-LN(2)/2)*AB57+(1-EXP(-LN(2)/2))/(LN(2)/2)*V58*Y58*VLOOKUP('Données projet'!$B$9,Paramètres!$A$1:$I$89,3,0)*0.475*44/12</f>
        <v>2.2628531391958959</v>
      </c>
      <c r="AC58" s="22">
        <f t="shared" si="3"/>
        <v>45.180633203868794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13.18</v>
      </c>
      <c r="AI58" s="13">
        <f>IF('Données projet'!$A$62&gt;35,AI57+AH58-AQ57,IF(A58&lt;'Données projet'!$A$62,$AF$205^A58,IF(A58='Données projet'!$A$62,'Données projet'!$B$62,AI57+AH58-AQ57)))</f>
        <v>371.84000000000009</v>
      </c>
      <c r="AJ58" s="13">
        <f>AI58*VLOOKUP('Données projet'!$B$10,Paramètres!$A$1:$I$89,3,0)*VLOOKUP('Données projet'!$B$10,Paramètres!$A$1:$I$89,5,0)</f>
        <v>222.36032000000009</v>
      </c>
      <c r="AK58" s="13">
        <f t="shared" si="35"/>
        <v>54.627570556659869</v>
      </c>
      <c r="AL58" s="20">
        <f t="shared" si="4"/>
        <v>482.42057605284941</v>
      </c>
      <c r="AM58" s="59">
        <f t="shared" si="5"/>
        <v>775.75390938618273</v>
      </c>
      <c r="AN58" s="59">
        <f ca="1">AVERAGE(OFFSET($AM$3,0,0,'Données projet'!$E$10+1,1))-AVERAGE(OFFSET($H$3,0,0,'Données projet'!$E$10+1,1))</f>
        <v>251.64326096359997</v>
      </c>
      <c r="AO58" s="59">
        <f t="shared" si="36"/>
        <v>256.72142151189894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49.806415432650837</v>
      </c>
      <c r="AV58" s="21">
        <f>EXP(-LN(2)/25)*AV57+(1-EXP(-LN(2)/25))/(LN(2)/25)*Calculateur!AQ58*Calculateur!AS58*VLOOKUP('Données projet'!$B$10,Paramètres!$A$1:$I$89,3,0)*0.475*44/12</f>
        <v>19.88490871746788</v>
      </c>
      <c r="AW58" s="21">
        <f>EXP(-LN(2)/2)*AW57+(1-EXP(-LN(2)/2))/(LN(2)/2)*AQ58*AT58*VLOOKUP('Données projet'!$B$10,Paramètres!$A$1:$I$89,3,0)*0.475*44/12</f>
        <v>3.8743130606869007</v>
      </c>
      <c r="AX58" s="21">
        <f t="shared" si="6"/>
        <v>73.565637210805619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199.29783428981898</v>
      </c>
      <c r="BJ58" s="59">
        <f t="shared" si="38"/>
        <v>237.32002274562547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6.3654002246429746</v>
      </c>
      <c r="BQ58" s="21">
        <f>EXP(-LN(2)/25)*BQ57+(1-EXP(-LN(2)/25))/(LN(2)/25)*Calculateur!BL58*Calculateur!BN58*VLOOKUP('Données projet'!$B$11,Paramètres!$A$1:$I$89,3,0)*0.475*44/12</f>
        <v>33.549053665338036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39.914453889981012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9.8828571428571443</v>
      </c>
      <c r="BY58" s="12">
        <f>IF('Données projet'!$A$114&gt;35,BY57+BX58-CG57,IF(A58&lt;'Données projet'!$A$114,$BV$205^A58,IF(A58='Données projet'!$A$114,'Données projet'!$B$114,BY57+BX58-CG57)))</f>
        <v>163.3185714285714</v>
      </c>
      <c r="BZ58" s="13">
        <f>BY58*VLOOKUP('Données projet'!$B$12,Paramètres!$A$1:$I$89,3,0)*VLOOKUP('Données projet'!$B$12,Paramètres!$A$1:$I$89,5,0)</f>
        <v>137.57956457142856</v>
      </c>
      <c r="CA58" s="13">
        <f t="shared" si="39"/>
        <v>35.741956173506047</v>
      </c>
      <c r="CB58" s="20">
        <f t="shared" si="10"/>
        <v>301.86831529742778</v>
      </c>
      <c r="CC58" s="59">
        <f t="shared" si="11"/>
        <v>595.20164863076116</v>
      </c>
      <c r="CD58" s="59">
        <f ca="1">AVERAGE(OFFSET($CC$3,0,0,'Données projet'!$E$12+1,1))-AVERAGE(OFFSET($H$3,0,0,'Données projet'!$E$12+1,1))</f>
        <v>295.59075210589327</v>
      </c>
      <c r="CE58" s="59">
        <f t="shared" si="40"/>
        <v>210.41181542059576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5.8638434546897731</v>
      </c>
      <c r="CL58" s="21">
        <f>EXP(-LN(2)/25)*CL57+(1-EXP(-LN(2)/25))/(LN(2)/25)*Calculateur!CG58*Calculateur!CI58*VLOOKUP('Données projet'!$B$12,Paramètres!$A$1:$I$89,3,0)*0.475*44/12</f>
        <v>27.594959852457158</v>
      </c>
      <c r="CM58" s="21">
        <f>EXP(-LN(2)/2)*CM57+(1-EXP(-LN(2)/2))/(LN(2)/2)*CG58*CJ58*VLOOKUP('Données projet'!$B$12,Paramètres!$A$1:$I$89,3,0)*0.475*44/12</f>
        <v>1.486228677323526</v>
      </c>
      <c r="CN58" s="22">
        <f t="shared" si="12"/>
        <v>34.945031984470454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594</v>
      </c>
      <c r="CR58" s="12">
        <f>VLOOKUP(A58,'Données projet'!$A$139:$I$159,9,0)</f>
        <v>21.6</v>
      </c>
      <c r="CS58" s="12">
        <f t="array" ref="CS58">INDEX(CR:CR,MIN(IF(ISNUMBER(CR58:CR254),ROW(CR58:CR254),"")))</f>
        <v>21.6</v>
      </c>
      <c r="CT58" s="12">
        <f>IF('Données projet'!$A$140&gt;35,CT57+CS58-DB57,IF(A58&lt;'Données projet'!$A$140,$CQ$205^A58,IF(A58='Données projet'!$A$140,'Données projet'!$B$140,CT57+CS58-DB57)))</f>
        <v>593.99999999999989</v>
      </c>
      <c r="CU58" s="17">
        <f>CT58*VLOOKUP('Données projet'!$B$13,Paramètres!$A$1:$I$89,3,0)*VLOOKUP('Données projet'!$B$13,Paramètres!$A$1:$I$89,5,0)</f>
        <v>270.26999999999992</v>
      </c>
      <c r="CV58" s="13">
        <f t="shared" si="41"/>
        <v>64.906566768514395</v>
      </c>
      <c r="CW58" s="20">
        <f t="shared" si="13"/>
        <v>583.76585378849575</v>
      </c>
      <c r="CX58" s="59">
        <f t="shared" si="14"/>
        <v>877.09918712182912</v>
      </c>
      <c r="CY58" s="59">
        <f ca="1">AVERAGE(OFFSET($CX$3,0,0,'Données projet'!$E$13+1,1))-AVERAGE(OFFSET($H$3,0,0,'Données projet'!$E$13+1,1))</f>
        <v>338.22448697444298</v>
      </c>
      <c r="CZ58" s="59">
        <f t="shared" si="42"/>
        <v>293.3872365640849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60</v>
      </c>
      <c r="DC58" s="16">
        <f>IF(ISNA(VLOOKUP(A58,'Données projet'!$A$139:$I$159,5,0)),0%,VLOOKUP(A58,'Données projet'!$A$139:$I$159,5,0)*VLOOKUP('Données projet'!$B$13,Paramètres!$A$1:$I$89,7,0))</f>
        <v>0.33</v>
      </c>
      <c r="DD58" s="16">
        <f>IF(ISNA(VLOOKUP(A58,'Données projet'!$A$139:$I$159,6,0)),0%,VLOOKUP(A58,'Données projet'!$A$139:$I$159,6,0)*VLOOKUP('Données projet'!$B$13,Paramètres!$A$1:$I$89,7,0))</f>
        <v>0.11000000000000001</v>
      </c>
      <c r="DE58" s="16">
        <f>IF(ISNA(VLOOKUP(A58,'Données projet'!$A$139:$I$159,7,0)),0%,VLOOKUP(A58,'Données projet'!$A$139:$I$159,7,0))</f>
        <v>0.2</v>
      </c>
      <c r="DF58" s="21">
        <f>EXP(-LN(2)/35)*DF57+(1-EXP(-LN(2)/35))/(LN(2)/35)*DB58*DC58*VLOOKUP('Données projet'!$B$13,Paramètres!$A$1:$I$89,3,0)*0.475*44/12</f>
        <v>47.294710155770424</v>
      </c>
      <c r="DG58" s="21">
        <f>EXP(-LN(2)/25)*DG57+(1-EXP(-LN(2)/25))/(LN(2)/25)*Calculateur!DB58*Calculateur!DD58*VLOOKUP('Données projet'!$B$13,Paramètres!$A$1:$I$89,3,0)*0.475*44/12</f>
        <v>27.705542886498542</v>
      </c>
      <c r="DH58" s="21">
        <f>EXP(-LN(2)/2)*DH57+(1-EXP(-LN(2)/2))/(LN(2)/2)*DB58*DE58*VLOOKUP('Données projet'!$B$13,Paramètres!$A$1:$I$89,3,0)*0.475*44/12</f>
        <v>7.6149938591008333</v>
      </c>
      <c r="DI58" s="22">
        <f t="shared" si="15"/>
        <v>82.615246901369801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20.355714285714278</v>
      </c>
      <c r="DO58" s="12">
        <f>IF('Données projet'!$A$166&gt;35,DO57+DN58-DW57,IF(A58&lt;'Données projet'!$A$166,$DL$205^A58,IF(A58='Données projet'!$A$166,'Données projet'!$B$166,DO57+DN58-DW57)))</f>
        <v>513.67428571428593</v>
      </c>
      <c r="DP58" s="17">
        <f>DO58*VLOOKUP('Données projet'!$B$14,Paramètres!$A$1:$I$89,3,0)*VLOOKUP('Données projet'!$B$14,Paramètres!$A$1:$I$89,5,0)</f>
        <v>287.14392571428584</v>
      </c>
      <c r="DQ58" s="13">
        <f t="shared" si="43"/>
        <v>68.474504947595136</v>
      </c>
      <c r="DR58" s="20">
        <f t="shared" si="16"/>
        <v>619.36876673610948</v>
      </c>
      <c r="DS58" s="59">
        <f t="shared" si="17"/>
        <v>912.70210006944285</v>
      </c>
      <c r="DT58" s="59">
        <f ca="1">AVERAGE(OFFSET($DS$3,0,0,'Données projet'!$E$14+1,1))-AVERAGE(OFFSET($H$3,0,0,'Données projet'!$E$14+1,1))</f>
        <v>328.15217666639006</v>
      </c>
      <c r="DU58" s="59">
        <f t="shared" si="44"/>
        <v>305.59175773326308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65.090563106221836</v>
      </c>
      <c r="EB58" s="21">
        <f>EXP(-LN(2)/25)*EB57+(1-EXP(-LN(2)/25))/(LN(2)/25)*Calculateur!DW58*Calculateur!DY58*VLOOKUP('Données projet'!$B$14,Paramètres!$A$1:$I$89,3,0)*0.475*44/12</f>
        <v>26.05991802203431</v>
      </c>
      <c r="EC58" s="21">
        <f>EXP(-LN(2)/2)*EC57+(1-EXP(-LN(2)/2))/(LN(2)/2)*DW58*DZ58*VLOOKUP('Données projet'!$B$14,Paramètres!$A$1:$I$89,3,0)*0.475*44/12</f>
        <v>1.935398718211822</v>
      </c>
      <c r="ED58" s="22">
        <f t="shared" si="18"/>
        <v>93.085879846467975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159.78276497127206</v>
      </c>
      <c r="EP58" s="59">
        <f t="shared" si="46"/>
        <v>190.72163407919857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7.3933757781629055</v>
      </c>
      <c r="EW58" s="21">
        <f>EXP(-LN(2)/25)*EW57+(1-EXP(-LN(2)/25))/(LN(2)/25)*Calculateur!ER58*Calculateur!ET58*VLOOKUP('Données projet'!$B$15,Paramètres!$A$1:$I$89,3,0)*0.475*44/12</f>
        <v>38.967033021636887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46.360408799799792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5.3214035087719296</v>
      </c>
      <c r="FE58" s="12">
        <f>IF('Données projet'!$A$218&gt;35,FE57+FD58-FM57,IF(A58&lt;'Données projet'!$A$218,$FB$205^A58,IF(A58='Données projet'!$A$218,'Données projet'!$B$218,FE57+FD58-FM57)))</f>
        <v>292.6771929824564</v>
      </c>
      <c r="FF58" s="17">
        <f>FE58*VLOOKUP('Données projet'!$B$16,Paramètres!$A$1:$I$89,3,0)*VLOOKUP('Données projet'!$B$16,Paramètres!$A$1:$I$89,5,0)</f>
        <v>251.1170315789476</v>
      </c>
      <c r="FG58" s="13">
        <f t="shared" si="47"/>
        <v>60.825074254522193</v>
      </c>
      <c r="FH58" s="20">
        <f t="shared" si="22"/>
        <v>543.29916765995983</v>
      </c>
      <c r="FI58" s="59">
        <f t="shared" si="23"/>
        <v>836.63250099329321</v>
      </c>
      <c r="FJ58" s="59">
        <f ca="1">AVERAGE(OFFSET($FI$3,0,0,'Données projet'!$E$16+1,1))-AVERAGE(OFFSET($H$3,0,0,'Données projet'!$E$16+1,1))</f>
        <v>337.15023592377008</v>
      </c>
      <c r="FK58" s="59">
        <f t="shared" si="48"/>
        <v>286.60608582587099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10.36375</v>
      </c>
      <c r="FZ58" s="12">
        <f>IF('Données projet'!$A$244&gt;35,FZ57+FY58-GH57,IF(A58&lt;'Données projet'!$A$244,$FW$205^A58,IF(A58='Données projet'!$A$244,'Données projet'!$B$244,FZ57+FY58-GH57)))</f>
        <v>222.60875000000024</v>
      </c>
      <c r="GA58" s="17">
        <f>FZ58*VLOOKUP('Données projet'!$B$17,Paramètres!$A$1:$I$89,3,0)*VLOOKUP('Données projet'!$B$17,Paramètres!$A$1:$I$89,5,0)</f>
        <v>201.41639700000019</v>
      </c>
      <c r="GB58" s="13">
        <f t="shared" si="49"/>
        <v>50.055320951535919</v>
      </c>
      <c r="GC58" s="20">
        <f t="shared" si="25"/>
        <v>437.97990876559203</v>
      </c>
      <c r="GD58" s="59">
        <f t="shared" si="26"/>
        <v>731.31324209892534</v>
      </c>
      <c r="GE58" s="59">
        <f ca="1">AVERAGE(OFFSET($GD$3,0,0,'Données projet'!$E$17+1,1))-AVERAGE(OFFSET($H$3,0,0,'Données projet'!$E$17+1,1))</f>
        <v>486.55344536255876</v>
      </c>
      <c r="GF58" s="59">
        <f t="shared" si="50"/>
        <v>231.14794884432229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21.838554197834302</v>
      </c>
      <c r="GN58" s="21">
        <f>EXP(-LN(2)/2)*GN57+(1-EXP(-LN(2)/2))/(LN(2)/2)*GH58*GK58*VLOOKUP('Données projet'!$B$17,Paramètres!$A$1:$I$89,3,0)*0.475*44/12</f>
        <v>1.2170337179412041</v>
      </c>
      <c r="GO58" s="21">
        <f t="shared" si="27"/>
        <v>23.055587915775504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349.56396117778473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16.561250000000001</v>
      </c>
      <c r="N59" s="13">
        <f>IF('Données projet'!$A$36&gt;35,N58+M59-V58,IF(A59&lt;'Données projet'!$A$36,$K$205^A59,IF(A59='Données projet'!$A$36,'Données projet'!$B$36,N58+M59-V58)))</f>
        <v>366.98749999999995</v>
      </c>
      <c r="O59" s="13">
        <f>N59*VLOOKUP('Données projet'!$B$9,Paramètres!$A$1:$I$89,3,0)*VLOOKUP('Données projet'!$B$9,Paramètres!$A$1:$I$89,5,0)</f>
        <v>171.75014999999996</v>
      </c>
      <c r="P59" s="13">
        <f t="shared" si="33"/>
        <v>43.481765000846472</v>
      </c>
      <c r="Q59" s="20">
        <f t="shared" si="53"/>
        <v>374.86225195980757</v>
      </c>
      <c r="R59" s="59">
        <f t="shared" si="0"/>
        <v>668.19558529314088</v>
      </c>
      <c r="S59" s="59">
        <f ca="1">AVERAGE(OFFSET($R$3,0,0,'Données projet'!$E$9+1,1))-AVERAGE(OFFSET($H$3,0,0,'Données projet'!$E$9+1,1))</f>
        <v>252.08270526008477</v>
      </c>
      <c r="T59" s="59">
        <f t="shared" si="34"/>
        <v>239.77811108960179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26.588305186493713</v>
      </c>
      <c r="AA59" s="21">
        <f>EXP(-LN(2)/25)*AA58+(1-EXP(-LN(2)/25))/(LN(2)/25)*Calculateur!V59*Calculateur!X59*VLOOKUP('Données projet'!$B$9,Paramètres!$A$1:$I$89,3,0)*0.475*44/12</f>
        <v>15.365677975608108</v>
      </c>
      <c r="AB59" s="21">
        <f>EXP(-LN(2)/2)*AB58+(1-EXP(-LN(2)/2))/(LN(2)/2)*V59*Y59*VLOOKUP('Données projet'!$B$9,Paramètres!$A$1:$I$89,3,0)*0.475*44/12</f>
        <v>1.6000787995546846</v>
      </c>
      <c r="AC59" s="22">
        <f t="shared" si="3"/>
        <v>43.554061961656508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13.18</v>
      </c>
      <c r="AI59" s="13">
        <f>IF('Données projet'!$A$62&gt;35,AI58+AH59-AQ58,IF(A59&lt;'Données projet'!$A$62,$AF$205^A59,IF(A59='Données projet'!$A$62,'Données projet'!$B$62,AI58+AH59-AQ58)))</f>
        <v>385.0200000000001</v>
      </c>
      <c r="AJ59" s="13">
        <f>AI59*VLOOKUP('Données projet'!$B$10,Paramètres!$A$1:$I$89,3,0)*VLOOKUP('Données projet'!$B$10,Paramètres!$A$1:$I$89,5,0)</f>
        <v>230.24196000000006</v>
      </c>
      <c r="AK59" s="13">
        <f t="shared" si="35"/>
        <v>56.334995738213507</v>
      </c>
      <c r="AL59" s="20">
        <f t="shared" si="4"/>
        <v>499.12153124405523</v>
      </c>
      <c r="AM59" s="59">
        <f t="shared" si="5"/>
        <v>792.45486457738855</v>
      </c>
      <c r="AN59" s="59">
        <f ca="1">AVERAGE(OFFSET($AM$3,0,0,'Données projet'!$E$10+1,1))-AVERAGE(OFFSET($H$3,0,0,'Données projet'!$E$10+1,1))</f>
        <v>251.64326096359997</v>
      </c>
      <c r="AO59" s="59">
        <f t="shared" si="36"/>
        <v>256.72142151189894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48.829742004930303</v>
      </c>
      <c r="AV59" s="21">
        <f>EXP(-LN(2)/25)*AV58+(1-EXP(-LN(2)/25))/(LN(2)/25)*Calculateur!AQ59*Calculateur!AS59*VLOOKUP('Données projet'!$B$10,Paramètres!$A$1:$I$89,3,0)*0.475*44/12</f>
        <v>19.341154842886819</v>
      </c>
      <c r="AW59" s="21">
        <f>EXP(-LN(2)/2)*AW58+(1-EXP(-LN(2)/2))/(LN(2)/2)*AQ59*AT59*VLOOKUP('Données projet'!$B$10,Paramètres!$A$1:$I$89,3,0)*0.475*44/12</f>
        <v>2.7395530376513157</v>
      </c>
      <c r="AX59" s="21">
        <f t="shared" si="6"/>
        <v>70.910449885468438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199.29783428981898</v>
      </c>
      <c r="BJ59" s="59">
        <f t="shared" si="38"/>
        <v>237.32002274562547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6.2405786087484971</v>
      </c>
      <c r="BQ59" s="21">
        <f>EXP(-LN(2)/25)*BQ58+(1-EXP(-LN(2)/25))/(LN(2)/25)*Calculateur!BL59*Calculateur!BN59*VLOOKUP('Données projet'!$B$11,Paramètres!$A$1:$I$89,3,0)*0.475*44/12</f>
        <v>32.631653028591316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38.872231637339816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9.8828571428571443</v>
      </c>
      <c r="BY59" s="12">
        <f>IF('Données projet'!$A$114&gt;35,BY58+BX59-CG58,IF(A59&lt;'Données projet'!$A$114,$BV$205^A59,IF(A59='Données projet'!$A$114,'Données projet'!$B$114,BY58+BX59-CG58)))</f>
        <v>173.20142857142855</v>
      </c>
      <c r="BZ59" s="13">
        <f>BY59*VLOOKUP('Données projet'!$B$12,Paramètres!$A$1:$I$89,3,0)*VLOOKUP('Données projet'!$B$12,Paramètres!$A$1:$I$89,5,0)</f>
        <v>145.90488342857142</v>
      </c>
      <c r="CA59" s="13">
        <f t="shared" si="39"/>
        <v>37.646461758971725</v>
      </c>
      <c r="CB59" s="20">
        <f t="shared" si="10"/>
        <v>319.68525953497095</v>
      </c>
      <c r="CC59" s="59">
        <f t="shared" si="11"/>
        <v>613.01859286830427</v>
      </c>
      <c r="CD59" s="59">
        <f ca="1">AVERAGE(OFFSET($CC$3,0,0,'Données projet'!$E$12+1,1))-AVERAGE(OFFSET($H$3,0,0,'Données projet'!$E$12+1,1))</f>
        <v>295.59075210589327</v>
      </c>
      <c r="CE59" s="59">
        <f t="shared" si="40"/>
        <v>210.41181542059576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5.7488570611346548</v>
      </c>
      <c r="CL59" s="21">
        <f>EXP(-LN(2)/25)*CL58+(1-EXP(-LN(2)/25))/(LN(2)/25)*Calculateur!CG59*Calculateur!CI59*VLOOKUP('Données projet'!$B$12,Paramètres!$A$1:$I$89,3,0)*0.475*44/12</f>
        <v>26.840374224135847</v>
      </c>
      <c r="CM59" s="21">
        <f>EXP(-LN(2)/2)*CM58+(1-EXP(-LN(2)/2))/(LN(2)/2)*CG59*CJ59*VLOOKUP('Données projet'!$B$12,Paramètres!$A$1:$I$89,3,0)*0.475*44/12</f>
        <v>1.0509223761293784</v>
      </c>
      <c r="CN59" s="22">
        <f t="shared" si="12"/>
        <v>33.640153661399879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20</v>
      </c>
      <c r="CT59" s="12">
        <f>IF('Données projet'!$A$140&gt;35,CT58+CS59-DB58,IF(A59&lt;'Données projet'!$A$140,$CQ$205^A59,IF(A59='Données projet'!$A$140,'Données projet'!$B$140,CT58+CS59-DB58)))</f>
        <v>553.99999999999989</v>
      </c>
      <c r="CU59" s="17">
        <f>CT59*VLOOKUP('Données projet'!$B$13,Paramètres!$A$1:$I$89,3,0)*VLOOKUP('Données projet'!$B$13,Paramètres!$A$1:$I$89,5,0)</f>
        <v>252.06999999999994</v>
      </c>
      <c r="CV59" s="13">
        <f t="shared" si="41"/>
        <v>61.028987247895245</v>
      </c>
      <c r="CW59" s="20">
        <f t="shared" si="13"/>
        <v>545.31406945675087</v>
      </c>
      <c r="CX59" s="59">
        <f t="shared" si="14"/>
        <v>838.64740279008424</v>
      </c>
      <c r="CY59" s="59">
        <f ca="1">AVERAGE(OFFSET($CX$3,0,0,'Données projet'!$E$13+1,1))-AVERAGE(OFFSET($H$3,0,0,'Données projet'!$E$13+1,1))</f>
        <v>338.22448697444298</v>
      </c>
      <c r="CZ59" s="59">
        <f t="shared" si="42"/>
        <v>293.3872365640849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46.367289736540563</v>
      </c>
      <c r="DG59" s="21">
        <f>EXP(-LN(2)/25)*DG58+(1-EXP(-LN(2)/25))/(LN(2)/25)*Calculateur!DB59*Calculateur!DD59*VLOOKUP('Données projet'!$B$13,Paramètres!$A$1:$I$89,3,0)*0.475*44/12</f>
        <v>26.947933359296062</v>
      </c>
      <c r="DH59" s="21">
        <f>EXP(-LN(2)/2)*DH58+(1-EXP(-LN(2)/2))/(LN(2)/2)*DB59*DE59*VLOOKUP('Données projet'!$B$13,Paramètres!$A$1:$I$89,3,0)*0.475*44/12</f>
        <v>5.3846137964641168</v>
      </c>
      <c r="DI59" s="22">
        <f t="shared" si="15"/>
        <v>78.699836892300752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534.03</v>
      </c>
      <c r="DM59" s="12">
        <f>VLOOKUP(A59,'Données projet'!$A$165:$I$185,9,0)</f>
        <v>20.355714285714278</v>
      </c>
      <c r="DN59" s="12">
        <f t="array" ref="DN59">INDEX(DM:DM,MIN(IF(ISNUMBER(DM59:DM255),ROW(DM59:DM255),"")))</f>
        <v>20.355714285714278</v>
      </c>
      <c r="DO59" s="12">
        <f>IF('Données projet'!$A$166&gt;35,DO58+DN59-DW58,IF(A59&lt;'Données projet'!$A$166,$DL$205^A59,IF(A59='Données projet'!$A$166,'Données projet'!$B$166,DO58+DN59-DW58)))</f>
        <v>534.0300000000002</v>
      </c>
      <c r="DP59" s="17">
        <f>DO59*VLOOKUP('Données projet'!$B$14,Paramètres!$A$1:$I$89,3,0)*VLOOKUP('Données projet'!$B$14,Paramètres!$A$1:$I$89,5,0)</f>
        <v>298.52277000000015</v>
      </c>
      <c r="DQ59" s="13">
        <f t="shared" si="43"/>
        <v>70.866690413510668</v>
      </c>
      <c r="DR59" s="20">
        <f t="shared" si="16"/>
        <v>643.35331022019807</v>
      </c>
      <c r="DS59" s="59">
        <f t="shared" si="17"/>
        <v>936.68664355353144</v>
      </c>
      <c r="DT59" s="59">
        <f ca="1">AVERAGE(OFFSET($DS$3,0,0,'Données projet'!$E$14+1,1))-AVERAGE(OFFSET($H$3,0,0,'Données projet'!$E$14+1,1))</f>
        <v>328.15217666639006</v>
      </c>
      <c r="DU59" s="59">
        <f t="shared" si="44"/>
        <v>305.59175773326308</v>
      </c>
      <c r="DV59" s="15">
        <f>IF(ISNA(VLOOKUP(A59,'Données projet'!$A$165:$I$185,3,0)),0,VLOOKUP(A59,'Données projet'!$A$165:$I$185,3,0))</f>
        <v>6</v>
      </c>
      <c r="DW59" s="15">
        <f>IF(ISNA(VLOOKUP(A59,'Données projet'!$A$165:$I$185,4,0)),0,VLOOKUP(A59,'Données projet'!$A$165:$I$185,4,0))</f>
        <v>94.669999999999959</v>
      </c>
      <c r="DX59" s="16">
        <f>IF(ISNA(VLOOKUP(A59,'Données projet'!$A$165:$I$185,5,0)),0%,VLOOKUP(A59,'Données projet'!$A$165:$I$185,5,0)*VLOOKUP('Données projet'!$B$14,Paramètres!$A$1:$I$89,7,0))</f>
        <v>0.33</v>
      </c>
      <c r="DY59" s="16">
        <f>IF(ISNA(VLOOKUP(A59,'Données projet'!$A$165:$I$185,6,0)),0%,VLOOKUP(A59,'Données projet'!$A$165:$I$185,6,0)*VLOOKUP('Données projet'!$B$14,Paramètres!$A$1:$I$89,7,0))</f>
        <v>0.11000000000000001</v>
      </c>
      <c r="DZ59" s="16">
        <f>IF(ISNA(VLOOKUP(A59,'Données projet'!$A$165:$I$185,7,0)),0%,VLOOKUP(A59,'Données projet'!$A$165:$I$185,7,0))</f>
        <v>0.2</v>
      </c>
      <c r="EA59" s="21">
        <f>EXP(-LN(2)/35)*EA58+(1-EXP(-LN(2)/35))/(LN(2)/35)*DW59*DX59*VLOOKUP('Données projet'!$B$14,Paramètres!$A$1:$I$89,3,0)*0.475*44/12</f>
        <v>86.980999905169341</v>
      </c>
      <c r="EB59" s="21">
        <f>EXP(-LN(2)/25)*EB58+(1-EXP(-LN(2)/25))/(LN(2)/25)*Calculateur!DW59*Calculateur!DY59*VLOOKUP('Données projet'!$B$14,Paramètres!$A$1:$I$89,3,0)*0.475*44/12</f>
        <v>33.039177003482436</v>
      </c>
      <c r="EC59" s="21">
        <f>EXP(-LN(2)/2)*EC58+(1-EXP(-LN(2)/2))/(LN(2)/2)*DW59*DZ59*VLOOKUP('Données projet'!$B$14,Paramètres!$A$1:$I$89,3,0)*0.475*44/12</f>
        <v>13.352200211590977</v>
      </c>
      <c r="ED59" s="22">
        <f t="shared" si="18"/>
        <v>133.37237712024276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159.78276497127206</v>
      </c>
      <c r="EP59" s="59">
        <f t="shared" si="46"/>
        <v>190.72163407919857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7.248396188667078</v>
      </c>
      <c r="EW59" s="21">
        <f>EXP(-LN(2)/25)*EW58+(1-EXP(-LN(2)/25))/(LN(2)/25)*Calculateur!ER59*Calculateur!ET59*VLOOKUP('Données projet'!$B$15,Paramètres!$A$1:$I$89,3,0)*0.475*44/12</f>
        <v>37.901477454473017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45.149873643140097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5.3214035087719296</v>
      </c>
      <c r="FE59" s="12">
        <f>IF('Données projet'!$A$218&gt;35,FE58+FD59-FM58,IF(A59&lt;'Données projet'!$A$218,$FB$205^A59,IF(A59='Données projet'!$A$218,'Données projet'!$B$218,FE58+FD59-FM58)))</f>
        <v>297.99859649122834</v>
      </c>
      <c r="FF59" s="17">
        <f>FE59*VLOOKUP('Données projet'!$B$16,Paramètres!$A$1:$I$89,3,0)*VLOOKUP('Données projet'!$B$16,Paramètres!$A$1:$I$89,5,0)</f>
        <v>255.68279578947397</v>
      </c>
      <c r="FG59" s="13">
        <f t="shared" si="47"/>
        <v>61.801229613267431</v>
      </c>
      <c r="FH59" s="20">
        <f t="shared" si="22"/>
        <v>552.95134424310788</v>
      </c>
      <c r="FI59" s="59">
        <f t="shared" si="23"/>
        <v>846.28467757644125</v>
      </c>
      <c r="FJ59" s="59">
        <f ca="1">AVERAGE(OFFSET($FI$3,0,0,'Données projet'!$E$16+1,1))-AVERAGE(OFFSET($H$3,0,0,'Données projet'!$E$16+1,1))</f>
        <v>337.15023592377008</v>
      </c>
      <c r="FK59" s="59">
        <f t="shared" si="48"/>
        <v>286.60608582587099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10.36375</v>
      </c>
      <c r="FZ59" s="12">
        <f>IF('Données projet'!$A$244&gt;35,FZ58+FY59-GH58,IF(A59&lt;'Données projet'!$A$244,$FW$205^A59,IF(A59='Données projet'!$A$244,'Données projet'!$B$244,FZ58+FY59-GH58)))</f>
        <v>232.97250000000025</v>
      </c>
      <c r="GA59" s="17">
        <f>FZ59*VLOOKUP('Données projet'!$B$17,Paramètres!$A$1:$I$89,3,0)*VLOOKUP('Données projet'!$B$17,Paramètres!$A$1:$I$89,5,0)</f>
        <v>210.7935180000002</v>
      </c>
      <c r="GB59" s="13">
        <f t="shared" si="49"/>
        <v>52.108951264882847</v>
      </c>
      <c r="GC59" s="20">
        <f t="shared" si="25"/>
        <v>457.88846730300457</v>
      </c>
      <c r="GD59" s="59">
        <f t="shared" si="26"/>
        <v>751.22180063633789</v>
      </c>
      <c r="GE59" s="59">
        <f ca="1">AVERAGE(OFFSET($GD$3,0,0,'Données projet'!$E$17+1,1))-AVERAGE(OFFSET($H$3,0,0,'Données projet'!$E$17+1,1))</f>
        <v>486.55344536255876</v>
      </c>
      <c r="GF59" s="59">
        <f t="shared" si="50"/>
        <v>231.14794884432229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21.241377784854869</v>
      </c>
      <c r="GN59" s="21">
        <f>EXP(-LN(2)/2)*GN58+(1-EXP(-LN(2)/2))/(LN(2)/2)*GH59*GK59*VLOOKUP('Données projet'!$B$17,Paramètres!$A$1:$I$89,3,0)*0.475*44/12</f>
        <v>0.86057279488890148</v>
      </c>
      <c r="GO59" s="21">
        <f t="shared" si="27"/>
        <v>22.101950579743772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351.17804102468801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16.561250000000001</v>
      </c>
      <c r="N60" s="13">
        <f>IF('Données projet'!$A$36&gt;35,N59+M60-V59,IF(A60&lt;'Données projet'!$A$36,$K$205^A60,IF(A60='Données projet'!$A$36,'Données projet'!$B$36,N59+M60-V59)))</f>
        <v>383.54874999999993</v>
      </c>
      <c r="O60" s="13">
        <f>N60*VLOOKUP('Données projet'!$B$9,Paramètres!$A$1:$I$89,3,0)*VLOOKUP('Données projet'!$B$9,Paramètres!$A$1:$I$89,5,0)</f>
        <v>179.50081499999996</v>
      </c>
      <c r="P60" s="13">
        <f t="shared" si="33"/>
        <v>45.211108757127889</v>
      </c>
      <c r="Q60" s="20">
        <f t="shared" si="53"/>
        <v>391.37326721033105</v>
      </c>
      <c r="R60" s="59">
        <f t="shared" si="0"/>
        <v>684.70660054366431</v>
      </c>
      <c r="S60" s="59">
        <f ca="1">AVERAGE(OFFSET($R$3,0,0,'Données projet'!$E$9+1,1))-AVERAGE(OFFSET($H$3,0,0,'Données projet'!$E$9+1,1))</f>
        <v>252.08270526008477</v>
      </c>
      <c r="T60" s="59">
        <f t="shared" si="34"/>
        <v>239.77811108960179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26.066924739051412</v>
      </c>
      <c r="AA60" s="21">
        <f>EXP(-LN(2)/25)*AA59+(1-EXP(-LN(2)/25))/(LN(2)/25)*Calculateur!V60*Calculateur!X60*VLOOKUP('Données projet'!$B$9,Paramètres!$A$1:$I$89,3,0)*0.475*44/12</f>
        <v>14.945502703319217</v>
      </c>
      <c r="AB60" s="21">
        <f>EXP(-LN(2)/2)*AB59+(1-EXP(-LN(2)/2))/(LN(2)/2)*V60*Y60*VLOOKUP('Données projet'!$B$9,Paramètres!$A$1:$I$89,3,0)*0.475*44/12</f>
        <v>1.131426569597948</v>
      </c>
      <c r="AC60" s="22">
        <f t="shared" si="3"/>
        <v>42.143854011968578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13.18</v>
      </c>
      <c r="AI60" s="13">
        <f>IF('Données projet'!$A$62&gt;35,AI59+AH60-AQ59,IF(A60&lt;'Données projet'!$A$62,$AF$205^A60,IF(A60='Données projet'!$A$62,'Données projet'!$B$62,AI59+AH60-AQ59)))</f>
        <v>398.2000000000001</v>
      </c>
      <c r="AJ60" s="13">
        <f>AI60*VLOOKUP('Données projet'!$B$10,Paramètres!$A$1:$I$89,3,0)*VLOOKUP('Données projet'!$B$10,Paramètres!$A$1:$I$89,5,0)</f>
        <v>238.12360000000007</v>
      </c>
      <c r="AK60" s="13">
        <f t="shared" si="35"/>
        <v>58.035629642885198</v>
      </c>
      <c r="AL60" s="20">
        <f t="shared" si="4"/>
        <v>515.81065829469196</v>
      </c>
      <c r="AM60" s="59">
        <f t="shared" si="5"/>
        <v>809.14399162802533</v>
      </c>
      <c r="AN60" s="59">
        <f ca="1">AVERAGE(OFFSET($AM$3,0,0,'Données projet'!$E$10+1,1))-AVERAGE(OFFSET($H$3,0,0,'Données projet'!$E$10+1,1))</f>
        <v>251.64326096359997</v>
      </c>
      <c r="AO60" s="59">
        <f t="shared" si="36"/>
        <v>256.72142151189894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47.872220547415395</v>
      </c>
      <c r="AV60" s="21">
        <f>EXP(-LN(2)/25)*AV59+(1-EXP(-LN(2)/25))/(LN(2)/25)*Calculateur!AQ60*Calculateur!AS60*VLOOKUP('Données projet'!$B$10,Paramètres!$A$1:$I$89,3,0)*0.475*44/12</f>
        <v>18.812269946600949</v>
      </c>
      <c r="AW60" s="21">
        <f>EXP(-LN(2)/2)*AW59+(1-EXP(-LN(2)/2))/(LN(2)/2)*AQ60*AT60*VLOOKUP('Données projet'!$B$10,Paramètres!$A$1:$I$89,3,0)*0.475*44/12</f>
        <v>1.9371565303434506</v>
      </c>
      <c r="AX60" s="21">
        <f t="shared" si="6"/>
        <v>68.621647024359788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199.29783428981898</v>
      </c>
      <c r="BJ60" s="59">
        <f t="shared" si="38"/>
        <v>237.32002274562547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6.1182046686080422</v>
      </c>
      <c r="BQ60" s="21">
        <f>EXP(-LN(2)/25)*BQ59+(1-EXP(-LN(2)/25))/(LN(2)/25)*Calculateur!BL60*Calculateur!BN60*VLOOKUP('Données projet'!$B$11,Paramètres!$A$1:$I$89,3,0)*0.475*44/12</f>
        <v>31.739338760500434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37.857543429108475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9.8828571428571443</v>
      </c>
      <c r="BY60" s="12">
        <f>IF('Données projet'!$A$114&gt;35,BY59+BX60-CG59,IF(A60&lt;'Données projet'!$A$114,$BV$205^A60,IF(A60='Données projet'!$A$114,'Données projet'!$B$114,BY59+BX60-CG59)))</f>
        <v>183.0842857142857</v>
      </c>
      <c r="BZ60" s="13">
        <f>BY60*VLOOKUP('Données projet'!$B$12,Paramètres!$A$1:$I$89,3,0)*VLOOKUP('Données projet'!$B$12,Paramètres!$A$1:$I$89,5,0)</f>
        <v>154.23020228571428</v>
      </c>
      <c r="CA60" s="13">
        <f t="shared" si="39"/>
        <v>39.538352739448172</v>
      </c>
      <c r="CB60" s="20">
        <f t="shared" si="10"/>
        <v>337.48023333549128</v>
      </c>
      <c r="CC60" s="59">
        <f t="shared" si="11"/>
        <v>630.81356666882459</v>
      </c>
      <c r="CD60" s="59">
        <f ca="1">AVERAGE(OFFSET($CC$3,0,0,'Données projet'!$E$12+1,1))-AVERAGE(OFFSET($H$3,0,0,'Données projet'!$E$12+1,1))</f>
        <v>295.59075210589327</v>
      </c>
      <c r="CE60" s="59">
        <f t="shared" si="40"/>
        <v>210.41181542059576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5.6361254806223773</v>
      </c>
      <c r="CL60" s="21">
        <f>EXP(-LN(2)/25)*CL59+(1-EXP(-LN(2)/25))/(LN(2)/25)*Calculateur!CG60*Calculateur!CI60*VLOOKUP('Données projet'!$B$12,Paramètres!$A$1:$I$89,3,0)*0.475*44/12</f>
        <v>26.106422779502918</v>
      </c>
      <c r="CM60" s="21">
        <f>EXP(-LN(2)/2)*CM59+(1-EXP(-LN(2)/2))/(LN(2)/2)*CG60*CJ60*VLOOKUP('Données projet'!$B$12,Paramètres!$A$1:$I$89,3,0)*0.475*44/12</f>
        <v>0.74311433866176302</v>
      </c>
      <c r="CN60" s="22">
        <f t="shared" si="12"/>
        <v>32.485662598787059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20</v>
      </c>
      <c r="CT60" s="12">
        <f>IF('Données projet'!$A$140&gt;35,CT59+CS60-DB59,IF(A60&lt;'Données projet'!$A$140,$CQ$205^A60,IF(A60='Données projet'!$A$140,'Données projet'!$B$140,CT59+CS60-DB59)))</f>
        <v>573.99999999999989</v>
      </c>
      <c r="CU60" s="17">
        <f>CT60*VLOOKUP('Données projet'!$B$13,Paramètres!$A$1:$I$89,3,0)*VLOOKUP('Données projet'!$B$13,Paramètres!$A$1:$I$89,5,0)</f>
        <v>261.16999999999996</v>
      </c>
      <c r="CV60" s="13">
        <f t="shared" si="41"/>
        <v>62.971709467511317</v>
      </c>
      <c r="CW60" s="20">
        <f t="shared" si="13"/>
        <v>564.54681065591546</v>
      </c>
      <c r="CX60" s="59">
        <f t="shared" si="14"/>
        <v>857.88014398924884</v>
      </c>
      <c r="CY60" s="59">
        <f ca="1">AVERAGE(OFFSET($CX$3,0,0,'Données projet'!$E$13+1,1))-AVERAGE(OFFSET($H$3,0,0,'Données projet'!$E$13+1,1))</f>
        <v>338.22448697444298</v>
      </c>
      <c r="CZ60" s="59">
        <f t="shared" si="42"/>
        <v>293.3872365640849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45.458055466061197</v>
      </c>
      <c r="DG60" s="21">
        <f>EXP(-LN(2)/25)*DG59+(1-EXP(-LN(2)/25))/(LN(2)/25)*Calculateur!DB60*Calculateur!DD60*VLOOKUP('Données projet'!$B$13,Paramètres!$A$1:$I$89,3,0)*0.475*44/12</f>
        <v>26.211040704455886</v>
      </c>
      <c r="DH60" s="21">
        <f>EXP(-LN(2)/2)*DH59+(1-EXP(-LN(2)/2))/(LN(2)/2)*DB60*DE60*VLOOKUP('Données projet'!$B$13,Paramètres!$A$1:$I$89,3,0)*0.475*44/12</f>
        <v>3.8074969295504175</v>
      </c>
      <c r="DI60" s="22">
        <f t="shared" si="15"/>
        <v>75.476593100067504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18.617142857142849</v>
      </c>
      <c r="DO60" s="12">
        <f>IF('Données projet'!$A$166&gt;35,DO59+DN60-DW59,IF(A60&lt;'Données projet'!$A$166,$DL$205^A60,IF(A60='Données projet'!$A$166,'Données projet'!$B$166,DO59+DN60-DW59)))</f>
        <v>457.97714285714312</v>
      </c>
      <c r="DP60" s="17">
        <f>DO60*VLOOKUP('Données projet'!$B$14,Paramètres!$A$1:$I$89,3,0)*VLOOKUP('Données projet'!$B$14,Paramètres!$A$1:$I$89,5,0)</f>
        <v>256.00922285714302</v>
      </c>
      <c r="DQ60" s="13">
        <f t="shared" si="43"/>
        <v>61.870941241266237</v>
      </c>
      <c r="DR60" s="20">
        <f t="shared" si="16"/>
        <v>553.64128580472936</v>
      </c>
      <c r="DS60" s="59">
        <f t="shared" si="17"/>
        <v>846.97461913806274</v>
      </c>
      <c r="DT60" s="59">
        <f ca="1">AVERAGE(OFFSET($DS$3,0,0,'Données projet'!$E$14+1,1))-AVERAGE(OFFSET($H$3,0,0,'Données projet'!$E$14+1,1))</f>
        <v>328.15217666639006</v>
      </c>
      <c r="DU60" s="59">
        <f t="shared" si="44"/>
        <v>305.59175773326308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85.275355550200345</v>
      </c>
      <c r="EB60" s="21">
        <f>EXP(-LN(2)/25)*EB59+(1-EXP(-LN(2)/25))/(LN(2)/25)*Calculateur!DW60*Calculateur!DY60*VLOOKUP('Données projet'!$B$14,Paramètres!$A$1:$I$89,3,0)*0.475*44/12</f>
        <v>32.135718970867401</v>
      </c>
      <c r="EC60" s="21">
        <f>EXP(-LN(2)/2)*EC59+(1-EXP(-LN(2)/2))/(LN(2)/2)*DW60*DZ60*VLOOKUP('Données projet'!$B$14,Paramètres!$A$1:$I$89,3,0)*0.475*44/12</f>
        <v>9.4414313133764356</v>
      </c>
      <c r="ED60" s="22">
        <f t="shared" si="18"/>
        <v>126.85250583444419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159.78276497127206</v>
      </c>
      <c r="EP60" s="59">
        <f t="shared" si="46"/>
        <v>190.72163407919857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7.1062595604924459</v>
      </c>
      <c r="EW60" s="21">
        <f>EXP(-LN(2)/25)*EW59+(1-EXP(-LN(2)/25))/(LN(2)/25)*Calculateur!ER60*Calculateur!ET60*VLOOKUP('Données projet'!$B$15,Paramètres!$A$1:$I$89,3,0)*0.475*44/12</f>
        <v>36.865059560328376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43.971319120820823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>
        <f>VLOOKUP(A60,'Données projet'!$A$217:$I$237,2,0)</f>
        <v>303.32</v>
      </c>
      <c r="FC60" s="12">
        <f>VLOOKUP(A60,'Données projet'!$A$217:$I$237,9,0)</f>
        <v>5.3214035087719296</v>
      </c>
      <c r="FD60" s="12">
        <f t="array" ref="FD60">INDEX(FC:FC,MIN(IF(ISNUMBER(FC60:FC256),ROW(FC60:FC256),"")))</f>
        <v>5.3214035087719296</v>
      </c>
      <c r="FE60" s="12">
        <f>IF('Données projet'!$A$218&gt;35,FE59+FD60-FM59,IF(A60&lt;'Données projet'!$A$218,$FB$205^A60,IF(A60='Données projet'!$A$218,'Données projet'!$B$218,FE59+FD60-FM59)))</f>
        <v>303.32000000000028</v>
      </c>
      <c r="FF60" s="17">
        <f>FE60*VLOOKUP('Données projet'!$B$16,Paramètres!$A$1:$I$89,3,0)*VLOOKUP('Données projet'!$B$16,Paramètres!$A$1:$I$89,5,0)</f>
        <v>260.24856000000028</v>
      </c>
      <c r="FG60" s="13">
        <f t="shared" si="47"/>
        <v>62.775357956745118</v>
      </c>
      <c r="FH60" s="20">
        <f t="shared" si="22"/>
        <v>562.59999044133144</v>
      </c>
      <c r="FI60" s="59">
        <f t="shared" si="23"/>
        <v>855.93332377466481</v>
      </c>
      <c r="FJ60" s="59">
        <f ca="1">AVERAGE(OFFSET($FI$3,0,0,'Données projet'!$E$16+1,1))-AVERAGE(OFFSET($H$3,0,0,'Données projet'!$E$16+1,1))</f>
        <v>337.15023592377008</v>
      </c>
      <c r="FK60" s="59">
        <f t="shared" si="48"/>
        <v>286.60608582587099</v>
      </c>
      <c r="FL60" s="15">
        <f>IF(ISNA(VLOOKUP(A60,'Données projet'!$A$217:$I$237,3,0)),0,VLOOKUP(A60,'Données projet'!$A$217:$I$237,3,0))</f>
        <v>1</v>
      </c>
      <c r="FM60" s="15">
        <f>IF(ISNA(VLOOKUP(A60,'Données projet'!$A$217:$I$237,4,0)),0,VLOOKUP(A60,'Données projet'!$A$217:$I$237,4,0))</f>
        <v>147.84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0.26500000000000001</v>
      </c>
      <c r="FP60" s="16">
        <f>IF(ISNA(VLOOKUP(A60,'Données projet'!$A$217:$I$237,7,0)),0%,VLOOKUP(A60,'Données projet'!$A$217:$I$237,7,0))</f>
        <v>0.5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37.013390393826484</v>
      </c>
      <c r="FS60" s="21">
        <f>EXP(-LN(2)/2)*FS59+(1-EXP(-LN(2)/2))/(LN(2)/2)*FM60*FP60*VLOOKUP('Données projet'!$B$16,Paramètres!$A$1:$I$89,3,0)*0.475*44/12</f>
        <v>59.8416471747068</v>
      </c>
      <c r="FT60" s="22">
        <f t="shared" si="24"/>
        <v>96.855037568533277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10.36375</v>
      </c>
      <c r="FZ60" s="12">
        <f>IF('Données projet'!$A$244&gt;35,FZ59+FY60-GH59,IF(A60&lt;'Données projet'!$A$244,$FW$205^A60,IF(A60='Données projet'!$A$244,'Données projet'!$B$244,FZ59+FY60-GH59)))</f>
        <v>243.33625000000026</v>
      </c>
      <c r="GA60" s="17">
        <f>FZ60*VLOOKUP('Données projet'!$B$17,Paramètres!$A$1:$I$89,3,0)*VLOOKUP('Données projet'!$B$17,Paramètres!$A$1:$I$89,5,0)</f>
        <v>220.17063900000025</v>
      </c>
      <c r="GB60" s="13">
        <f t="shared" si="49"/>
        <v>54.151971590437505</v>
      </c>
      <c r="GC60" s="20">
        <f t="shared" si="25"/>
        <v>477.7785467783458</v>
      </c>
      <c r="GD60" s="59">
        <f t="shared" si="26"/>
        <v>771.11188011167906</v>
      </c>
      <c r="GE60" s="59">
        <f ca="1">AVERAGE(OFFSET($GD$3,0,0,'Données projet'!$E$17+1,1))-AVERAGE(OFFSET($H$3,0,0,'Données projet'!$E$17+1,1))</f>
        <v>486.55344536255876</v>
      </c>
      <c r="GF60" s="59">
        <f t="shared" si="50"/>
        <v>231.14794884432229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20.660531192292503</v>
      </c>
      <c r="GN60" s="21">
        <f>EXP(-LN(2)/2)*GN59+(1-EXP(-LN(2)/2))/(LN(2)/2)*GH60*GK60*VLOOKUP('Données projet'!$B$17,Paramètres!$A$1:$I$89,3,0)*0.475*44/12</f>
        <v>0.60851685897060215</v>
      </c>
      <c r="GO60" s="21">
        <f t="shared" si="27"/>
        <v>21.269048051263105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352.79143316373177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400.11</v>
      </c>
      <c r="L61" s="12">
        <f>VLOOKUP(A61,'Données projet'!$A$35:$I$55,9,0)</f>
        <v>16.561250000000001</v>
      </c>
      <c r="M61" s="12">
        <f t="array" ref="M61">INDEX(L:L,MIN(IF(ISNUMBER(L61:L257),ROW(L61:L257),"")))</f>
        <v>16.561250000000001</v>
      </c>
      <c r="N61" s="13">
        <f>IF('Données projet'!$A$36&gt;35,N60+M61-V60,IF(A61&lt;'Données projet'!$A$36,$K$205^A61,IF(A61='Données projet'!$A$36,'Données projet'!$B$36,N60+M61-V60)))</f>
        <v>400.1099999999999</v>
      </c>
      <c r="O61" s="13">
        <f>N61*VLOOKUP('Données projet'!$B$9,Paramètres!$A$1:$I$89,3,0)*VLOOKUP('Données projet'!$B$9,Paramètres!$A$1:$I$89,5,0)</f>
        <v>187.25147999999993</v>
      </c>
      <c r="P61" s="13">
        <f t="shared" si="33"/>
        <v>46.931779730921761</v>
      </c>
      <c r="Q61" s="20">
        <f t="shared" si="53"/>
        <v>407.8691773646886</v>
      </c>
      <c r="R61" s="59">
        <f t="shared" si="0"/>
        <v>701.20251069802191</v>
      </c>
      <c r="S61" s="59">
        <f ca="1">AVERAGE(OFFSET($R$3,0,0,'Données projet'!$E$9+1,1))-AVERAGE(OFFSET($H$3,0,0,'Données projet'!$E$9+1,1))</f>
        <v>252.08270526008477</v>
      </c>
      <c r="T61" s="59">
        <f t="shared" si="34"/>
        <v>239.77811108960179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88.54000000000002</v>
      </c>
      <c r="W61" s="16">
        <f>IF(ISNA(VLOOKUP(A61,'Données projet'!$A$35:$I$55,5,0)),0%,VLOOKUP(A61,'Données projet'!$A$35:$I$55,5,0)*VLOOKUP('Données projet'!$B$9,Paramètres!$A$1:$I$89,7,0))</f>
        <v>0.33</v>
      </c>
      <c r="X61" s="16">
        <f>IF(ISNA(VLOOKUP(A61,'Données projet'!$A$35:$I$55,6,0)),0%,VLOOKUP(A61,'Données projet'!$A$35:$I$55,6,0)*VLOOKUP('Données projet'!$B$9,Paramètres!$A$1:$I$89,7,0))</f>
        <v>0.11000000000000001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43.695366611833023</v>
      </c>
      <c r="AA61" s="21">
        <f>EXP(-LN(2)/25)*AA60+(1-EXP(-LN(2)/25))/(LN(2)/25)*Calculateur!V61*Calculateur!X61*VLOOKUP('Données projet'!$B$9,Paramètres!$A$1:$I$89,3,0)*0.475*44/12</f>
        <v>20.559542431666429</v>
      </c>
      <c r="AB61" s="21">
        <f>EXP(-LN(2)/2)*AB60+(1-EXP(-LN(2)/2))/(LN(2)/2)*V61*Y61*VLOOKUP('Données projet'!$B$9,Paramètres!$A$1:$I$89,3,0)*0.475*44/12</f>
        <v>10.183237937289515</v>
      </c>
      <c r="AC61" s="22">
        <f t="shared" si="3"/>
        <v>74.438146980788972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13.18</v>
      </c>
      <c r="AI61" s="13">
        <f>IF('Données projet'!$A$62&gt;35,AI60+AH61-AQ60,IF(A61&lt;'Données projet'!$A$62,$AF$205^A61,IF(A61='Données projet'!$A$62,'Données projet'!$B$62,AI60+AH61-AQ60)))</f>
        <v>411.38000000000011</v>
      </c>
      <c r="AJ61" s="13">
        <f>AI61*VLOOKUP('Données projet'!$B$10,Paramètres!$A$1:$I$89,3,0)*VLOOKUP('Données projet'!$B$10,Paramètres!$A$1:$I$89,5,0)</f>
        <v>246.0052400000001</v>
      </c>
      <c r="AK61" s="13">
        <f t="shared" si="35"/>
        <v>59.729722829762714</v>
      </c>
      <c r="AL61" s="20">
        <f t="shared" si="4"/>
        <v>532.48839359517024</v>
      </c>
      <c r="AM61" s="59">
        <f t="shared" si="5"/>
        <v>825.82172692850349</v>
      </c>
      <c r="AN61" s="59">
        <f ca="1">AVERAGE(OFFSET($AM$3,0,0,'Données projet'!$E$10+1,1))-AVERAGE(OFFSET($H$3,0,0,'Données projet'!$E$10+1,1))</f>
        <v>251.64326096359997</v>
      </c>
      <c r="AO61" s="59">
        <f t="shared" si="36"/>
        <v>256.72142151189894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46.933475501651934</v>
      </c>
      <c r="AV61" s="21">
        <f>EXP(-LN(2)/25)*AV60+(1-EXP(-LN(2)/25))/(LN(2)/25)*Calculateur!AQ61*Calculateur!AS61*VLOOKUP('Données projet'!$B$10,Paramètres!$A$1:$I$89,3,0)*0.475*44/12</f>
        <v>18.297847435616866</v>
      </c>
      <c r="AW61" s="21">
        <f>EXP(-LN(2)/2)*AW60+(1-EXP(-LN(2)/2))/(LN(2)/2)*AQ61*AT61*VLOOKUP('Données projet'!$B$10,Paramètres!$A$1:$I$89,3,0)*0.475*44/12</f>
        <v>1.3697765188256581</v>
      </c>
      <c r="AX61" s="21">
        <f t="shared" si="6"/>
        <v>66.60109945609446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199.29783428981898</v>
      </c>
      <c r="BJ61" s="59">
        <f t="shared" si="38"/>
        <v>237.32002274562547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5.9982304067930077</v>
      </c>
      <c r="BQ61" s="21">
        <f>EXP(-LN(2)/25)*BQ60+(1-EXP(-LN(2)/25))/(LN(2)/25)*Calculateur!BL61*Calculateur!BN61*VLOOKUP('Données projet'!$B$11,Paramètres!$A$1:$I$89,3,0)*0.475*44/12</f>
        <v>30.871424872995266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36.869655279788276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9.8828571428571443</v>
      </c>
      <c r="BY61" s="12">
        <f>IF('Données projet'!$A$114&gt;35,BY60+BX61-CG60,IF(A61&lt;'Données projet'!$A$114,$BV$205^A61,IF(A61='Données projet'!$A$114,'Données projet'!$B$114,BY60+BX61-CG60)))</f>
        <v>192.96714285714285</v>
      </c>
      <c r="BZ61" s="13">
        <f>BY61*VLOOKUP('Données projet'!$B$12,Paramètres!$A$1:$I$89,3,0)*VLOOKUP('Données projet'!$B$12,Paramètres!$A$1:$I$89,5,0)</f>
        <v>162.55552114285715</v>
      </c>
      <c r="CA61" s="13">
        <f t="shared" si="39"/>
        <v>41.418387682630382</v>
      </c>
      <c r="CB61" s="20">
        <f t="shared" si="10"/>
        <v>355.25455787105739</v>
      </c>
      <c r="CC61" s="59">
        <f t="shared" si="11"/>
        <v>648.58789120439064</v>
      </c>
      <c r="CD61" s="59">
        <f ca="1">AVERAGE(OFFSET($CC$3,0,0,'Données projet'!$E$12+1,1))-AVERAGE(OFFSET($H$3,0,0,'Données projet'!$E$12+1,1))</f>
        <v>295.59075210589327</v>
      </c>
      <c r="CE61" s="59">
        <f t="shared" si="40"/>
        <v>210.41181542059576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5.5256044976444709</v>
      </c>
      <c r="CL61" s="21">
        <f>EXP(-LN(2)/25)*CL60+(1-EXP(-LN(2)/25))/(LN(2)/25)*Calculateur!CG61*Calculateur!CI61*VLOOKUP('Données projet'!$B$12,Paramètres!$A$1:$I$89,3,0)*0.475*44/12</f>
        <v>25.392541275720305</v>
      </c>
      <c r="CM61" s="21">
        <f>EXP(-LN(2)/2)*CM60+(1-EXP(-LN(2)/2))/(LN(2)/2)*CG61*CJ61*VLOOKUP('Données projet'!$B$12,Paramètres!$A$1:$I$89,3,0)*0.475*44/12</f>
        <v>0.52546118806468922</v>
      </c>
      <c r="CN61" s="22">
        <f t="shared" si="12"/>
        <v>31.443606961429467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20</v>
      </c>
      <c r="CT61" s="12">
        <f>IF('Données projet'!$A$140&gt;35,CT60+CS61-DB60,IF(A61&lt;'Données projet'!$A$140,$CQ$205^A61,IF(A61='Données projet'!$A$140,'Données projet'!$B$140,CT60+CS61-DB60)))</f>
        <v>593.99999999999989</v>
      </c>
      <c r="CU61" s="17">
        <f>CT61*VLOOKUP('Données projet'!$B$13,Paramètres!$A$1:$I$89,3,0)*VLOOKUP('Données projet'!$B$13,Paramètres!$A$1:$I$89,5,0)</f>
        <v>270.26999999999992</v>
      </c>
      <c r="CV61" s="13">
        <f t="shared" si="41"/>
        <v>64.906566768514395</v>
      </c>
      <c r="CW61" s="20">
        <f t="shared" si="13"/>
        <v>583.76585378849575</v>
      </c>
      <c r="CX61" s="59">
        <f t="shared" si="14"/>
        <v>877.09918712182912</v>
      </c>
      <c r="CY61" s="59">
        <f ca="1">AVERAGE(OFFSET($CX$3,0,0,'Données projet'!$E$13+1,1))-AVERAGE(OFFSET($H$3,0,0,'Données projet'!$E$13+1,1))</f>
        <v>338.22448697444298</v>
      </c>
      <c r="CZ61" s="59">
        <f t="shared" si="42"/>
        <v>293.3872365640849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44.566650725047786</v>
      </c>
      <c r="DG61" s="21">
        <f>EXP(-LN(2)/25)*DG60+(1-EXP(-LN(2)/25))/(LN(2)/25)*Calculateur!DB61*Calculateur!DD61*VLOOKUP('Données projet'!$B$13,Paramètres!$A$1:$I$89,3,0)*0.475*44/12</f>
        <v>25.494298418013816</v>
      </c>
      <c r="DH61" s="21">
        <f>EXP(-LN(2)/2)*DH60+(1-EXP(-LN(2)/2))/(LN(2)/2)*DB61*DE61*VLOOKUP('Données projet'!$B$13,Paramètres!$A$1:$I$89,3,0)*0.475*44/12</f>
        <v>2.6923068982320588</v>
      </c>
      <c r="DI61" s="22">
        <f t="shared" si="15"/>
        <v>72.753256041293668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18.617142857142849</v>
      </c>
      <c r="DO61" s="12">
        <f>IF('Données projet'!$A$166&gt;35,DO60+DN61-DW60,IF(A61&lt;'Données projet'!$A$166,$DL$205^A61,IF(A61='Données projet'!$A$166,'Données projet'!$B$166,DO60+DN61-DW60)))</f>
        <v>476.59428571428595</v>
      </c>
      <c r="DP61" s="17">
        <f>DO61*VLOOKUP('Données projet'!$B$14,Paramètres!$A$1:$I$89,3,0)*VLOOKUP('Données projet'!$B$14,Paramètres!$A$1:$I$89,5,0)</f>
        <v>266.41620571428587</v>
      </c>
      <c r="DQ61" s="13">
        <f t="shared" si="43"/>
        <v>64.088107222101385</v>
      </c>
      <c r="DR61" s="20">
        <f t="shared" si="16"/>
        <v>575.62834503087436</v>
      </c>
      <c r="DS61" s="59">
        <f t="shared" si="17"/>
        <v>868.96167836420773</v>
      </c>
      <c r="DT61" s="59">
        <f ca="1">AVERAGE(OFFSET($DS$3,0,0,'Données projet'!$E$14+1,1))-AVERAGE(OFFSET($H$3,0,0,'Données projet'!$E$14+1,1))</f>
        <v>328.15217666639006</v>
      </c>
      <c r="DU61" s="59">
        <f t="shared" si="44"/>
        <v>305.59175773326308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83.603157840691964</v>
      </c>
      <c r="EB61" s="21">
        <f>EXP(-LN(2)/25)*EB60+(1-EXP(-LN(2)/25))/(LN(2)/25)*Calculateur!DW61*Calculateur!DY61*VLOOKUP('Données projet'!$B$14,Paramètres!$A$1:$I$89,3,0)*0.475*44/12</f>
        <v>31.25696604566502</v>
      </c>
      <c r="EC61" s="21">
        <f>EXP(-LN(2)/2)*EC60+(1-EXP(-LN(2)/2))/(LN(2)/2)*DW61*DZ61*VLOOKUP('Données projet'!$B$14,Paramètres!$A$1:$I$89,3,0)*0.475*44/12</f>
        <v>6.6761001057954896</v>
      </c>
      <c r="ED61" s="22">
        <f t="shared" si="18"/>
        <v>121.53622399215247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159.78276497127206</v>
      </c>
      <c r="EP61" s="59">
        <f t="shared" si="46"/>
        <v>190.72163407919857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6.9669101449015356</v>
      </c>
      <c r="EW61" s="21">
        <f>EXP(-LN(2)/25)*EW60+(1-EXP(-LN(2)/25))/(LN(2)/25)*Calculateur!ER61*Calculateur!ET61*VLOOKUP('Données projet'!$B$15,Paramètres!$A$1:$I$89,3,0)*0.475*44/12</f>
        <v>35.856982568001968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42.823892712903501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11.016666666666667</v>
      </c>
      <c r="FE61" s="12">
        <f>IF('Données projet'!$A$218&gt;35,FE60+FD61-FM60,IF(A61&lt;'Données projet'!$A$218,$FB$205^A61,IF(A61='Données projet'!$A$218,'Données projet'!$B$218,FE60+FD61-FM60)))</f>
        <v>166.49666666666693</v>
      </c>
      <c r="FF61" s="17">
        <f>FE61*VLOOKUP('Données projet'!$B$16,Paramètres!$A$1:$I$89,3,0)*VLOOKUP('Données projet'!$B$16,Paramètres!$A$1:$I$89,5,0)</f>
        <v>142.85414000000026</v>
      </c>
      <c r="FG61" s="13">
        <f t="shared" si="47"/>
        <v>36.950078923138378</v>
      </c>
      <c r="FH61" s="20">
        <f t="shared" si="22"/>
        <v>313.15901462446647</v>
      </c>
      <c r="FI61" s="59">
        <f t="shared" si="23"/>
        <v>606.49234795779978</v>
      </c>
      <c r="FJ61" s="59">
        <f ca="1">AVERAGE(OFFSET($FI$3,0,0,'Données projet'!$E$16+1,1))-AVERAGE(OFFSET($H$3,0,0,'Données projet'!$E$16+1,1))</f>
        <v>337.15023592377008</v>
      </c>
      <c r="FK61" s="59">
        <f t="shared" si="48"/>
        <v>286.60608582587099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36.00125728705769</v>
      </c>
      <c r="FS61" s="21">
        <f>EXP(-LN(2)/2)*FS60+(1-EXP(-LN(2)/2))/(LN(2)/2)*FM61*FP61*VLOOKUP('Données projet'!$B$16,Paramètres!$A$1:$I$89,3,0)*0.475*44/12</f>
        <v>42.314434514607981</v>
      </c>
      <c r="FT61" s="22">
        <f t="shared" si="24"/>
        <v>78.315691801665679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>
        <f>VLOOKUP(A61,'Données projet'!$A$243:$I$263,2,0)</f>
        <v>253.7</v>
      </c>
      <c r="FX61" s="12">
        <f>VLOOKUP(A61,'Données projet'!$A$243:$I$263,9,0)</f>
        <v>10.36375</v>
      </c>
      <c r="FY61" s="12">
        <f t="array" ref="FY61">INDEX(FX:FX,MIN(IF(ISNUMBER(FX61:FX257),ROW(FX61:FX257),"")))</f>
        <v>10.36375</v>
      </c>
      <c r="FZ61" s="12">
        <f>IF('Données projet'!$A$244&gt;35,FZ60+FY61-GH60,IF(A61&lt;'Données projet'!$A$244,$FW$205^A61,IF(A61='Données projet'!$A$244,'Données projet'!$B$244,FZ60+FY61-GH60)))</f>
        <v>253.70000000000027</v>
      </c>
      <c r="GA61" s="17">
        <f>FZ61*VLOOKUP('Données projet'!$B$17,Paramètres!$A$1:$I$89,3,0)*VLOOKUP('Données projet'!$B$17,Paramètres!$A$1:$I$89,5,0)</f>
        <v>229.54776000000027</v>
      </c>
      <c r="GB61" s="13">
        <f t="shared" si="49"/>
        <v>56.184885471425758</v>
      </c>
      <c r="GC61" s="20">
        <f t="shared" si="25"/>
        <v>497.651024196067</v>
      </c>
      <c r="GD61" s="59">
        <f t="shared" si="26"/>
        <v>790.98435752940031</v>
      </c>
      <c r="GE61" s="59">
        <f ca="1">AVERAGE(OFFSET($GD$3,0,0,'Données projet'!$E$17+1,1))-AVERAGE(OFFSET($H$3,0,0,'Données projet'!$E$17+1,1))</f>
        <v>486.55344536255876</v>
      </c>
      <c r="GF61" s="59">
        <f t="shared" si="50"/>
        <v>231.14794884432229</v>
      </c>
      <c r="GG61" s="15">
        <f>IF(ISNA(VLOOKUP(A61,'Données projet'!$A$243:$I$263,3,0)),0,VLOOKUP(A61,'Données projet'!$A$243:$I$263,3,0))</f>
        <v>3</v>
      </c>
      <c r="GH61" s="15">
        <f>IF(ISNA(VLOOKUP(A61,'Données projet'!$A$243:$I$263,4,0)),0,VLOOKUP(A61,'Données projet'!$A$243:$I$263,4,0))</f>
        <v>47.789999999999992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0.34400000000000003</v>
      </c>
      <c r="GK61" s="16">
        <f>IF(ISNA(VLOOKUP(A61,'Données projet'!$A$243:$I$263,7,0)),0%,VLOOKUP(A61,'Données projet'!$A$243:$I$263,7,0))</f>
        <v>0.2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36.474357978367649</v>
      </c>
      <c r="GN61" s="21">
        <f>EXP(-LN(2)/2)*GN60+(1-EXP(-LN(2)/2))/(LN(2)/2)*GH61*GK61*VLOOKUP('Données projet'!$B$17,Paramètres!$A$1:$I$89,3,0)*0.475*44/12</f>
        <v>8.589981127461952</v>
      </c>
      <c r="GO61" s="21">
        <f t="shared" si="27"/>
        <v>45.064339105829603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354.40415082015346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16.078749999999999</v>
      </c>
      <c r="N62" s="13">
        <f>IF('Données projet'!$A$36&gt;35,N61+M62-V61,IF(A62&lt;'Données projet'!$A$36,$K$205^A62,IF(A62='Données projet'!$A$36,'Données projet'!$B$36,N61+M62-V61)))</f>
        <v>327.64874999999989</v>
      </c>
      <c r="O62" s="13">
        <f>N62*VLOOKUP('Données projet'!$B$9,Paramètres!$A$1:$I$89,3,0)*VLOOKUP('Données projet'!$B$9,Paramètres!$A$1:$I$89,5,0)</f>
        <v>153.33961499999995</v>
      </c>
      <c r="P62" s="13">
        <f t="shared" si="33"/>
        <v>39.336549754966939</v>
      </c>
      <c r="Q62" s="20">
        <f t="shared" si="53"/>
        <v>335.57765361490061</v>
      </c>
      <c r="R62" s="59">
        <f t="shared" si="0"/>
        <v>628.91098694823393</v>
      </c>
      <c r="S62" s="59">
        <f ca="1">AVERAGE(OFFSET($R$3,0,0,'Données projet'!$E$9+1,1))-AVERAGE(OFFSET($H$3,0,0,'Données projet'!$E$9+1,1))</f>
        <v>252.08270526008477</v>
      </c>
      <c r="T62" s="59">
        <f t="shared" si="34"/>
        <v>239.77811108960179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42.838527124116993</v>
      </c>
      <c r="AA62" s="21">
        <f>EXP(-LN(2)/25)*AA61+(1-EXP(-LN(2)/25))/(LN(2)/25)*Calculateur!V62*Calculateur!X62*VLOOKUP('Données projet'!$B$9,Paramètres!$A$1:$I$89,3,0)*0.475*44/12</f>
        <v>19.997340662693162</v>
      </c>
      <c r="AB62" s="21">
        <f>EXP(-LN(2)/2)*AB61+(1-EXP(-LN(2)/2))/(LN(2)/2)*V62*Y62*VLOOKUP('Données projet'!$B$9,Paramètres!$A$1:$I$89,3,0)*0.475*44/12</f>
        <v>7.2006365998935271</v>
      </c>
      <c r="AC62" s="22">
        <f t="shared" si="3"/>
        <v>70.036504386703683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13.18</v>
      </c>
      <c r="AI62" s="13">
        <f>IF('Données projet'!$A$62&gt;35,AI61+AH62-AQ61,IF(A62&lt;'Données projet'!$A$62,$AF$205^A62,IF(A62='Données projet'!$A$62,'Données projet'!$B$62,AI61+AH62-AQ61)))</f>
        <v>424.56000000000012</v>
      </c>
      <c r="AJ62" s="13">
        <f>AI62*VLOOKUP('Données projet'!$B$10,Paramètres!$A$1:$I$89,3,0)*VLOOKUP('Données projet'!$B$10,Paramètres!$A$1:$I$89,5,0)</f>
        <v>253.8868800000001</v>
      </c>
      <c r="AK62" s="13">
        <f t="shared" si="35"/>
        <v>61.417508891277024</v>
      </c>
      <c r="AL62" s="20">
        <f t="shared" si="4"/>
        <v>549.15514398564108</v>
      </c>
      <c r="AM62" s="59">
        <f t="shared" si="5"/>
        <v>842.48847731897445</v>
      </c>
      <c r="AN62" s="59">
        <f ca="1">AVERAGE(OFFSET($AM$3,0,0,'Données projet'!$E$10+1,1))-AVERAGE(OFFSET($H$3,0,0,'Données projet'!$E$10+1,1))</f>
        <v>251.64326096359997</v>
      </c>
      <c r="AO62" s="59">
        <f t="shared" si="36"/>
        <v>256.72142151189894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46.013138673657956</v>
      </c>
      <c r="AV62" s="21">
        <f>EXP(-LN(2)/25)*AV61+(1-EXP(-LN(2)/25))/(LN(2)/25)*Calculateur!AQ62*Calculateur!AS62*VLOOKUP('Données projet'!$B$10,Paramètres!$A$1:$I$89,3,0)*0.475*44/12</f>
        <v>17.797491835247946</v>
      </c>
      <c r="AW62" s="21">
        <f>EXP(-LN(2)/2)*AW61+(1-EXP(-LN(2)/2))/(LN(2)/2)*AQ62*AT62*VLOOKUP('Données projet'!$B$10,Paramètres!$A$1:$I$89,3,0)*0.475*44/12</f>
        <v>0.96857826517172552</v>
      </c>
      <c r="AX62" s="21">
        <f t="shared" si="6"/>
        <v>64.779208774077631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199.29783428981898</v>
      </c>
      <c r="BJ62" s="59">
        <f t="shared" si="38"/>
        <v>237.32002274562547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5.8806087670750919</v>
      </c>
      <c r="BQ62" s="21">
        <f>EXP(-LN(2)/25)*BQ61+(1-EXP(-LN(2)/25))/(LN(2)/25)*Calculateur!BL62*Calculateur!BN62*VLOOKUP('Données projet'!$B$11,Paramètres!$A$1:$I$89,3,0)*0.475*44/12</f>
        <v>30.027244136385534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35.907852903460622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202.85</v>
      </c>
      <c r="BW62" s="12">
        <f>VLOOKUP(A62,'Données projet'!$A$113:$I$133,9,0)</f>
        <v>9.8828571428571443</v>
      </c>
      <c r="BX62" s="12">
        <f t="array" ref="BX62">INDEX(BW:BW,MIN(IF(ISNUMBER(BW62:BW258),ROW(BW62:BW258),"")))</f>
        <v>9.8828571428571443</v>
      </c>
      <c r="BY62" s="12">
        <f>IF('Données projet'!$A$114&gt;35,BY61+BX62-CG61,IF(A62&lt;'Données projet'!$A$114,$BV$205^A62,IF(A62='Données projet'!$A$114,'Données projet'!$B$114,BY61+BX62-CG61)))</f>
        <v>202.85</v>
      </c>
      <c r="BZ62" s="13">
        <f>BY62*VLOOKUP('Données projet'!$B$12,Paramètres!$A$1:$I$89,3,0)*VLOOKUP('Données projet'!$B$12,Paramètres!$A$1:$I$89,5,0)</f>
        <v>170.88084000000001</v>
      </c>
      <c r="CA62" s="13">
        <f t="shared" si="39"/>
        <v>43.287243066944804</v>
      </c>
      <c r="CB62" s="20">
        <f t="shared" si="10"/>
        <v>373.00941134159552</v>
      </c>
      <c r="CC62" s="59">
        <f t="shared" si="11"/>
        <v>666.34274467492878</v>
      </c>
      <c r="CD62" s="59">
        <f ca="1">AVERAGE(OFFSET($CC$3,0,0,'Données projet'!$E$12+1,1))-AVERAGE(OFFSET($H$3,0,0,'Données projet'!$E$12+1,1))</f>
        <v>295.59075210589327</v>
      </c>
      <c r="CE62" s="59">
        <f t="shared" si="40"/>
        <v>210.41181542059576</v>
      </c>
      <c r="CF62" s="15">
        <f>IF(ISNA(VLOOKUP(A62,'Données projet'!$A$113:$I$133,3,0)),0,VLOOKUP(A62,'Données projet'!$A$113:$I$133,3,0))</f>
        <v>4</v>
      </c>
      <c r="CG62" s="15">
        <f>IF(ISNA(VLOOKUP(A62,'Données projet'!$A$113:$I$133,4,0)),0,VLOOKUP(A62,'Données projet'!$A$113:$I$133,4,0))</f>
        <v>41.81</v>
      </c>
      <c r="CH62" s="16">
        <f>IF(ISNA(VLOOKUP(A62,'Données projet'!$A$113:$I$133,5,0)),0%,VLOOKUP(A62,'Données projet'!$A$113:$I$133,5,0)*VLOOKUP('Données projet'!$B$12,Paramètres!$A$1:$I$89,7,0))</f>
        <v>0.15049999999999999</v>
      </c>
      <c r="CI62" s="16">
        <f>IF(ISNA(VLOOKUP(A62,'Données projet'!$A$113:$I$133,6,0)),0%,VLOOKUP(A62,'Données projet'!$A$113:$I$133,6,0)*VLOOKUP('Données projet'!$B$12,Paramètres!$A$1:$I$89,7,0))</f>
        <v>8.6000000000000007E-2</v>
      </c>
      <c r="CJ62" s="16">
        <f>IF(ISNA(VLOOKUP(A62,'Données projet'!$A$113:$I$133,7,0)),0%,VLOOKUP(A62,'Données projet'!$A$113:$I$133,7,0))</f>
        <v>0.1</v>
      </c>
      <c r="CK62" s="21">
        <f>EXP(-LN(2)/35)*CK61+(1-EXP(-LN(2)/35))/(LN(2)/35)*CG62*CH62*VLOOKUP('Données projet'!$B$12,Paramètres!$A$1:$I$89,3,0)*0.475*44/12</f>
        <v>11.277041893917108</v>
      </c>
      <c r="CL62" s="21">
        <f>EXP(-LN(2)/25)*CL61+(1-EXP(-LN(2)/25))/(LN(2)/25)*Calculateur!CG62*Calculateur!CI62*VLOOKUP('Données projet'!$B$12,Paramètres!$A$1:$I$89,3,0)*0.475*44/12</f>
        <v>28.033448841914584</v>
      </c>
      <c r="CM62" s="21">
        <f>EXP(-LN(2)/2)*CM61+(1-EXP(-LN(2)/2))/(LN(2)/2)*CG62*CJ62*VLOOKUP('Données projet'!$B$12,Paramètres!$A$1:$I$89,3,0)*0.475*44/12</f>
        <v>3.6947291609735058</v>
      </c>
      <c r="CN62" s="22">
        <f t="shared" si="12"/>
        <v>43.005219896805201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20</v>
      </c>
      <c r="CT62" s="12">
        <f>IF('Données projet'!$A$140&gt;35,CT61+CS62-DB61,IF(A62&lt;'Données projet'!$A$140,$CQ$205^A62,IF(A62='Données projet'!$A$140,'Données projet'!$B$140,CT61+CS62-DB61)))</f>
        <v>613.99999999999989</v>
      </c>
      <c r="CU62" s="17">
        <f>CT62*VLOOKUP('Données projet'!$B$13,Paramètres!$A$1:$I$89,3,0)*VLOOKUP('Données projet'!$B$13,Paramètres!$A$1:$I$89,5,0)</f>
        <v>279.36999999999995</v>
      </c>
      <c r="CV62" s="13">
        <f t="shared" si="41"/>
        <v>66.833854321831694</v>
      </c>
      <c r="CW62" s="20">
        <f t="shared" si="13"/>
        <v>602.97171294385669</v>
      </c>
      <c r="CX62" s="59">
        <f t="shared" si="14"/>
        <v>896.30504627719006</v>
      </c>
      <c r="CY62" s="59">
        <f ca="1">AVERAGE(OFFSET($CX$3,0,0,'Données projet'!$E$13+1,1))-AVERAGE(OFFSET($H$3,0,0,'Données projet'!$E$13+1,1))</f>
        <v>338.22448697444298</v>
      </c>
      <c r="CZ62" s="59">
        <f t="shared" si="42"/>
        <v>293.3872365640849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43.692725887302444</v>
      </c>
      <c r="DG62" s="21">
        <f>EXP(-LN(2)/25)*DG61+(1-EXP(-LN(2)/25))/(LN(2)/25)*Calculateur!DB62*Calculateur!DD62*VLOOKUP('Données projet'!$B$13,Paramètres!$A$1:$I$89,3,0)*0.475*44/12</f>
        <v>24.797155487086343</v>
      </c>
      <c r="DH62" s="21">
        <f>EXP(-LN(2)/2)*DH61+(1-EXP(-LN(2)/2))/(LN(2)/2)*DB62*DE62*VLOOKUP('Données projet'!$B$13,Paramètres!$A$1:$I$89,3,0)*0.475*44/12</f>
        <v>1.903748464775209</v>
      </c>
      <c r="DI62" s="22">
        <f t="shared" si="15"/>
        <v>70.393629839163992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18.617142857142849</v>
      </c>
      <c r="DO62" s="12">
        <f>IF('Données projet'!$A$166&gt;35,DO61+DN62-DW61,IF(A62&lt;'Données projet'!$A$166,$DL$205^A62,IF(A62='Données projet'!$A$166,'Données projet'!$B$166,DO61+DN62-DW61)))</f>
        <v>495.21142857142877</v>
      </c>
      <c r="DP62" s="17">
        <f>DO62*VLOOKUP('Données projet'!$B$14,Paramètres!$A$1:$I$89,3,0)*VLOOKUP('Données projet'!$B$14,Paramètres!$A$1:$I$89,5,0)</f>
        <v>276.82318857142872</v>
      </c>
      <c r="DQ62" s="13">
        <f t="shared" si="43"/>
        <v>66.295212111853616</v>
      </c>
      <c r="DR62" s="20">
        <f t="shared" si="16"/>
        <v>597.59788119005009</v>
      </c>
      <c r="DS62" s="59">
        <f t="shared" si="17"/>
        <v>890.93121452338346</v>
      </c>
      <c r="DT62" s="59">
        <f ca="1">AVERAGE(OFFSET($DS$3,0,0,'Données projet'!$E$14+1,1))-AVERAGE(OFFSET($H$3,0,0,'Données projet'!$E$14+1,1))</f>
        <v>328.15217666639006</v>
      </c>
      <c r="DU62" s="59">
        <f t="shared" si="44"/>
        <v>305.59175773326308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81.963750908327142</v>
      </c>
      <c r="EB62" s="21">
        <f>EXP(-LN(2)/25)*EB61+(1-EXP(-LN(2)/25))/(LN(2)/25)*Calculateur!DW62*Calculateur!DY62*VLOOKUP('Données projet'!$B$14,Paramètres!$A$1:$I$89,3,0)*0.475*44/12</f>
        <v>30.402242665413905</v>
      </c>
      <c r="EC62" s="21">
        <f>EXP(-LN(2)/2)*EC61+(1-EXP(-LN(2)/2))/(LN(2)/2)*DW62*DZ62*VLOOKUP('Données projet'!$B$14,Paramètres!$A$1:$I$89,3,0)*0.475*44/12</f>
        <v>4.7207156566882187</v>
      </c>
      <c r="ED62" s="22">
        <f t="shared" si="18"/>
        <v>117.08670923042926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159.78276497127206</v>
      </c>
      <c r="EP62" s="59">
        <f t="shared" si="46"/>
        <v>190.72163407919857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6.8302932863556123</v>
      </c>
      <c r="EW62" s="21">
        <f>EXP(-LN(2)/25)*EW61+(1-EXP(-LN(2)/25))/(LN(2)/25)*Calculateur!ER62*Calculateur!ET62*VLOOKUP('Données projet'!$B$15,Paramètres!$A$1:$I$89,3,0)*0.475*44/12</f>
        <v>34.876471494043194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41.706764780398807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11.016666666666667</v>
      </c>
      <c r="FE62" s="12">
        <f>IF('Données projet'!$A$218&gt;35,FE61+FD62-FM61,IF(A62&lt;'Données projet'!$A$218,$FB$205^A62,IF(A62='Données projet'!$A$218,'Données projet'!$B$218,FE61+FD62-FM61)))</f>
        <v>177.51333333333361</v>
      </c>
      <c r="FF62" s="17">
        <f>FE62*VLOOKUP('Données projet'!$B$16,Paramètres!$A$1:$I$89,3,0)*VLOOKUP('Données projet'!$B$16,Paramètres!$A$1:$I$89,5,0)</f>
        <v>152.30644000000026</v>
      </c>
      <c r="FG62" s="13">
        <f t="shared" si="47"/>
        <v>39.102265991262428</v>
      </c>
      <c r="FH62" s="20">
        <f t="shared" si="22"/>
        <v>333.37016293478251</v>
      </c>
      <c r="FI62" s="59">
        <f t="shared" si="23"/>
        <v>626.70349626811583</v>
      </c>
      <c r="FJ62" s="59">
        <f ca="1">AVERAGE(OFFSET($FI$3,0,0,'Données projet'!$E$16+1,1))-AVERAGE(OFFSET($H$3,0,0,'Données projet'!$E$16+1,1))</f>
        <v>337.15023592377008</v>
      </c>
      <c r="FK62" s="59">
        <f t="shared" si="48"/>
        <v>286.60608582587099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35.01680101331926</v>
      </c>
      <c r="FS62" s="21">
        <f>EXP(-LN(2)/2)*FS61+(1-EXP(-LN(2)/2))/(LN(2)/2)*FM62*FP62*VLOOKUP('Données projet'!$B$16,Paramètres!$A$1:$I$89,3,0)*0.475*44/12</f>
        <v>29.920823587353404</v>
      </c>
      <c r="FT62" s="22">
        <f t="shared" si="24"/>
        <v>64.937624600672663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10.107499999999998</v>
      </c>
      <c r="FZ62" s="12">
        <f>IF('Données projet'!$A$244&gt;35,FZ61+FY62-GH61,IF(A62&lt;'Données projet'!$A$244,$FW$205^A62,IF(A62='Données projet'!$A$244,'Données projet'!$B$244,FZ61+FY62-GH61)))</f>
        <v>216.0175000000003</v>
      </c>
      <c r="GA62" s="17">
        <f>FZ62*VLOOKUP('Données projet'!$B$17,Paramètres!$A$1:$I$89,3,0)*VLOOKUP('Données projet'!$B$17,Paramètres!$A$1:$I$89,5,0)</f>
        <v>195.45263400000027</v>
      </c>
      <c r="GB62" s="13">
        <f t="shared" si="49"/>
        <v>48.743460533300031</v>
      </c>
      <c r="GC62" s="20">
        <f t="shared" si="25"/>
        <v>425.3081979788314</v>
      </c>
      <c r="GD62" s="59">
        <f t="shared" si="26"/>
        <v>718.64153131216472</v>
      </c>
      <c r="GE62" s="59">
        <f ca="1">AVERAGE(OFFSET($GD$3,0,0,'Données projet'!$E$17+1,1))-AVERAGE(OFFSET($H$3,0,0,'Données projet'!$E$17+1,1))</f>
        <v>486.55344536255876</v>
      </c>
      <c r="GF62" s="59">
        <f t="shared" si="50"/>
        <v>231.14794884432229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35.476964741346066</v>
      </c>
      <c r="GN62" s="21">
        <f>EXP(-LN(2)/2)*GN61+(1-EXP(-LN(2)/2))/(LN(2)/2)*GH62*GK62*VLOOKUP('Données projet'!$B$17,Paramètres!$A$1:$I$89,3,0)*0.475*44/12</f>
        <v>6.0740339054928114</v>
      </c>
      <c r="GO62" s="21">
        <f t="shared" si="27"/>
        <v>41.550998646838877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356.01620674518517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16.078749999999999</v>
      </c>
      <c r="N63" s="13">
        <f>IF('Données projet'!$A$36&gt;35,N62+M63-V62,IF(A63&lt;'Données projet'!$A$36,$K$205^A63,IF(A63='Données projet'!$A$36,'Données projet'!$B$36,N62+M63-V62)))</f>
        <v>343.72749999999991</v>
      </c>
      <c r="O63" s="13">
        <f>N63*VLOOKUP('Données projet'!$B$9,Paramètres!$A$1:$I$89,3,0)*VLOOKUP('Données projet'!$B$9,Paramètres!$A$1:$I$89,5,0)</f>
        <v>160.86446999999995</v>
      </c>
      <c r="P63" s="13">
        <f t="shared" si="33"/>
        <v>41.037437838357505</v>
      </c>
      <c r="Q63" s="20">
        <f t="shared" si="53"/>
        <v>351.6458228184726</v>
      </c>
      <c r="R63" s="59">
        <f t="shared" si="0"/>
        <v>644.97915615180591</v>
      </c>
      <c r="S63" s="59">
        <f ca="1">AVERAGE(OFFSET($R$3,0,0,'Données projet'!$E$9+1,1))-AVERAGE(OFFSET($H$3,0,0,'Données projet'!$E$9+1,1))</f>
        <v>252.08270526008477</v>
      </c>
      <c r="T63" s="59">
        <f t="shared" si="34"/>
        <v>239.77811108960179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41.998489736134587</v>
      </c>
      <c r="AA63" s="21">
        <f>EXP(-LN(2)/25)*AA62+(1-EXP(-LN(2)/25))/(LN(2)/25)*Calculateur!V63*Calculateur!X63*VLOOKUP('Données projet'!$B$9,Paramètres!$A$1:$I$89,3,0)*0.475*44/12</f>
        <v>19.450512330657375</v>
      </c>
      <c r="AB63" s="21">
        <f>EXP(-LN(2)/2)*AB62+(1-EXP(-LN(2)/2))/(LN(2)/2)*V63*Y63*VLOOKUP('Données projet'!$B$9,Paramètres!$A$1:$I$89,3,0)*0.475*44/12</f>
        <v>5.0916189686447586</v>
      </c>
      <c r="AC63" s="22">
        <f t="shared" si="3"/>
        <v>66.540621035436715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13.18</v>
      </c>
      <c r="AH63" s="12">
        <f t="array" ref="AH63">INDEX(AG:AG,MIN(IF(ISNUMBER(AG63:AG259),ROW(AG63:AG259),"")))</f>
        <v>13.18</v>
      </c>
      <c r="AI63" s="13">
        <f>IF('Données projet'!$A$62&gt;35,AI62+AH63-AQ62,IF(A63&lt;'Données projet'!$A$62,$AF$205^A63,IF(A63='Données projet'!$A$62,'Données projet'!$B$62,AI62+AH63-AQ62)))</f>
        <v>437.74000000000012</v>
      </c>
      <c r="AJ63" s="13">
        <f>AI63*VLOOKUP('Données projet'!$B$10,Paramètres!$A$1:$I$89,3,0)*VLOOKUP('Données projet'!$B$10,Paramètres!$A$1:$I$89,5,0)</f>
        <v>261.76852000000008</v>
      </c>
      <c r="AK63" s="13">
        <f t="shared" si="35"/>
        <v>63.099206092755566</v>
      </c>
      <c r="AL63" s="20">
        <f t="shared" si="4"/>
        <v>565.81128961154946</v>
      </c>
      <c r="AM63" s="59">
        <f t="shared" si="5"/>
        <v>859.14462294488271</v>
      </c>
      <c r="AN63" s="59">
        <f ca="1">AVERAGE(OFFSET($AM$3,0,0,'Données projet'!$E$10+1,1))-AVERAGE(OFFSET($H$3,0,0,'Données projet'!$E$10+1,1))</f>
        <v>251.64326096359997</v>
      </c>
      <c r="AO63" s="59">
        <f t="shared" si="36"/>
        <v>256.72142151189894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437.74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138.86910891946479</v>
      </c>
      <c r="AV63" s="21">
        <f>EXP(-LN(2)/25)*AV62+(1-EXP(-LN(2)/25))/(LN(2)/25)*Calculateur!AQ63*Calculateur!AS63*VLOOKUP('Données projet'!$B$10,Paramètres!$A$1:$I$89,3,0)*0.475*44/12</f>
        <v>48.440517763852199</v>
      </c>
      <c r="AW63" s="21">
        <f>EXP(-LN(2)/2)*AW62+(1-EXP(-LN(2)/2))/(LN(2)/2)*AQ63*AT63*VLOOKUP('Données projet'!$B$10,Paramètres!$A$1:$I$89,3,0)*0.475*44/12</f>
        <v>59.961442823353359</v>
      </c>
      <c r="AX63" s="21">
        <f t="shared" si="6"/>
        <v>247.27106950667036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199.29783428981898</v>
      </c>
      <c r="BJ63" s="59">
        <f t="shared" si="38"/>
        <v>237.32002274562547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5.7652936159699282</v>
      </c>
      <c r="BQ63" s="21">
        <f>EXP(-LN(2)/25)*BQ62+(1-EXP(-LN(2)/25))/(LN(2)/25)*Calculateur!BL63*Calculateur!BN63*VLOOKUP('Données projet'!$B$11,Paramètres!$A$1:$I$89,3,0)*0.475*44/12</f>
        <v>29.206147566411929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34.971441182381859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9.7525000000000013</v>
      </c>
      <c r="BY63" s="12">
        <f>IF('Données projet'!$A$114&gt;35,BY62+BX63-CG62,IF(A63&lt;'Données projet'!$A$114,$BV$205^A63,IF(A63='Données projet'!$A$114,'Données projet'!$B$114,BY62+BX63-CG62)))</f>
        <v>170.79249999999999</v>
      </c>
      <c r="BZ63" s="13">
        <f>BY63*VLOOKUP('Données projet'!$B$12,Paramètres!$A$1:$I$89,3,0)*VLOOKUP('Données projet'!$B$12,Paramètres!$A$1:$I$89,5,0)</f>
        <v>143.87560200000001</v>
      </c>
      <c r="CA63" s="13">
        <f t="shared" si="39"/>
        <v>37.18343556713041</v>
      </c>
      <c r="CB63" s="20">
        <f t="shared" si="10"/>
        <v>315.34449042941878</v>
      </c>
      <c r="CC63" s="59">
        <f t="shared" si="11"/>
        <v>608.67782376275204</v>
      </c>
      <c r="CD63" s="59">
        <f ca="1">AVERAGE(OFFSET($CC$3,0,0,'Données projet'!$E$12+1,1))-AVERAGE(OFFSET($H$3,0,0,'Données projet'!$E$12+1,1))</f>
        <v>295.59075210589327</v>
      </c>
      <c r="CE63" s="59">
        <f t="shared" si="40"/>
        <v>210.41181542059576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11.055905980693771</v>
      </c>
      <c r="CL63" s="21">
        <f>EXP(-LN(2)/25)*CL62+(1-EXP(-LN(2)/25))/(LN(2)/25)*Calculateur!CG63*Calculateur!CI63*VLOOKUP('Données projet'!$B$12,Paramètres!$A$1:$I$89,3,0)*0.475*44/12</f>
        <v>27.266872709117425</v>
      </c>
      <c r="CM63" s="21">
        <f>EXP(-LN(2)/2)*CM62+(1-EXP(-LN(2)/2))/(LN(2)/2)*CG63*CJ63*VLOOKUP('Données projet'!$B$12,Paramètres!$A$1:$I$89,3,0)*0.475*44/12</f>
        <v>2.6125680443720491</v>
      </c>
      <c r="CN63" s="22">
        <f t="shared" si="12"/>
        <v>40.935346734183241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634</v>
      </c>
      <c r="CR63" s="12">
        <f>VLOOKUP(A63,'Données projet'!$A$139:$I$159,9,0)</f>
        <v>20</v>
      </c>
      <c r="CS63" s="12">
        <f t="array" ref="CS63">INDEX(CR:CR,MIN(IF(ISNUMBER(CR63:CR259),ROW(CR63:CR259),"")))</f>
        <v>20</v>
      </c>
      <c r="CT63" s="12">
        <f>IF('Données projet'!$A$140&gt;35,CT62+CS63-DB62,IF(A63&lt;'Données projet'!$A$140,$CQ$205^A63,IF(A63='Données projet'!$A$140,'Données projet'!$B$140,CT62+CS63-DB62)))</f>
        <v>633.99999999999989</v>
      </c>
      <c r="CU63" s="17">
        <f>CT63*VLOOKUP('Données projet'!$B$13,Paramètres!$A$1:$I$89,3,0)*VLOOKUP('Données projet'!$B$13,Paramètres!$A$1:$I$89,5,0)</f>
        <v>288.46999999999997</v>
      </c>
      <c r="CV63" s="13">
        <f t="shared" si="41"/>
        <v>68.753846977473344</v>
      </c>
      <c r="CW63" s="20">
        <f t="shared" si="13"/>
        <v>622.16486681909942</v>
      </c>
      <c r="CX63" s="59">
        <f t="shared" si="14"/>
        <v>915.49820015243267</v>
      </c>
      <c r="CY63" s="59">
        <f ca="1">AVERAGE(OFFSET($CX$3,0,0,'Données projet'!$E$13+1,1))-AVERAGE(OFFSET($H$3,0,0,'Données projet'!$E$13+1,1))</f>
        <v>338.22448697444298</v>
      </c>
      <c r="CZ63" s="59">
        <f t="shared" si="42"/>
        <v>293.3872365640849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53</v>
      </c>
      <c r="DC63" s="16">
        <f>IF(ISNA(VLOOKUP(A63,'Données projet'!$A$139:$I$159,5,0)),0%,VLOOKUP(A63,'Données projet'!$A$139:$I$159,5,0)*VLOOKUP('Données projet'!$B$13,Paramètres!$A$1:$I$89,7,0))</f>
        <v>0.33</v>
      </c>
      <c r="DD63" s="16">
        <f>IF(ISNA(VLOOKUP(A63,'Données projet'!$A$139:$I$159,6,0)),0%,VLOOKUP(A63,'Données projet'!$A$139:$I$159,6,0)*VLOOKUP('Données projet'!$B$13,Paramètres!$A$1:$I$89,7,0))</f>
        <v>0.11000000000000001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53.392671790748864</v>
      </c>
      <c r="DG63" s="21">
        <f>EXP(-LN(2)/25)*DG62+(1-EXP(-LN(2)/25))/(LN(2)/25)*Calculateur!DB63*Calculateur!DD63*VLOOKUP('Données projet'!$B$13,Paramètres!$A$1:$I$89,3,0)*0.475*44/12</f>
        <v>27.62413187477253</v>
      </c>
      <c r="DH63" s="21">
        <f>EXP(-LN(2)/2)*DH62+(1-EXP(-LN(2)/2))/(LN(2)/2)*DB63*DE63*VLOOKUP('Données projet'!$B$13,Paramètres!$A$1:$I$89,3,0)*0.475*44/12</f>
        <v>6.8069098200861751</v>
      </c>
      <c r="DI63" s="22">
        <f t="shared" si="15"/>
        <v>87.82371348560757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18.617142857142849</v>
      </c>
      <c r="DO63" s="12">
        <f>IF('Données projet'!$A$166&gt;35,DO62+DN63-DW62,IF(A63&lt;'Données projet'!$A$166,$DL$205^A63,IF(A63='Données projet'!$A$166,'Données projet'!$B$166,DO62+DN63-DW62)))</f>
        <v>513.82857142857165</v>
      </c>
      <c r="DP63" s="17">
        <f>DO63*VLOOKUP('Données projet'!$B$14,Paramètres!$A$1:$I$89,3,0)*VLOOKUP('Données projet'!$B$14,Paramètres!$A$1:$I$89,5,0)</f>
        <v>287.23017142857157</v>
      </c>
      <c r="DQ63" s="13">
        <f t="shared" si="43"/>
        <v>68.492677457199264</v>
      </c>
      <c r="DR63" s="20">
        <f t="shared" si="16"/>
        <v>619.55062847605086</v>
      </c>
      <c r="DS63" s="59">
        <f t="shared" si="17"/>
        <v>912.88396180938412</v>
      </c>
      <c r="DT63" s="59">
        <f ca="1">AVERAGE(OFFSET($DS$3,0,0,'Données projet'!$E$14+1,1))-AVERAGE(OFFSET($H$3,0,0,'Données projet'!$E$14+1,1))</f>
        <v>328.15217666639006</v>
      </c>
      <c r="DU63" s="59">
        <f t="shared" si="44"/>
        <v>305.59175773326308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80.356491745966508</v>
      </c>
      <c r="EB63" s="21">
        <f>EXP(-LN(2)/25)*EB62+(1-EXP(-LN(2)/25))/(LN(2)/25)*Calculateur!DW63*Calculateur!DY63*VLOOKUP('Données projet'!$B$14,Paramètres!$A$1:$I$89,3,0)*0.475*44/12</f>
        <v>29.570891740943704</v>
      </c>
      <c r="EC63" s="21">
        <f>EXP(-LN(2)/2)*EC62+(1-EXP(-LN(2)/2))/(LN(2)/2)*DW63*DZ63*VLOOKUP('Données projet'!$B$14,Paramètres!$A$1:$I$89,3,0)*0.475*44/12</f>
        <v>3.3380500528977457</v>
      </c>
      <c r="ED63" s="22">
        <f t="shared" si="18"/>
        <v>113.26543353980796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159.78276497127206</v>
      </c>
      <c r="EP63" s="59">
        <f t="shared" si="46"/>
        <v>190.72163407919857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6.6963554010777182</v>
      </c>
      <c r="EW63" s="21">
        <f>EXP(-LN(2)/25)*EW62+(1-EXP(-LN(2)/25))/(LN(2)/25)*Calculateur!ER63*Calculateur!ET63*VLOOKUP('Données projet'!$B$15,Paramètres!$A$1:$I$89,3,0)*0.475*44/12</f>
        <v>33.922772546964659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40.619127948042376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11.016666666666667</v>
      </c>
      <c r="FE63" s="12">
        <f>IF('Données projet'!$A$218&gt;35,FE62+FD63-FM62,IF(A63&lt;'Données projet'!$A$218,$FB$205^A63,IF(A63='Données projet'!$A$218,'Données projet'!$B$218,FE62+FD63-FM62)))</f>
        <v>188.53000000000029</v>
      </c>
      <c r="FF63" s="17">
        <f>FE63*VLOOKUP('Données projet'!$B$16,Paramètres!$A$1:$I$89,3,0)*VLOOKUP('Données projet'!$B$16,Paramètres!$A$1:$I$89,5,0)</f>
        <v>161.75874000000024</v>
      </c>
      <c r="FG63" s="13">
        <f t="shared" si="47"/>
        <v>41.238951376714851</v>
      </c>
      <c r="FH63" s="20">
        <f t="shared" si="22"/>
        <v>353.55431248111205</v>
      </c>
      <c r="FI63" s="59">
        <f t="shared" si="23"/>
        <v>646.88764581444536</v>
      </c>
      <c r="FJ63" s="59">
        <f ca="1">AVERAGE(OFFSET($FI$3,0,0,'Données projet'!$E$16+1,1))-AVERAGE(OFFSET($H$3,0,0,'Données projet'!$E$16+1,1))</f>
        <v>337.15023592377008</v>
      </c>
      <c r="FK63" s="59">
        <f t="shared" si="48"/>
        <v>286.60608582587099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34.059264748156508</v>
      </c>
      <c r="FS63" s="21">
        <f>EXP(-LN(2)/2)*FS62+(1-EXP(-LN(2)/2))/(LN(2)/2)*FM63*FP63*VLOOKUP('Données projet'!$B$16,Paramètres!$A$1:$I$89,3,0)*0.475*44/12</f>
        <v>21.157217257303994</v>
      </c>
      <c r="FT63" s="22">
        <f t="shared" si="24"/>
        <v>55.216482005460506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10.107499999999998</v>
      </c>
      <c r="FZ63" s="12">
        <f>IF('Données projet'!$A$244&gt;35,FZ62+FY63-GH62,IF(A63&lt;'Données projet'!$A$244,$FW$205^A63,IF(A63='Données projet'!$A$244,'Données projet'!$B$244,FZ62+FY63-GH62)))</f>
        <v>226.12500000000028</v>
      </c>
      <c r="GA63" s="17">
        <f>FZ63*VLOOKUP('Données projet'!$B$17,Paramètres!$A$1:$I$89,3,0)*VLOOKUP('Données projet'!$B$17,Paramètres!$A$1:$I$89,5,0)</f>
        <v>204.59790000000024</v>
      </c>
      <c r="GB63" s="13">
        <f t="shared" si="49"/>
        <v>50.753306398717811</v>
      </c>
      <c r="GC63" s="20">
        <f t="shared" si="25"/>
        <v>444.73668447776726</v>
      </c>
      <c r="GD63" s="59">
        <f t="shared" si="26"/>
        <v>738.07001781110057</v>
      </c>
      <c r="GE63" s="59">
        <f ca="1">AVERAGE(OFFSET($GD$3,0,0,'Données projet'!$E$17+1,1))-AVERAGE(OFFSET($H$3,0,0,'Données projet'!$E$17+1,1))</f>
        <v>486.55344536255876</v>
      </c>
      <c r="GF63" s="59">
        <f t="shared" si="50"/>
        <v>231.14794884432229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34.506845274841467</v>
      </c>
      <c r="GN63" s="21">
        <f>EXP(-LN(2)/2)*GN62+(1-EXP(-LN(2)/2))/(LN(2)/2)*GH63*GK63*VLOOKUP('Données projet'!$B$17,Paramètres!$A$1:$I$89,3,0)*0.475*44/12</f>
        <v>4.294990563730976</v>
      </c>
      <c r="GO63" s="21">
        <f t="shared" si="27"/>
        <v>38.801835838572444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357.62761324065457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16.078749999999999</v>
      </c>
      <c r="N64" s="13">
        <f>IF('Données projet'!$A$36&gt;35,N63+M64-V63,IF(A64&lt;'Données projet'!$A$36,$K$205^A64,IF(A64='Données projet'!$A$36,'Données projet'!$B$36,N63+M64-V63)))</f>
        <v>359.80624999999992</v>
      </c>
      <c r="O64" s="13">
        <f>N64*VLOOKUP('Données projet'!$B$9,Paramètres!$A$1:$I$89,3,0)*VLOOKUP('Données projet'!$B$9,Paramètres!$A$1:$I$89,5,0)</f>
        <v>168.38932499999996</v>
      </c>
      <c r="P64" s="13">
        <f t="shared" si="33"/>
        <v>42.729086342883477</v>
      </c>
      <c r="Q64" s="20">
        <f t="shared" si="53"/>
        <v>367.69789975552197</v>
      </c>
      <c r="R64" s="59">
        <f t="shared" si="0"/>
        <v>661.03123308885529</v>
      </c>
      <c r="S64" s="59">
        <f ca="1">AVERAGE(OFFSET($R$3,0,0,'Données projet'!$E$9+1,1))-AVERAGE(OFFSET($H$3,0,0,'Données projet'!$E$9+1,1))</f>
        <v>252.08270526008477</v>
      </c>
      <c r="T64" s="59">
        <f t="shared" si="34"/>
        <v>239.77811108960179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41.174924968958301</v>
      </c>
      <c r="AA64" s="21">
        <f>EXP(-LN(2)/25)*AA63+(1-EXP(-LN(2)/25))/(LN(2)/25)*Calculateur!V64*Calculateur!X64*VLOOKUP('Données projet'!$B$9,Paramètres!$A$1:$I$89,3,0)*0.475*44/12</f>
        <v>18.91863704811756</v>
      </c>
      <c r="AB64" s="21">
        <f>EXP(-LN(2)/2)*AB63+(1-EXP(-LN(2)/2))/(LN(2)/2)*V64*Y64*VLOOKUP('Données projet'!$B$9,Paramètres!$A$1:$I$89,3,0)*0.475*44/12</f>
        <v>3.6003182999467644</v>
      </c>
      <c r="AC64" s="22">
        <f t="shared" si="3"/>
        <v>63.693880317022625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251.64326096359997</v>
      </c>
      <c r="AO64" s="59">
        <f t="shared" si="36"/>
        <v>256.72142151189894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136.14597039534692</v>
      </c>
      <c r="AV64" s="21">
        <f>EXP(-LN(2)/25)*AV63+(1-EXP(-LN(2)/25))/(LN(2)/25)*Calculateur!AQ64*Calculateur!AS64*VLOOKUP('Données projet'!$B$10,Paramètres!$A$1:$I$89,3,0)*0.475*44/12</f>
        <v>47.115909258223546</v>
      </c>
      <c r="AW64" s="21">
        <f>EXP(-LN(2)/2)*AW63+(1-EXP(-LN(2)/2))/(LN(2)/2)*AQ64*AT64*VLOOKUP('Données projet'!$B$10,Paramètres!$A$1:$I$89,3,0)*0.475*44/12</f>
        <v>42.399142830122607</v>
      </c>
      <c r="AX64" s="21">
        <f t="shared" si="6"/>
        <v>225.66102248369307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199.29783428981898</v>
      </c>
      <c r="BJ64" s="59">
        <f t="shared" si="38"/>
        <v>237.32002274562547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5.6522397246426399</v>
      </c>
      <c r="BQ64" s="21">
        <f>EXP(-LN(2)/25)*BQ63+(1-EXP(-LN(2)/25))/(LN(2)/25)*Calculateur!BL64*Calculateur!BN64*VLOOKUP('Données projet'!$B$11,Paramètres!$A$1:$I$89,3,0)*0.475*44/12</f>
        <v>28.407503925323844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34.059743649966485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9.7525000000000013</v>
      </c>
      <c r="BY64" s="12">
        <f>IF('Données projet'!$A$114&gt;35,BY63+BX64-CG63,IF(A64&lt;'Données projet'!$A$114,$BV$205^A64,IF(A64='Données projet'!$A$114,'Données projet'!$B$114,BY63+BX64-CG63)))</f>
        <v>180.54499999999999</v>
      </c>
      <c r="BZ64" s="13">
        <f>BY64*VLOOKUP('Données projet'!$B$12,Paramètres!$A$1:$I$89,3,0)*VLOOKUP('Données projet'!$B$12,Paramètres!$A$1:$I$89,5,0)</f>
        <v>152.09110799999999</v>
      </c>
      <c r="CA64" s="13">
        <f t="shared" si="39"/>
        <v>39.05341384006433</v>
      </c>
      <c r="CB64" s="20">
        <f t="shared" si="10"/>
        <v>332.91004220477868</v>
      </c>
      <c r="CC64" s="59">
        <f t="shared" si="11"/>
        <v>626.24337553811199</v>
      </c>
      <c r="CD64" s="59">
        <f ca="1">AVERAGE(OFFSET($CC$3,0,0,'Données projet'!$E$12+1,1))-AVERAGE(OFFSET($H$3,0,0,'Données projet'!$E$12+1,1))</f>
        <v>295.59075210589327</v>
      </c>
      <c r="CE64" s="59">
        <f t="shared" si="40"/>
        <v>210.41181542059576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10.839106407849155</v>
      </c>
      <c r="CL64" s="21">
        <f>EXP(-LN(2)/25)*CL63+(1-EXP(-LN(2)/25))/(LN(2)/25)*Calculateur!CG64*Calculateur!CI64*VLOOKUP('Données projet'!$B$12,Paramètres!$A$1:$I$89,3,0)*0.475*44/12</f>
        <v>26.521258640984094</v>
      </c>
      <c r="CM64" s="21">
        <f>EXP(-LN(2)/2)*CM63+(1-EXP(-LN(2)/2))/(LN(2)/2)*CG64*CJ64*VLOOKUP('Données projet'!$B$12,Paramètres!$A$1:$I$89,3,0)*0.475*44/12</f>
        <v>1.8473645804867531</v>
      </c>
      <c r="CN64" s="22">
        <f t="shared" si="12"/>
        <v>39.207729629319999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18.600000000000001</v>
      </c>
      <c r="CT64" s="12">
        <f>IF('Données projet'!$A$140&gt;35,CT63+CS64-DB63,IF(A64&lt;'Données projet'!$A$140,$CQ$205^A64,IF(A64='Données projet'!$A$140,'Données projet'!$B$140,CT63+CS64-DB63)))</f>
        <v>599.59999999999991</v>
      </c>
      <c r="CU64" s="17">
        <f>CT64*VLOOKUP('Données projet'!$B$13,Paramètres!$A$1:$I$89,3,0)*VLOOKUP('Données projet'!$B$13,Paramètres!$A$1:$I$89,5,0)</f>
        <v>272.81799999999993</v>
      </c>
      <c r="CV64" s="13">
        <f t="shared" si="41"/>
        <v>65.446958135330433</v>
      </c>
      <c r="CW64" s="20">
        <f t="shared" si="13"/>
        <v>589.14480208570035</v>
      </c>
      <c r="CX64" s="59">
        <f t="shared" si="14"/>
        <v>882.47813541903361</v>
      </c>
      <c r="CY64" s="59">
        <f ca="1">AVERAGE(OFFSET($CX$3,0,0,'Données projet'!$E$13+1,1))-AVERAGE(OFFSET($H$3,0,0,'Données projet'!$E$13+1,1))</f>
        <v>338.22448697444298</v>
      </c>
      <c r="CZ64" s="59">
        <f t="shared" si="42"/>
        <v>293.3872365640849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52.345674063246413</v>
      </c>
      <c r="DG64" s="21">
        <f>EXP(-LN(2)/25)*DG63+(1-EXP(-LN(2)/25))/(LN(2)/25)*Calculateur!DB64*Calculateur!DD64*VLOOKUP('Données projet'!$B$13,Paramètres!$A$1:$I$89,3,0)*0.475*44/12</f>
        <v>26.868748535966915</v>
      </c>
      <c r="DH64" s="21">
        <f>EXP(-LN(2)/2)*DH63+(1-EXP(-LN(2)/2))/(LN(2)/2)*DB64*DE64*VLOOKUP('Données projet'!$B$13,Paramètres!$A$1:$I$89,3,0)*0.475*44/12</f>
        <v>4.8132120927082367</v>
      </c>
      <c r="DI64" s="22">
        <f t="shared" si="15"/>
        <v>84.027634691921563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18.617142857142849</v>
      </c>
      <c r="DO64" s="12">
        <f>IF('Données projet'!$A$166&gt;35,DO63+DN64-DW63,IF(A64&lt;'Données projet'!$A$166,$DL$205^A64,IF(A64='Données projet'!$A$166,'Données projet'!$B$166,DO63+DN64-DW63)))</f>
        <v>532.44571428571453</v>
      </c>
      <c r="DP64" s="17">
        <f>DO64*VLOOKUP('Données projet'!$B$14,Paramètres!$A$1:$I$89,3,0)*VLOOKUP('Données projet'!$B$14,Paramètres!$A$1:$I$89,5,0)</f>
        <v>297.63715428571442</v>
      </c>
      <c r="DQ64" s="13">
        <f t="shared" si="43"/>
        <v>70.680892526366577</v>
      </c>
      <c r="DR64" s="20">
        <f t="shared" si="16"/>
        <v>641.48726486437431</v>
      </c>
      <c r="DS64" s="59">
        <f t="shared" si="17"/>
        <v>934.82059819770757</v>
      </c>
      <c r="DT64" s="59">
        <f ca="1">AVERAGE(OFFSET($DS$3,0,0,'Données projet'!$E$14+1,1))-AVERAGE(OFFSET($H$3,0,0,'Données projet'!$E$14+1,1))</f>
        <v>328.15217666639006</v>
      </c>
      <c r="DU64" s="59">
        <f t="shared" si="44"/>
        <v>305.59175773326308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78.780749955448471</v>
      </c>
      <c r="EB64" s="21">
        <f>EXP(-LN(2)/25)*EB63+(1-EXP(-LN(2)/25))/(LN(2)/25)*Calculateur!DW64*Calculateur!DY64*VLOOKUP('Données projet'!$B$14,Paramètres!$A$1:$I$89,3,0)*0.475*44/12</f>
        <v>28.762274151221987</v>
      </c>
      <c r="EC64" s="21">
        <f>EXP(-LN(2)/2)*EC63+(1-EXP(-LN(2)/2))/(LN(2)/2)*DW64*DZ64*VLOOKUP('Données projet'!$B$14,Paramètres!$A$1:$I$89,3,0)*0.475*44/12</f>
        <v>2.3603578283441098</v>
      </c>
      <c r="ED64" s="22">
        <f t="shared" si="18"/>
        <v>109.90338193501456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159.78276497127206</v>
      </c>
      <c r="EP64" s="59">
        <f t="shared" si="46"/>
        <v>190.72163407919857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6.5650439560360807</v>
      </c>
      <c r="EW64" s="21">
        <f>EXP(-LN(2)/25)*EW63+(1-EXP(-LN(2)/25))/(LN(2)/25)*Calculateur!ER64*Calculateur!ET64*VLOOKUP('Données projet'!$B$15,Paramètres!$A$1:$I$89,3,0)*0.475*44/12</f>
        <v>32.995152547746834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39.560196503782912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11.016666666666667</v>
      </c>
      <c r="FE64" s="12">
        <f>IF('Données projet'!$A$218&gt;35,FE63+FD64-FM63,IF(A64&lt;'Données projet'!$A$218,$FB$205^A64,IF(A64='Données projet'!$A$218,'Données projet'!$B$218,FE63+FD64-FM63)))</f>
        <v>199.54666666666697</v>
      </c>
      <c r="FF64" s="17">
        <f>FE64*VLOOKUP('Données projet'!$B$16,Paramètres!$A$1:$I$89,3,0)*VLOOKUP('Données projet'!$B$16,Paramètres!$A$1:$I$89,5,0)</f>
        <v>171.21104000000028</v>
      </c>
      <c r="FG64" s="13">
        <f t="shared" si="47"/>
        <v>43.36114410236933</v>
      </c>
      <c r="FH64" s="20">
        <f t="shared" si="22"/>
        <v>373.71322064496036</v>
      </c>
      <c r="FI64" s="59">
        <f t="shared" si="23"/>
        <v>667.04655397829367</v>
      </c>
      <c r="FJ64" s="59">
        <f ca="1">AVERAGE(OFFSET($FI$3,0,0,'Données projet'!$E$16+1,1))-AVERAGE(OFFSET($H$3,0,0,'Données projet'!$E$16+1,1))</f>
        <v>337.15023592377008</v>
      </c>
      <c r="FK64" s="59">
        <f t="shared" si="48"/>
        <v>286.60608582587099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33.127912362519275</v>
      </c>
      <c r="FS64" s="21">
        <f>EXP(-LN(2)/2)*FS63+(1-EXP(-LN(2)/2))/(LN(2)/2)*FM64*FP64*VLOOKUP('Données projet'!$B$16,Paramètres!$A$1:$I$89,3,0)*0.475*44/12</f>
        <v>14.960411793676704</v>
      </c>
      <c r="FT64" s="22">
        <f t="shared" si="24"/>
        <v>48.088324156195981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10.107499999999998</v>
      </c>
      <c r="FZ64" s="12">
        <f>IF('Données projet'!$A$244&gt;35,FZ63+FY64-GH63,IF(A64&lt;'Données projet'!$A$244,$FW$205^A64,IF(A64='Données projet'!$A$244,'Données projet'!$B$244,FZ63+FY64-GH63)))</f>
        <v>236.23250000000027</v>
      </c>
      <c r="GA64" s="17">
        <f>FZ64*VLOOKUP('Données projet'!$B$17,Paramètres!$A$1:$I$89,3,0)*VLOOKUP('Données projet'!$B$17,Paramètres!$A$1:$I$89,5,0)</f>
        <v>213.74316600000023</v>
      </c>
      <c r="GB64" s="13">
        <f t="shared" si="49"/>
        <v>52.752718660626023</v>
      </c>
      <c r="GC64" s="20">
        <f t="shared" si="25"/>
        <v>464.14699911725734</v>
      </c>
      <c r="GD64" s="59">
        <f t="shared" si="26"/>
        <v>757.48033245059059</v>
      </c>
      <c r="GE64" s="59">
        <f ca="1">AVERAGE(OFFSET($GD$3,0,0,'Données projet'!$E$17+1,1))-AVERAGE(OFFSET($H$3,0,0,'Données projet'!$E$17+1,1))</f>
        <v>486.55344536255876</v>
      </c>
      <c r="GF64" s="59">
        <f t="shared" si="50"/>
        <v>231.14794884432229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33.5632537761648</v>
      </c>
      <c r="GN64" s="21">
        <f>EXP(-LN(2)/2)*GN63+(1-EXP(-LN(2)/2))/(LN(2)/2)*GH64*GK64*VLOOKUP('Données projet'!$B$17,Paramètres!$A$1:$I$89,3,0)*0.475*44/12</f>
        <v>3.0370169527464057</v>
      </c>
      <c r="GO64" s="21">
        <f t="shared" si="27"/>
        <v>36.600270728911205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359.23838218192606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16.078749999999999</v>
      </c>
      <c r="N65" s="13">
        <f>IF('Données projet'!$A$36&gt;35,N64+M65-V64,IF(A65&lt;'Données projet'!$A$36,$K$205^A65,IF(A65='Données projet'!$A$36,'Données projet'!$B$36,N64+M65-V64)))</f>
        <v>375.88499999999993</v>
      </c>
      <c r="O65" s="13">
        <f>N65*VLOOKUP('Données projet'!$B$9,Paramètres!$A$1:$I$89,3,0)*VLOOKUP('Données projet'!$B$9,Paramètres!$A$1:$I$89,5,0)</f>
        <v>175.91417999999999</v>
      </c>
      <c r="P65" s="13">
        <f t="shared" si="33"/>
        <v>44.411955336426431</v>
      </c>
      <c r="Q65" s="20">
        <f t="shared" si="53"/>
        <v>383.73468571094264</v>
      </c>
      <c r="R65" s="59">
        <f t="shared" si="0"/>
        <v>677.06801904427596</v>
      </c>
      <c r="S65" s="59">
        <f ca="1">AVERAGE(OFFSET($R$3,0,0,'Données projet'!$E$9+1,1))-AVERAGE(OFFSET($H$3,0,0,'Données projet'!$E$9+1,1))</f>
        <v>252.08270526008477</v>
      </c>
      <c r="T65" s="59">
        <f t="shared" si="34"/>
        <v>239.77811108960179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40.367509804541434</v>
      </c>
      <c r="AA65" s="21">
        <f>EXP(-LN(2)/25)*AA64+(1-EXP(-LN(2)/25))/(LN(2)/25)*Calculateur!V65*Calculateur!X65*VLOOKUP('Données projet'!$B$9,Paramètres!$A$1:$I$89,3,0)*0.475*44/12</f>
        <v>18.401305923148904</v>
      </c>
      <c r="AB65" s="21">
        <f>EXP(-LN(2)/2)*AB64+(1-EXP(-LN(2)/2))/(LN(2)/2)*V65*Y65*VLOOKUP('Données projet'!$B$9,Paramètres!$A$1:$I$89,3,0)*0.475*44/12</f>
        <v>2.5458094843223797</v>
      </c>
      <c r="AC65" s="22">
        <f t="shared" si="3"/>
        <v>61.314625212012714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251.64326096359997</v>
      </c>
      <c r="AO65" s="59">
        <f t="shared" si="36"/>
        <v>256.72142151189894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133.47623095673652</v>
      </c>
      <c r="AV65" s="21">
        <f>EXP(-LN(2)/25)*AV64+(1-EXP(-LN(2)/25))/(LN(2)/25)*Calculateur!AQ65*Calculateur!AS65*VLOOKUP('Données projet'!$B$10,Paramètres!$A$1:$I$89,3,0)*0.475*44/12</f>
        <v>45.827522241839439</v>
      </c>
      <c r="AW65" s="21">
        <f>EXP(-LN(2)/2)*AW64+(1-EXP(-LN(2)/2))/(LN(2)/2)*AQ65*AT65*VLOOKUP('Données projet'!$B$10,Paramètres!$A$1:$I$89,3,0)*0.475*44/12</f>
        <v>29.980721411676683</v>
      </c>
      <c r="AX65" s="21">
        <f t="shared" si="6"/>
        <v>209.28447461025263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199.29783428981898</v>
      </c>
      <c r="BJ65" s="59">
        <f t="shared" si="38"/>
        <v>237.32002274562547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5.5414027511682145</v>
      </c>
      <c r="BQ65" s="21">
        <f>EXP(-LN(2)/25)*BQ64+(1-EXP(-LN(2)/25))/(LN(2)/25)*Calculateur!BL65*Calculateur!BN65*VLOOKUP('Données projet'!$B$11,Paramètres!$A$1:$I$89,3,0)*0.475*44/12</f>
        <v>27.630699236600158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33.172101987768372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9.7525000000000013</v>
      </c>
      <c r="BY65" s="12">
        <f>IF('Données projet'!$A$114&gt;35,BY64+BX65-CG64,IF(A65&lt;'Données projet'!$A$114,$BV$205^A65,IF(A65='Données projet'!$A$114,'Données projet'!$B$114,BY64+BX65-CG64)))</f>
        <v>190.29749999999999</v>
      </c>
      <c r="BZ65" s="13">
        <f>BY65*VLOOKUP('Données projet'!$B$12,Paramètres!$A$1:$I$89,3,0)*VLOOKUP('Données projet'!$B$12,Paramètres!$A$1:$I$89,5,0)</f>
        <v>160.306614</v>
      </c>
      <c r="CA65" s="13">
        <f t="shared" si="39"/>
        <v>40.911665342542477</v>
      </c>
      <c r="CB65" s="20">
        <f t="shared" si="10"/>
        <v>350.4551698549281</v>
      </c>
      <c r="CC65" s="59">
        <f t="shared" si="11"/>
        <v>643.78850318826142</v>
      </c>
      <c r="CD65" s="59">
        <f ca="1">AVERAGE(OFFSET($CC$3,0,0,'Données projet'!$E$12+1,1))-AVERAGE(OFFSET($H$3,0,0,'Données projet'!$E$12+1,1))</f>
        <v>295.59075210589327</v>
      </c>
      <c r="CE65" s="59">
        <f t="shared" si="40"/>
        <v>210.41181542059576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10.626558142393339</v>
      </c>
      <c r="CL65" s="21">
        <f>EXP(-LN(2)/25)*CL64+(1-EXP(-LN(2)/25))/(LN(2)/25)*Calculateur!CG65*Calculateur!CI65*VLOOKUP('Données projet'!$B$12,Paramètres!$A$1:$I$89,3,0)*0.475*44/12</f>
        <v>25.796033428754008</v>
      </c>
      <c r="CM65" s="21">
        <f>EXP(-LN(2)/2)*CM64+(1-EXP(-LN(2)/2))/(LN(2)/2)*CG65*CJ65*VLOOKUP('Données projet'!$B$12,Paramètres!$A$1:$I$89,3,0)*0.475*44/12</f>
        <v>1.3062840221860248</v>
      </c>
      <c r="CN65" s="22">
        <f t="shared" si="12"/>
        <v>37.728875593333377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18.600000000000001</v>
      </c>
      <c r="CT65" s="12">
        <f>IF('Données projet'!$A$140&gt;35,CT64+CS65-DB64,IF(A65&lt;'Données projet'!$A$140,$CQ$205^A65,IF(A65='Données projet'!$A$140,'Données projet'!$B$140,CT64+CS65-DB64)))</f>
        <v>618.19999999999993</v>
      </c>
      <c r="CU65" s="17">
        <f>CT65*VLOOKUP('Données projet'!$B$13,Paramètres!$A$1:$I$89,3,0)*VLOOKUP('Données projet'!$B$13,Paramètres!$A$1:$I$89,5,0)</f>
        <v>281.28100000000001</v>
      </c>
      <c r="CV65" s="13">
        <f t="shared" si="41"/>
        <v>67.237649046758463</v>
      </c>
      <c r="CW65" s="20">
        <f t="shared" si="13"/>
        <v>607.00331375643771</v>
      </c>
      <c r="CX65" s="59">
        <f t="shared" si="14"/>
        <v>900.33664708977108</v>
      </c>
      <c r="CY65" s="59">
        <f ca="1">AVERAGE(OFFSET($CX$3,0,0,'Données projet'!$E$13+1,1))-AVERAGE(OFFSET($H$3,0,0,'Données projet'!$E$13+1,1))</f>
        <v>338.22448697444298</v>
      </c>
      <c r="CZ65" s="59">
        <f t="shared" si="42"/>
        <v>293.3872365640849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51.319207322574734</v>
      </c>
      <c r="DG65" s="21">
        <f>EXP(-LN(2)/25)*DG64+(1-EXP(-LN(2)/25))/(LN(2)/25)*Calculateur!DB65*Calculateur!DD65*VLOOKUP('Données projet'!$B$13,Paramètres!$A$1:$I$89,3,0)*0.475*44/12</f>
        <v>26.134021194284824</v>
      </c>
      <c r="DH65" s="21">
        <f>EXP(-LN(2)/2)*DH64+(1-EXP(-LN(2)/2))/(LN(2)/2)*DB65*DE65*VLOOKUP('Données projet'!$B$13,Paramètres!$A$1:$I$89,3,0)*0.475*44/12</f>
        <v>3.403454910043088</v>
      </c>
      <c r="DI65" s="22">
        <f t="shared" si="15"/>
        <v>80.856683426902634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18.617142857142849</v>
      </c>
      <c r="DO65" s="12">
        <f>IF('Données projet'!$A$166&gt;35,DO64+DN65-DW64,IF(A65&lt;'Données projet'!$A$166,$DL$205^A65,IF(A65='Données projet'!$A$166,'Données projet'!$B$166,DO64+DN65-DW64)))</f>
        <v>551.06285714285741</v>
      </c>
      <c r="DP65" s="17">
        <f>DO65*VLOOKUP('Données projet'!$B$14,Paramètres!$A$1:$I$89,3,0)*VLOOKUP('Données projet'!$B$14,Paramètres!$A$1:$I$89,5,0)</f>
        <v>308.04413714285727</v>
      </c>
      <c r="DQ65" s="13">
        <f t="shared" si="43"/>
        <v>72.860217822174434</v>
      </c>
      <c r="DR65" s="20">
        <f t="shared" si="16"/>
        <v>663.40841823076346</v>
      </c>
      <c r="DS65" s="59">
        <f t="shared" si="17"/>
        <v>956.74175156409683</v>
      </c>
      <c r="DT65" s="59">
        <f ca="1">AVERAGE(OFFSET($DS$3,0,0,'Données projet'!$E$14+1,1))-AVERAGE(OFFSET($H$3,0,0,'Données projet'!$E$14+1,1))</f>
        <v>328.15217666639006</v>
      </c>
      <c r="DU65" s="59">
        <f t="shared" si="44"/>
        <v>305.59175773326308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77.235907500334903</v>
      </c>
      <c r="EB65" s="21">
        <f>EXP(-LN(2)/25)*EB64+(1-EXP(-LN(2)/25))/(LN(2)/25)*Calculateur!DW65*Calculateur!DY65*VLOOKUP('Données projet'!$B$14,Paramètres!$A$1:$I$89,3,0)*0.475*44/12</f>
        <v>27.975768252014561</v>
      </c>
      <c r="EC65" s="21">
        <f>EXP(-LN(2)/2)*EC64+(1-EXP(-LN(2)/2))/(LN(2)/2)*DW65*DZ65*VLOOKUP('Données projet'!$B$14,Paramètres!$A$1:$I$89,3,0)*0.475*44/12</f>
        <v>1.6690250264488731</v>
      </c>
      <c r="ED65" s="22">
        <f t="shared" si="18"/>
        <v>106.88070077879834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159.78276497127206</v>
      </c>
      <c r="EP65" s="59">
        <f t="shared" si="46"/>
        <v>190.72163407919857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6.4363074483396367</v>
      </c>
      <c r="EW65" s="21">
        <f>EXP(-LN(2)/25)*EW64+(1-EXP(-LN(2)/25))/(LN(2)/25)*Calculateur!ER65*Calculateur!ET65*VLOOKUP('Données projet'!$B$15,Paramètres!$A$1:$I$89,3,0)*0.475*44/12</f>
        <v>32.092898366189033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38.529205814528666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11.016666666666667</v>
      </c>
      <c r="FE65" s="12">
        <f>IF('Données projet'!$A$218&gt;35,FE64+FD65-FM64,IF(A65&lt;'Données projet'!$A$218,$FB$205^A65,IF(A65='Données projet'!$A$218,'Données projet'!$B$218,FE64+FD65-FM64)))</f>
        <v>210.56333333333365</v>
      </c>
      <c r="FF65" s="17">
        <f>FE65*VLOOKUP('Données projet'!$B$16,Paramètres!$A$1:$I$89,3,0)*VLOOKUP('Données projet'!$B$16,Paramètres!$A$1:$I$89,5,0)</f>
        <v>180.66334000000029</v>
      </c>
      <c r="FG65" s="13">
        <f t="shared" si="47"/>
        <v>45.46973548542649</v>
      </c>
      <c r="FH65" s="20">
        <f t="shared" si="22"/>
        <v>393.84843980378497</v>
      </c>
      <c r="FI65" s="59">
        <f t="shared" si="23"/>
        <v>687.18177313711828</v>
      </c>
      <c r="FJ65" s="59">
        <f ca="1">AVERAGE(OFFSET($FI$3,0,0,'Données projet'!$E$16+1,1))-AVERAGE(OFFSET($H$3,0,0,'Données projet'!$E$16+1,1))</f>
        <v>337.15023592377008</v>
      </c>
      <c r="FK65" s="59">
        <f t="shared" si="48"/>
        <v>286.60608582587099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32.222027856844988</v>
      </c>
      <c r="FS65" s="21">
        <f>EXP(-LN(2)/2)*FS64+(1-EXP(-LN(2)/2))/(LN(2)/2)*FM65*FP65*VLOOKUP('Données projet'!$B$16,Paramètres!$A$1:$I$89,3,0)*0.475*44/12</f>
        <v>10.578608628651999</v>
      </c>
      <c r="FT65" s="22">
        <f t="shared" si="24"/>
        <v>42.800636485496987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10.107499999999998</v>
      </c>
      <c r="FZ65" s="12">
        <f>IF('Données projet'!$A$244&gt;35,FZ64+FY65-GH64,IF(A65&lt;'Données projet'!$A$244,$FW$205^A65,IF(A65='Données projet'!$A$244,'Données projet'!$B$244,FZ64+FY65-GH64)))</f>
        <v>246.34000000000026</v>
      </c>
      <c r="GA65" s="17">
        <f>FZ65*VLOOKUP('Données projet'!$B$17,Paramètres!$A$1:$I$89,3,0)*VLOOKUP('Données projet'!$B$17,Paramètres!$A$1:$I$89,5,0)</f>
        <v>222.88843200000022</v>
      </c>
      <c r="GB65" s="13">
        <f t="shared" si="49"/>
        <v>54.74219476708182</v>
      </c>
      <c r="GC65" s="20">
        <f t="shared" si="25"/>
        <v>483.54000828600118</v>
      </c>
      <c r="GD65" s="59">
        <f t="shared" si="26"/>
        <v>776.8733416193345</v>
      </c>
      <c r="GE65" s="59">
        <f ca="1">AVERAGE(OFFSET($GD$3,0,0,'Données projet'!$E$17+1,1))-AVERAGE(OFFSET($H$3,0,0,'Données projet'!$E$17+1,1))</f>
        <v>486.55344536255876</v>
      </c>
      <c r="GF65" s="59">
        <f t="shared" si="50"/>
        <v>231.14794884432229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32.64546483664077</v>
      </c>
      <c r="GN65" s="21">
        <f>EXP(-LN(2)/2)*GN64+(1-EXP(-LN(2)/2))/(LN(2)/2)*GH65*GK65*VLOOKUP('Données projet'!$B$17,Paramètres!$A$1:$I$89,3,0)*0.475*44/12</f>
        <v>2.147495281865488</v>
      </c>
      <c r="GO65" s="21">
        <f t="shared" si="27"/>
        <v>34.792960118506258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360.84852503932069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16.078749999999999</v>
      </c>
      <c r="N66" s="13">
        <f>IF('Données projet'!$A$36&gt;35,N65+M66-V65,IF(A66&lt;'Données projet'!$A$36,$K$205^A66,IF(A66='Données projet'!$A$36,'Données projet'!$B$36,N65+M66-V65)))</f>
        <v>391.96374999999995</v>
      </c>
      <c r="O66" s="13">
        <f>N66*VLOOKUP('Données projet'!$B$9,Paramètres!$A$1:$I$89,3,0)*VLOOKUP('Données projet'!$B$9,Paramètres!$A$1:$I$89,5,0)</f>
        <v>183.43903499999999</v>
      </c>
      <c r="P66" s="13">
        <f t="shared" si="33"/>
        <v>46.08646330124531</v>
      </c>
      <c r="Q66" s="20">
        <f t="shared" si="53"/>
        <v>399.75690954133552</v>
      </c>
      <c r="R66" s="59">
        <f t="shared" si="0"/>
        <v>693.09024287466877</v>
      </c>
      <c r="S66" s="59">
        <f ca="1">AVERAGE(OFFSET($R$3,0,0,'Données projet'!$E$9+1,1))-AVERAGE(OFFSET($H$3,0,0,'Données projet'!$E$9+1,1))</f>
        <v>252.08270526008477</v>
      </c>
      <c r="T66" s="59">
        <f t="shared" si="34"/>
        <v>239.77811108960179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39.575927559024159</v>
      </c>
      <c r="AA66" s="21">
        <f>EXP(-LN(2)/25)*AA65+(1-EXP(-LN(2)/25))/(LN(2)/25)*Calculateur!V66*Calculateur!X66*VLOOKUP('Données projet'!$B$9,Paramètres!$A$1:$I$89,3,0)*0.475*44/12</f>
        <v>17.898121244997775</v>
      </c>
      <c r="AB66" s="21">
        <f>EXP(-LN(2)/2)*AB65+(1-EXP(-LN(2)/2))/(LN(2)/2)*V66*Y66*VLOOKUP('Données projet'!$B$9,Paramètres!$A$1:$I$89,3,0)*0.475*44/12</f>
        <v>1.8001591499733824</v>
      </c>
      <c r="AC66" s="22">
        <f t="shared" si="3"/>
        <v>59.274207953995315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251.64326096359997</v>
      </c>
      <c r="AO66" s="59">
        <f t="shared" si="36"/>
        <v>256.72142151189894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130.85884348013698</v>
      </c>
      <c r="AV66" s="21">
        <f>EXP(-LN(2)/25)*AV65+(1-EXP(-LN(2)/25))/(LN(2)/25)*Calculateur!AQ66*Calculateur!AS66*VLOOKUP('Données projet'!$B$10,Paramètres!$A$1:$I$89,3,0)*0.475*44/12</f>
        <v>44.574366236171684</v>
      </c>
      <c r="AW66" s="21">
        <f>EXP(-LN(2)/2)*AW65+(1-EXP(-LN(2)/2))/(LN(2)/2)*AQ66*AT66*VLOOKUP('Données projet'!$B$10,Paramètres!$A$1:$I$89,3,0)*0.475*44/12</f>
        <v>21.199571415061307</v>
      </c>
      <c r="AX66" s="21">
        <f t="shared" si="6"/>
        <v>196.63278113137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199.29783428981898</v>
      </c>
      <c r="BJ66" s="59">
        <f t="shared" si="38"/>
        <v>237.32002274562547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5.4327392231397447</v>
      </c>
      <c r="BQ66" s="21">
        <f>EXP(-LN(2)/25)*BQ65+(1-EXP(-LN(2)/25))/(LN(2)/25)*Calculateur!BL66*Calculateur!BN66*VLOOKUP('Données projet'!$B$11,Paramètres!$A$1:$I$89,3,0)*0.475*44/12</f>
        <v>26.875136312940004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32.307875536079749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9.7525000000000013</v>
      </c>
      <c r="BY66" s="12">
        <f>IF('Données projet'!$A$114&gt;35,BY65+BX66-CG65,IF(A66&lt;'Données projet'!$A$114,$BV$205^A66,IF(A66='Données projet'!$A$114,'Données projet'!$B$114,BY65+BX66-CG65)))</f>
        <v>200.04999999999998</v>
      </c>
      <c r="BZ66" s="13">
        <f>BY66*VLOOKUP('Données projet'!$B$12,Paramètres!$A$1:$I$89,3,0)*VLOOKUP('Données projet'!$B$12,Paramètres!$A$1:$I$89,5,0)</f>
        <v>168.52212</v>
      </c>
      <c r="CA66" s="13">
        <f t="shared" si="39"/>
        <v>42.75885961408143</v>
      </c>
      <c r="CB66" s="20">
        <f t="shared" si="10"/>
        <v>367.98103949452519</v>
      </c>
      <c r="CC66" s="59">
        <f t="shared" si="11"/>
        <v>661.31437282785851</v>
      </c>
      <c r="CD66" s="59">
        <f ca="1">AVERAGE(OFFSET($CC$3,0,0,'Données projet'!$E$12+1,1))-AVERAGE(OFFSET($H$3,0,0,'Données projet'!$E$12+1,1))</f>
        <v>295.59075210589327</v>
      </c>
      <c r="CE66" s="59">
        <f t="shared" si="40"/>
        <v>210.41181542059576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10.418177818781471</v>
      </c>
      <c r="CL66" s="21">
        <f>EXP(-LN(2)/25)*CL65+(1-EXP(-LN(2)/25))/(LN(2)/25)*Calculateur!CG66*Calculateur!CI66*VLOOKUP('Données projet'!$B$12,Paramètres!$A$1:$I$89,3,0)*0.475*44/12</f>
        <v>25.09063953809029</v>
      </c>
      <c r="CM66" s="21">
        <f>EXP(-LN(2)/2)*CM65+(1-EXP(-LN(2)/2))/(LN(2)/2)*CG66*CJ66*VLOOKUP('Données projet'!$B$12,Paramètres!$A$1:$I$89,3,0)*0.475*44/12</f>
        <v>0.92368229024337667</v>
      </c>
      <c r="CN66" s="22">
        <f t="shared" si="12"/>
        <v>36.432499647115137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18.600000000000001</v>
      </c>
      <c r="CT66" s="12">
        <f>IF('Données projet'!$A$140&gt;35,CT65+CS66-DB65,IF(A66&lt;'Données projet'!$A$140,$CQ$205^A66,IF(A66='Données projet'!$A$140,'Données projet'!$B$140,CT65+CS66-DB65)))</f>
        <v>636.79999999999995</v>
      </c>
      <c r="CU66" s="17">
        <f>CT66*VLOOKUP('Données projet'!$B$13,Paramètres!$A$1:$I$89,3,0)*VLOOKUP('Données projet'!$B$13,Paramètres!$A$1:$I$89,5,0)</f>
        <v>289.74399999999997</v>
      </c>
      <c r="CV66" s="13">
        <f t="shared" si="41"/>
        <v>69.022078629161129</v>
      </c>
      <c r="CW66" s="20">
        <f t="shared" si="13"/>
        <v>624.85092027912231</v>
      </c>
      <c r="CX66" s="59">
        <f t="shared" si="14"/>
        <v>918.18425361245568</v>
      </c>
      <c r="CY66" s="59">
        <f ca="1">AVERAGE(OFFSET($CX$3,0,0,'Données projet'!$E$13+1,1))-AVERAGE(OFFSET($H$3,0,0,'Données projet'!$E$13+1,1))</f>
        <v>338.22448697444298</v>
      </c>
      <c r="CZ66" s="59">
        <f t="shared" si="42"/>
        <v>293.3872365640849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50.312868968604732</v>
      </c>
      <c r="DG66" s="21">
        <f>EXP(-LN(2)/25)*DG65+(1-EXP(-LN(2)/25))/(LN(2)/25)*Calculateur!DB66*Calculateur!DD66*VLOOKUP('Données projet'!$B$13,Paramètres!$A$1:$I$89,3,0)*0.475*44/12</f>
        <v>25.41938501039866</v>
      </c>
      <c r="DH66" s="21">
        <f>EXP(-LN(2)/2)*DH65+(1-EXP(-LN(2)/2))/(LN(2)/2)*DB66*DE66*VLOOKUP('Données projet'!$B$13,Paramètres!$A$1:$I$89,3,0)*0.475*44/12</f>
        <v>2.4066060463541188</v>
      </c>
      <c r="DI66" s="22">
        <f t="shared" si="15"/>
        <v>78.138860025357502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569.67999999999995</v>
      </c>
      <c r="DM66" s="12">
        <f>VLOOKUP(A66,'Données projet'!$A$165:$I$185,9,0)</f>
        <v>18.617142857142849</v>
      </c>
      <c r="DN66" s="12">
        <f t="array" ref="DN66">INDEX(DM:DM,MIN(IF(ISNUMBER(DM66:DM262),ROW(DM66:DM262),"")))</f>
        <v>18.617142857142849</v>
      </c>
      <c r="DO66" s="12">
        <f>IF('Données projet'!$A$166&gt;35,DO65+DN66-DW65,IF(A66&lt;'Données projet'!$A$166,$DL$205^A66,IF(A66='Données projet'!$A$166,'Données projet'!$B$166,DO65+DN66-DW65)))</f>
        <v>569.68000000000029</v>
      </c>
      <c r="DP66" s="17">
        <f>DO66*VLOOKUP('Données projet'!$B$14,Paramètres!$A$1:$I$89,3,0)*VLOOKUP('Données projet'!$B$14,Paramètres!$A$1:$I$89,5,0)</f>
        <v>318.45112000000017</v>
      </c>
      <c r="DQ66" s="13">
        <f t="shared" si="43"/>
        <v>75.030988106995281</v>
      </c>
      <c r="DR66" s="20">
        <f t="shared" si="16"/>
        <v>685.31467161968374</v>
      </c>
      <c r="DS66" s="59">
        <f t="shared" si="17"/>
        <v>978.64800495301711</v>
      </c>
      <c r="DT66" s="59">
        <f ca="1">AVERAGE(OFFSET($DS$3,0,0,'Données projet'!$E$14+1,1))-AVERAGE(OFFSET($H$3,0,0,'Données projet'!$E$14+1,1))</f>
        <v>328.15217666639006</v>
      </c>
      <c r="DU66" s="59">
        <f t="shared" si="44"/>
        <v>305.59175773326308</v>
      </c>
      <c r="DV66" s="15">
        <f>IF(ISNA(VLOOKUP(A66,'Données projet'!$A$165:$I$185,3,0)),0,VLOOKUP(A66,'Données projet'!$A$165:$I$185,3,0))</f>
        <v>7</v>
      </c>
      <c r="DW66" s="15">
        <f>IF(ISNA(VLOOKUP(A66,'Données projet'!$A$165:$I$185,4,0)),0,VLOOKUP(A66,'Données projet'!$A$165:$I$185,4,0))</f>
        <v>99.599999999999966</v>
      </c>
      <c r="DX66" s="16">
        <f>IF(ISNA(VLOOKUP(A66,'Données projet'!$A$165:$I$185,5,0)),0%,VLOOKUP(A66,'Données projet'!$A$165:$I$185,5,0)*VLOOKUP('Données projet'!$B$14,Paramètres!$A$1:$I$89,7,0))</f>
        <v>0.33</v>
      </c>
      <c r="DY66" s="16">
        <f>IF(ISNA(VLOOKUP(A66,'Données projet'!$A$165:$I$185,6,0)),0%,VLOOKUP(A66,'Données projet'!$A$165:$I$185,6,0)*VLOOKUP('Données projet'!$B$14,Paramètres!$A$1:$I$89,7,0))</f>
        <v>0.11000000000000001</v>
      </c>
      <c r="DZ66" s="16">
        <f>IF(ISNA(VLOOKUP(A66,'Données projet'!$A$165:$I$185,7,0)),0%,VLOOKUP(A66,'Données projet'!$A$165:$I$185,7,0))</f>
        <v>0.2</v>
      </c>
      <c r="EA66" s="21">
        <f>EXP(-LN(2)/35)*EA65+(1-EXP(-LN(2)/35))/(LN(2)/35)*DW66*DX66*VLOOKUP('Données projet'!$B$14,Paramètres!$A$1:$I$89,3,0)*0.475*44/12</f>
        <v>100.09460843496048</v>
      </c>
      <c r="EB66" s="21">
        <f>EXP(-LN(2)/25)*EB65+(1-EXP(-LN(2)/25))/(LN(2)/25)*Calculateur!DW66*Calculateur!DY66*VLOOKUP('Données projet'!$B$14,Paramètres!$A$1:$I$89,3,0)*0.475*44/12</f>
        <v>35.303197131108604</v>
      </c>
      <c r="EC66" s="21">
        <f>EXP(-LN(2)/2)*EC65+(1-EXP(-LN(2)/2))/(LN(2)/2)*DW66*DZ66*VLOOKUP('Données projet'!$B$14,Paramètres!$A$1:$I$89,3,0)*0.475*44/12</f>
        <v>13.787902572172555</v>
      </c>
      <c r="ED66" s="22">
        <f t="shared" si="18"/>
        <v>149.18570813824164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159.78276497127206</v>
      </c>
      <c r="EP66" s="59">
        <f t="shared" si="46"/>
        <v>190.72163407919857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6.3100953850376031</v>
      </c>
      <c r="EW66" s="21">
        <f>EXP(-LN(2)/25)*EW65+(1-EXP(-LN(2)/25))/(LN(2)/25)*Calculateur!ER66*Calculateur!ET66*VLOOKUP('Données projet'!$B$15,Paramètres!$A$1:$I$89,3,0)*0.475*44/12</f>
        <v>31.215316372673417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37.525411757711019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11.016666666666667</v>
      </c>
      <c r="FE66" s="12">
        <f>IF('Données projet'!$A$218&gt;35,FE65+FD66-FM65,IF(A66&lt;'Données projet'!$A$218,$FB$205^A66,IF(A66='Données projet'!$A$218,'Données projet'!$B$218,FE65+FD66-FM65)))</f>
        <v>221.58000000000033</v>
      </c>
      <c r="FF66" s="17">
        <f>FE66*VLOOKUP('Données projet'!$B$16,Paramètres!$A$1:$I$89,3,0)*VLOOKUP('Données projet'!$B$16,Paramètres!$A$1:$I$89,5,0)</f>
        <v>190.1156400000003</v>
      </c>
      <c r="FG66" s="13">
        <f t="shared" si="47"/>
        <v>47.565518307930859</v>
      </c>
      <c r="FH66" s="20">
        <f t="shared" si="22"/>
        <v>413.96135071964676</v>
      </c>
      <c r="FI66" s="59">
        <f t="shared" si="23"/>
        <v>707.29468405298007</v>
      </c>
      <c r="FJ66" s="59">
        <f ca="1">AVERAGE(OFFSET($FI$3,0,0,'Données projet'!$E$16+1,1))-AVERAGE(OFFSET($H$3,0,0,'Données projet'!$E$16+1,1))</f>
        <v>337.15023592377008</v>
      </c>
      <c r="FK66" s="59">
        <f t="shared" si="48"/>
        <v>286.60608582587099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31.340914810616763</v>
      </c>
      <c r="FS66" s="21">
        <f>EXP(-LN(2)/2)*FS65+(1-EXP(-LN(2)/2))/(LN(2)/2)*FM66*FP66*VLOOKUP('Données projet'!$B$16,Paramètres!$A$1:$I$89,3,0)*0.475*44/12</f>
        <v>7.4802058968383527</v>
      </c>
      <c r="FT66" s="22">
        <f t="shared" si="24"/>
        <v>38.821120707455115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10.107499999999998</v>
      </c>
      <c r="FZ66" s="12">
        <f>IF('Données projet'!$A$244&gt;35,FZ65+FY66-GH65,IF(A66&lt;'Données projet'!$A$244,$FW$205^A66,IF(A66='Données projet'!$A$244,'Données projet'!$B$244,FZ65+FY66-GH65)))</f>
        <v>256.44750000000028</v>
      </c>
      <c r="GA66" s="17">
        <f>FZ66*VLOOKUP('Données projet'!$B$17,Paramètres!$A$1:$I$89,3,0)*VLOOKUP('Données projet'!$B$17,Paramètres!$A$1:$I$89,5,0)</f>
        <v>232.03369800000024</v>
      </c>
      <c r="GB66" s="13">
        <f t="shared" si="49"/>
        <v>56.722189034958802</v>
      </c>
      <c r="GC66" s="20">
        <f t="shared" si="25"/>
        <v>502.91650325255364</v>
      </c>
      <c r="GD66" s="59">
        <f t="shared" si="26"/>
        <v>796.2498365858869</v>
      </c>
      <c r="GE66" s="59">
        <f ca="1">AVERAGE(OFFSET($GD$3,0,0,'Données projet'!$E$17+1,1))-AVERAGE(OFFSET($H$3,0,0,'Données projet'!$E$17+1,1))</f>
        <v>486.55344536255876</v>
      </c>
      <c r="GF66" s="59">
        <f t="shared" si="50"/>
        <v>231.14794884432229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31.752772883932444</v>
      </c>
      <c r="GN66" s="21">
        <f>EXP(-LN(2)/2)*GN65+(1-EXP(-LN(2)/2))/(LN(2)/2)*GH66*GK66*VLOOKUP('Données projet'!$B$17,Paramètres!$A$1:$I$89,3,0)*0.475*44/12</f>
        <v>1.5185084763732029</v>
      </c>
      <c r="GO66" s="21">
        <f t="shared" si="27"/>
        <v>33.27128136030565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362.458052898137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16.078749999999999</v>
      </c>
      <c r="N67" s="13">
        <f>IF('Données projet'!$A$36&gt;35,N66+M67-V66,IF(A67&lt;'Données projet'!$A$36,$K$205^A67,IF(A67='Données projet'!$A$36,'Données projet'!$B$36,N66+M67-V66)))</f>
        <v>408.04249999999996</v>
      </c>
      <c r="O67" s="13">
        <f>N67*VLOOKUP('Données projet'!$B$9,Paramètres!$A$1:$I$89,3,0)*VLOOKUP('Données projet'!$B$9,Paramètres!$A$1:$I$89,5,0)</f>
        <v>190.96388999999999</v>
      </c>
      <c r="P67" s="13">
        <f t="shared" si="33"/>
        <v>47.75299244368879</v>
      </c>
      <c r="Q67" s="20">
        <f t="shared" ref="Q67:Q98" si="54">(O67+P67)*0.475*44/12</f>
        <v>415.76523692275788</v>
      </c>
      <c r="R67" s="59">
        <f t="shared" ref="R67:R130" si="55">Q67+(I67+J67)*44/12</f>
        <v>709.09857025609119</v>
      </c>
      <c r="S67" s="59">
        <f ca="1">AVERAGE(OFFSET($R$3,0,0,'Données projet'!$E$9+1,1))-AVERAGE(OFFSET($H$3,0,0,'Données projet'!$E$9+1,1))</f>
        <v>252.08270526008477</v>
      </c>
      <c r="T67" s="59">
        <f t="shared" si="34"/>
        <v>239.77811108960179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38.799867758523988</v>
      </c>
      <c r="AA67" s="21">
        <f>EXP(-LN(2)/25)*AA66+(1-EXP(-LN(2)/25))/(LN(2)/25)*Calculateur!V67*Calculateur!X67*VLOOKUP('Données projet'!$B$9,Paramètres!$A$1:$I$89,3,0)*0.475*44/12</f>
        <v>17.408696178332022</v>
      </c>
      <c r="AB67" s="21">
        <f>EXP(-LN(2)/2)*AB66+(1-EXP(-LN(2)/2))/(LN(2)/2)*V67*Y67*VLOOKUP('Données projet'!$B$9,Paramètres!$A$1:$I$89,3,0)*0.475*44/12</f>
        <v>1.2729047421611901</v>
      </c>
      <c r="AC67" s="22">
        <f t="shared" si="3"/>
        <v>57.481468679017198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251.64326096359997</v>
      </c>
      <c r="AO67" s="59">
        <f t="shared" si="36"/>
        <v>256.72142151189894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128.29278137550483</v>
      </c>
      <c r="AV67" s="21">
        <f>EXP(-LN(2)/25)*AV66+(1-EXP(-LN(2)/25))/(LN(2)/25)*Calculateur!AQ67*Calculateur!AS67*VLOOKUP('Données projet'!$B$10,Paramètres!$A$1:$I$89,3,0)*0.475*44/12</f>
        <v>43.355477847379525</v>
      </c>
      <c r="AW67" s="21">
        <f>EXP(-LN(2)/2)*AW66+(1-EXP(-LN(2)/2))/(LN(2)/2)*AQ67*AT67*VLOOKUP('Données projet'!$B$10,Paramètres!$A$1:$I$89,3,0)*0.475*44/12</f>
        <v>14.990360705838345</v>
      </c>
      <c r="AX67" s="21">
        <f t="shared" si="6"/>
        <v>186.6386199287227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199.29783428981898</v>
      </c>
      <c r="BJ67" s="59">
        <f t="shared" si="38"/>
        <v>237.32002274562547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5.3262065206177054</v>
      </c>
      <c r="BQ67" s="21">
        <f>EXP(-LN(2)/25)*BQ66+(1-EXP(-LN(2)/25))/(LN(2)/25)*Calculateur!BL67*Calculateur!BN67*VLOOKUP('Données projet'!$B$11,Paramètres!$A$1:$I$89,3,0)*0.475*44/12</f>
        <v>26.140234297160664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31.46644081777837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9.7525000000000013</v>
      </c>
      <c r="BY67" s="12">
        <f>IF('Données projet'!$A$114&gt;35,BY66+BX67-CG66,IF(A67&lt;'Données projet'!$A$114,$BV$205^A67,IF(A67='Données projet'!$A$114,'Données projet'!$B$114,BY66+BX67-CG66)))</f>
        <v>209.80249999999998</v>
      </c>
      <c r="BZ67" s="13">
        <f>BY67*VLOOKUP('Données projet'!$B$12,Paramètres!$A$1:$I$89,3,0)*VLOOKUP('Données projet'!$B$12,Paramètres!$A$1:$I$89,5,0)</f>
        <v>176.73762600000001</v>
      </c>
      <c r="CA67" s="13">
        <f t="shared" si="39"/>
        <v>44.595597225516102</v>
      </c>
      <c r="CB67" s="20">
        <f t="shared" si="10"/>
        <v>385.48869711777388</v>
      </c>
      <c r="CC67" s="59">
        <f t="shared" si="11"/>
        <v>678.82203045110714</v>
      </c>
      <c r="CD67" s="59">
        <f ca="1">AVERAGE(OFFSET($CC$3,0,0,'Données projet'!$E$12+1,1))-AVERAGE(OFFSET($H$3,0,0,'Données projet'!$E$12+1,1))</f>
        <v>295.59075210589327</v>
      </c>
      <c r="CE67" s="59">
        <f t="shared" si="40"/>
        <v>210.41181542059576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10.213883706216185</v>
      </c>
      <c r="CL67" s="21">
        <f>EXP(-LN(2)/25)*CL66+(1-EXP(-LN(2)/25))/(LN(2)/25)*Calculateur!CG67*Calculateur!CI67*VLOOKUP('Données projet'!$B$12,Paramètres!$A$1:$I$89,3,0)*0.475*44/12</f>
        <v>24.404534680461822</v>
      </c>
      <c r="CM67" s="21">
        <f>EXP(-LN(2)/2)*CM66+(1-EXP(-LN(2)/2))/(LN(2)/2)*CG67*CJ67*VLOOKUP('Données projet'!$B$12,Paramètres!$A$1:$I$89,3,0)*0.475*44/12</f>
        <v>0.65314201109301251</v>
      </c>
      <c r="CN67" s="22">
        <f t="shared" si="12"/>
        <v>35.271560397771019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18.600000000000001</v>
      </c>
      <c r="CT67" s="12">
        <f>IF('Données projet'!$A$140&gt;35,CT66+CS67-DB66,IF(A67&lt;'Données projet'!$A$140,$CQ$205^A67,IF(A67='Données projet'!$A$140,'Données projet'!$B$140,CT66+CS67-DB66)))</f>
        <v>655.4</v>
      </c>
      <c r="CU67" s="17">
        <f>CT67*VLOOKUP('Données projet'!$B$13,Paramètres!$A$1:$I$89,3,0)*VLOOKUP('Données projet'!$B$13,Paramètres!$A$1:$I$89,5,0)</f>
        <v>298.20699999999999</v>
      </c>
      <c r="CV67" s="13">
        <f t="shared" si="41"/>
        <v>70.800450766646122</v>
      </c>
      <c r="CW67" s="20">
        <f t="shared" si="13"/>
        <v>642.68797675190865</v>
      </c>
      <c r="CX67" s="59">
        <f t="shared" si="14"/>
        <v>936.02131008524202</v>
      </c>
      <c r="CY67" s="59">
        <f ca="1">AVERAGE(OFFSET($CX$3,0,0,'Données projet'!$E$13+1,1))-AVERAGE(OFFSET($H$3,0,0,'Données projet'!$E$13+1,1))</f>
        <v>338.22448697444298</v>
      </c>
      <c r="CZ67" s="59">
        <f t="shared" si="42"/>
        <v>293.3872365640849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49.326264295950295</v>
      </c>
      <c r="DG67" s="21">
        <f>EXP(-LN(2)/25)*DG66+(1-EXP(-LN(2)/25))/(LN(2)/25)*Calculateur!DB67*Calculateur!DD67*VLOOKUP('Données projet'!$B$13,Paramètres!$A$1:$I$89,3,0)*0.475*44/12</f>
        <v>24.724290590541948</v>
      </c>
      <c r="DH67" s="21">
        <f>EXP(-LN(2)/2)*DH66+(1-EXP(-LN(2)/2))/(LN(2)/2)*DB67*DE67*VLOOKUP('Données projet'!$B$13,Paramètres!$A$1:$I$89,3,0)*0.475*44/12</f>
        <v>1.7017274550215442</v>
      </c>
      <c r="DI67" s="22">
        <f t="shared" si="15"/>
        <v>75.752282341513791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16.682857142857149</v>
      </c>
      <c r="DO67" s="12">
        <f>IF('Données projet'!$A$166&gt;35,DO66+DN67-DW66,IF(A67&lt;'Données projet'!$A$166,$DL$205^A67,IF(A67='Données projet'!$A$166,'Données projet'!$B$166,DO66+DN67-DW66)))</f>
        <v>486.76285714285751</v>
      </c>
      <c r="DP67" s="17">
        <f>DO67*VLOOKUP('Données projet'!$B$14,Paramètres!$A$1:$I$89,3,0)*VLOOKUP('Données projet'!$B$14,Paramètres!$A$1:$I$89,5,0)</f>
        <v>272.10043714285734</v>
      </c>
      <c r="DQ67" s="13">
        <f t="shared" si="43"/>
        <v>65.294833817604186</v>
      </c>
      <c r="DR67" s="20">
        <f t="shared" si="16"/>
        <v>587.63009692280377</v>
      </c>
      <c r="DS67" s="59">
        <f t="shared" si="17"/>
        <v>880.96343025613714</v>
      </c>
      <c r="DT67" s="59">
        <f ca="1">AVERAGE(OFFSET($DS$3,0,0,'Données projet'!$E$14+1,1))-AVERAGE(OFFSET($H$3,0,0,'Données projet'!$E$14+1,1))</f>
        <v>328.15217666639006</v>
      </c>
      <c r="DU67" s="59">
        <f t="shared" si="44"/>
        <v>305.59175773326308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98.131814215233689</v>
      </c>
      <c r="EB67" s="21">
        <f>EXP(-LN(2)/25)*EB66+(1-EXP(-LN(2)/25))/(LN(2)/25)*Calculateur!DW67*Calculateur!DY67*VLOOKUP('Données projet'!$B$14,Paramètres!$A$1:$I$89,3,0)*0.475*44/12</f>
        <v>34.337829349043986</v>
      </c>
      <c r="EC67" s="21">
        <f>EXP(-LN(2)/2)*EC66+(1-EXP(-LN(2)/2))/(LN(2)/2)*DW67*DZ67*VLOOKUP('Données projet'!$B$14,Paramètres!$A$1:$I$89,3,0)*0.475*44/12</f>
        <v>9.749519407122655</v>
      </c>
      <c r="ED67" s="22">
        <f t="shared" si="18"/>
        <v>142.21916297140032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159.78276497127206</v>
      </c>
      <c r="EP67" s="59">
        <f t="shared" si="46"/>
        <v>190.72163407919857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6.1863582633151655</v>
      </c>
      <c r="EW67" s="21">
        <f>EXP(-LN(2)/25)*EW66+(1-EXP(-LN(2)/25))/(LN(2)/25)*Calculateur!ER67*Calculateur!ET67*VLOOKUP('Données projet'!$B$15,Paramètres!$A$1:$I$89,3,0)*0.475*44/12</f>
        <v>30.361731904920518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36.548090168235682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11.016666666666667</v>
      </c>
      <c r="FE67" s="12">
        <f>IF('Données projet'!$A$218&gt;35,FE66+FD67-FM66,IF(A67&lt;'Données projet'!$A$218,$FB$205^A67,IF(A67='Données projet'!$A$218,'Données projet'!$B$218,FE66+FD67-FM66)))</f>
        <v>232.59666666666701</v>
      </c>
      <c r="FF67" s="17">
        <f>FE67*VLOOKUP('Données projet'!$B$16,Paramètres!$A$1:$I$89,3,0)*VLOOKUP('Données projet'!$B$16,Paramètres!$A$1:$I$89,5,0)</f>
        <v>199.56794000000033</v>
      </c>
      <c r="FG67" s="13">
        <f t="shared" si="47"/>
        <v>49.649202066451238</v>
      </c>
      <c r="FH67" s="20">
        <f t="shared" si="22"/>
        <v>434.05318909906981</v>
      </c>
      <c r="FI67" s="59">
        <f t="shared" si="23"/>
        <v>727.38652243240313</v>
      </c>
      <c r="FJ67" s="59">
        <f ca="1">AVERAGE(OFFSET($FI$3,0,0,'Données projet'!$E$16+1,1))-AVERAGE(OFFSET($H$3,0,0,'Données projet'!$E$16+1,1))</f>
        <v>337.15023592377008</v>
      </c>
      <c r="FK67" s="59">
        <f t="shared" si="48"/>
        <v>286.60608582587099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30.483895846973368</v>
      </c>
      <c r="FS67" s="21">
        <f>EXP(-LN(2)/2)*FS66+(1-EXP(-LN(2)/2))/(LN(2)/2)*FM67*FP67*VLOOKUP('Données projet'!$B$16,Paramètres!$A$1:$I$89,3,0)*0.475*44/12</f>
        <v>5.2893043143259995</v>
      </c>
      <c r="FT67" s="22">
        <f t="shared" si="24"/>
        <v>35.773200161299371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10.107499999999998</v>
      </c>
      <c r="FZ67" s="12">
        <f>IF('Données projet'!$A$244&gt;35,FZ66+FY67-GH66,IF(A67&lt;'Données projet'!$A$244,$FW$205^A67,IF(A67='Données projet'!$A$244,'Données projet'!$B$244,FZ66+FY67-GH66)))</f>
        <v>266.55500000000029</v>
      </c>
      <c r="GA67" s="17">
        <f>FZ67*VLOOKUP('Données projet'!$B$17,Paramètres!$A$1:$I$89,3,0)*VLOOKUP('Données projet'!$B$17,Paramètres!$A$1:$I$89,5,0)</f>
        <v>241.17896400000026</v>
      </c>
      <c r="GB67" s="13">
        <f t="shared" si="49"/>
        <v>58.693117941200413</v>
      </c>
      <c r="GC67" s="20">
        <f t="shared" si="25"/>
        <v>522.27720938092455</v>
      </c>
      <c r="GD67" s="59">
        <f t="shared" si="26"/>
        <v>815.61054271425792</v>
      </c>
      <c r="GE67" s="59">
        <f ca="1">AVERAGE(OFFSET($GD$3,0,0,'Données projet'!$E$17+1,1))-AVERAGE(OFFSET($H$3,0,0,'Données projet'!$E$17+1,1))</f>
        <v>486.55344536255876</v>
      </c>
      <c r="GF67" s="59">
        <f t="shared" si="50"/>
        <v>231.14794884432229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30.884491639615558</v>
      </c>
      <c r="GN67" s="21">
        <f>EXP(-LN(2)/2)*GN66+(1-EXP(-LN(2)/2))/(LN(2)/2)*GH67*GK67*VLOOKUP('Données projet'!$B$17,Paramètres!$A$1:$I$89,3,0)*0.475*44/12</f>
        <v>1.073747640932744</v>
      </c>
      <c r="GO67" s="21">
        <f t="shared" si="27"/>
        <v>31.958239280548302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364.06697647738508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16.078749999999999</v>
      </c>
      <c r="N68" s="13">
        <f>IF('Données projet'!$A$36&gt;35,N67+M68-V67,IF(A68&lt;'Données projet'!$A$36,$K$205^A68,IF(A68='Données projet'!$A$36,'Données projet'!$B$36,N67+M68-V67)))</f>
        <v>424.12124999999997</v>
      </c>
      <c r="O68" s="13">
        <f>N68*VLOOKUP('Données projet'!$B$9,Paramètres!$A$1:$I$89,3,0)*VLOOKUP('Données projet'!$B$9,Paramètres!$A$1:$I$89,5,0)</f>
        <v>198.48874499999997</v>
      </c>
      <c r="P68" s="13">
        <f t="shared" si="33"/>
        <v>49.411893143448467</v>
      </c>
      <c r="Q68" s="20">
        <f t="shared" si="54"/>
        <v>431.7602780998393</v>
      </c>
      <c r="R68" s="59">
        <f t="shared" si="55"/>
        <v>725.09361143317255</v>
      </c>
      <c r="S68" s="59">
        <f ca="1">AVERAGE(OFFSET($R$3,0,0,'Données projet'!$E$9+1,1))-AVERAGE(OFFSET($H$3,0,0,'Données projet'!$E$9+1,1))</f>
        <v>252.08270526008477</v>
      </c>
      <c r="T68" s="59">
        <f t="shared" si="34"/>
        <v>239.77811108960179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38.039026017361884</v>
      </c>
      <c r="AA68" s="21">
        <f>EXP(-LN(2)/25)*AA67+(1-EXP(-LN(2)/25))/(LN(2)/25)*Calculateur!V68*Calculateur!X68*VLOOKUP('Données projet'!$B$9,Paramètres!$A$1:$I$89,3,0)*0.475*44/12</f>
        <v>16.932654465851989</v>
      </c>
      <c r="AB68" s="21">
        <f>EXP(-LN(2)/2)*AB67+(1-EXP(-LN(2)/2))/(LN(2)/2)*V68*Y68*VLOOKUP('Données projet'!$B$9,Paramètres!$A$1:$I$89,3,0)*0.475*44/12</f>
        <v>0.90007957498669144</v>
      </c>
      <c r="AC68" s="22">
        <f t="shared" ref="AC68:AC131" si="57">SUM(Z68:AB68)</f>
        <v>55.871760058200564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251.64326096359997</v>
      </c>
      <c r="AO68" s="59">
        <f t="shared" si="36"/>
        <v>256.72142151189894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125.77703818360119</v>
      </c>
      <c r="AV68" s="21">
        <f>EXP(-LN(2)/25)*AV67+(1-EXP(-LN(2)/25))/(LN(2)/25)*Calculateur!AQ68*Calculateur!AS68*VLOOKUP('Données projet'!$B$10,Paramètres!$A$1:$I$89,3,0)*0.475*44/12</f>
        <v>42.169920025677442</v>
      </c>
      <c r="AW68" s="21">
        <f>EXP(-LN(2)/2)*AW67+(1-EXP(-LN(2)/2))/(LN(2)/2)*AQ68*AT68*VLOOKUP('Données projet'!$B$10,Paramètres!$A$1:$I$89,3,0)*0.475*44/12</f>
        <v>10.599785707530655</v>
      </c>
      <c r="AX68" s="21">
        <f t="shared" ref="AX68:AX131" si="60">SUM(AU68:AW68)</f>
        <v>178.54674391680931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199.29783428981898</v>
      </c>
      <c r="BJ68" s="59">
        <f t="shared" si="38"/>
        <v>237.32002274562547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5.221762859413591</v>
      </c>
      <c r="BQ68" s="21">
        <f>EXP(-LN(2)/25)*BQ67+(1-EXP(-LN(2)/25))/(LN(2)/25)*Calculateur!BL68*Calculateur!BN68*VLOOKUP('Données projet'!$B$11,Paramètres!$A$1:$I$89,3,0)*0.475*44/12</f>
        <v>25.425428215649628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30.647191075063219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9.7525000000000013</v>
      </c>
      <c r="BY68" s="12">
        <f>IF('Données projet'!$A$114&gt;35,BY67+BX68-CG67,IF(A68&lt;'Données projet'!$A$114,$BV$205^A68,IF(A68='Données projet'!$A$114,'Données projet'!$B$114,BY67+BX68-CG67)))</f>
        <v>219.55499999999998</v>
      </c>
      <c r="BZ68" s="13">
        <f>BY68*VLOOKUP('Données projet'!$B$12,Paramètres!$A$1:$I$89,3,0)*VLOOKUP('Données projet'!$B$12,Paramètres!$A$1:$I$89,5,0)</f>
        <v>184.95313199999998</v>
      </c>
      <c r="CA68" s="13">
        <f t="shared" si="39"/>
        <v>46.422419758073751</v>
      </c>
      <c r="CB68" s="20">
        <f t="shared" ref="CB68:CB131" si="64">(BZ68+CA68)*0.475*44/12</f>
        <v>402.97908597864506</v>
      </c>
      <c r="CC68" s="59">
        <f t="shared" ref="CC68:CC131" si="65">CB68+(BT68+BU68)*44/12</f>
        <v>696.31241931197837</v>
      </c>
      <c r="CD68" s="59">
        <f ca="1">AVERAGE(OFFSET($CC$3,0,0,'Données projet'!$E$12+1,1))-AVERAGE(OFFSET($H$3,0,0,'Données projet'!$E$12+1,1))</f>
        <v>295.59075210589327</v>
      </c>
      <c r="CE68" s="59">
        <f t="shared" si="40"/>
        <v>210.41181542059576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10.0135956765912</v>
      </c>
      <c r="CL68" s="21">
        <f>EXP(-LN(2)/25)*CL67+(1-EXP(-LN(2)/25))/(LN(2)/25)*Calculateur!CG68*Calculateur!CI68*VLOOKUP('Données projet'!$B$12,Paramètres!$A$1:$I$89,3,0)*0.475*44/12</f>
        <v>23.73719139624589</v>
      </c>
      <c r="CM68" s="21">
        <f>EXP(-LN(2)/2)*CM67+(1-EXP(-LN(2)/2))/(LN(2)/2)*CG68*CJ68*VLOOKUP('Données projet'!$B$12,Paramètres!$A$1:$I$89,3,0)*0.475*44/12</f>
        <v>0.46184114512168845</v>
      </c>
      <c r="CN68" s="22">
        <f t="shared" ref="CN68:CN131" si="66">SUM(CK68:CM68)</f>
        <v>34.21262821795878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674</v>
      </c>
      <c r="CR68" s="12">
        <f>VLOOKUP(A68,'Données projet'!$A$139:$I$159,9,0)</f>
        <v>18.600000000000001</v>
      </c>
      <c r="CS68" s="12">
        <f t="array" ref="CS68">INDEX(CR:CR,MIN(IF(ISNUMBER(CR68:CR264),ROW(CR68:CR264),"")))</f>
        <v>18.600000000000001</v>
      </c>
      <c r="CT68" s="12">
        <f>IF('Données projet'!$A$140&gt;35,CT67+CS68-DB67,IF(A68&lt;'Données projet'!$A$140,$CQ$205^A68,IF(A68='Données projet'!$A$140,'Données projet'!$B$140,CT67+CS68-DB67)))</f>
        <v>674</v>
      </c>
      <c r="CU68" s="17">
        <f>CT68*VLOOKUP('Données projet'!$B$13,Paramètres!$A$1:$I$89,3,0)*VLOOKUP('Données projet'!$B$13,Paramètres!$A$1:$I$89,5,0)</f>
        <v>306.66999999999996</v>
      </c>
      <c r="CV68" s="13">
        <f t="shared" si="41"/>
        <v>72.572957112745556</v>
      </c>
      <c r="CW68" s="20">
        <f t="shared" ref="CW68:CW131" si="67">(CU68+CV68)*0.475*44/12</f>
        <v>660.51481697136512</v>
      </c>
      <c r="CX68" s="59">
        <f t="shared" ref="CX68:CX131" si="68">CW68+(CO68+CP68)*44/12</f>
        <v>953.84815030469849</v>
      </c>
      <c r="CY68" s="59">
        <f ca="1">AVERAGE(OFFSET($CX$3,0,0,'Données projet'!$E$13+1,1))-AVERAGE(OFFSET($H$3,0,0,'Données projet'!$E$13+1,1))</f>
        <v>338.22448697444298</v>
      </c>
      <c r="CZ68" s="59">
        <f t="shared" si="42"/>
        <v>293.3872365640849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48</v>
      </c>
      <c r="DC68" s="16">
        <f>IF(ISNA(VLOOKUP(A68,'Données projet'!$A$139:$I$159,5,0)),0%,VLOOKUP(A68,'Données projet'!$A$139:$I$159,5,0)*VLOOKUP('Données projet'!$B$13,Paramètres!$A$1:$I$89,7,0))</f>
        <v>0.33</v>
      </c>
      <c r="DD68" s="16">
        <f>IF(ISNA(VLOOKUP(A68,'Données projet'!$A$139:$I$159,6,0)),0%,VLOOKUP(A68,'Données projet'!$A$139:$I$159,6,0)*VLOOKUP('Données projet'!$B$13,Paramètres!$A$1:$I$89,7,0))</f>
        <v>0.11000000000000001</v>
      </c>
      <c r="DE68" s="16">
        <f>IF(ISNA(VLOOKUP(A68,'Données projet'!$A$139:$I$159,7,0)),0%,VLOOKUP(A68,'Données projet'!$A$139:$I$159,7,0))</f>
        <v>0.2</v>
      </c>
      <c r="DF68" s="21">
        <f>EXP(-LN(2)/35)*DF67+(1-EXP(-LN(2)/35))/(LN(2)/35)*DB68*DC68*VLOOKUP('Données projet'!$B$13,Paramètres!$A$1:$I$89,3,0)*0.475*44/12</f>
        <v>57.919821682401036</v>
      </c>
      <c r="DG68" s="21">
        <f>EXP(-LN(2)/25)*DG67+(1-EXP(-LN(2)/25))/(LN(2)/25)*Calculateur!DB68*Calculateur!DD68*VLOOKUP('Données projet'!$B$13,Paramètres!$A$1:$I$89,3,0)*0.475*44/12</f>
        <v>27.222593820910063</v>
      </c>
      <c r="DH68" s="21">
        <f>EXP(-LN(2)/2)*DH67+(1-EXP(-LN(2)/2))/(LN(2)/2)*DB68*DE68*VLOOKUP('Données projet'!$B$13,Paramètres!$A$1:$I$89,3,0)*0.475*44/12</f>
        <v>6.1488936987726621</v>
      </c>
      <c r="DI68" s="22">
        <f t="shared" ref="DI68:DI131" si="69">SUM(DF68:DH68)</f>
        <v>91.291309202083767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16.682857142857149</v>
      </c>
      <c r="DO68" s="12">
        <f>IF('Données projet'!$A$166&gt;35,DO67+DN68-DW67,IF(A68&lt;'Données projet'!$A$166,$DL$205^A68,IF(A68='Données projet'!$A$166,'Données projet'!$B$166,DO67+DN68-DW67)))</f>
        <v>503.44571428571464</v>
      </c>
      <c r="DP68" s="17">
        <f>DO68*VLOOKUP('Données projet'!$B$14,Paramètres!$A$1:$I$89,3,0)*VLOOKUP('Données projet'!$B$14,Paramètres!$A$1:$I$89,5,0)</f>
        <v>281.42615428571452</v>
      </c>
      <c r="DQ68" s="13">
        <f t="shared" si="43"/>
        <v>67.268307105467983</v>
      </c>
      <c r="DR68" s="20">
        <f t="shared" ref="DR68:DR131" si="70">(DP68+DQ68)*0.475*44/12</f>
        <v>607.30952025630938</v>
      </c>
      <c r="DS68" s="59">
        <f t="shared" ref="DS68:DS131" si="71">DR68+(DJ68+DK68)*44/12</f>
        <v>900.64285358964275</v>
      </c>
      <c r="DT68" s="59">
        <f ca="1">AVERAGE(OFFSET($DS$3,0,0,'Données projet'!$E$14+1,1))-AVERAGE(OFFSET($H$3,0,0,'Données projet'!$E$14+1,1))</f>
        <v>328.15217666639006</v>
      </c>
      <c r="DU68" s="59">
        <f t="shared" si="44"/>
        <v>305.59175773326308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96.207509192969482</v>
      </c>
      <c r="EB68" s="21">
        <f>EXP(-LN(2)/25)*EB67+(1-EXP(-LN(2)/25))/(LN(2)/25)*Calculateur!DW68*Calculateur!DY68*VLOOKUP('Données projet'!$B$14,Paramètres!$A$1:$I$89,3,0)*0.475*44/12</f>
        <v>33.398859599746416</v>
      </c>
      <c r="EC68" s="21">
        <f>EXP(-LN(2)/2)*EC67+(1-EXP(-LN(2)/2))/(LN(2)/2)*DW68*DZ68*VLOOKUP('Données projet'!$B$14,Paramètres!$A$1:$I$89,3,0)*0.475*44/12</f>
        <v>6.8939512860862786</v>
      </c>
      <c r="ED68" s="22">
        <f t="shared" ref="ED68:ED131" si="72">SUM(EA68:EC68)</f>
        <v>136.50032007880219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159.78276497127206</v>
      </c>
      <c r="EP68" s="59">
        <f t="shared" si="46"/>
        <v>190.72163407919857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6.0650475510775124</v>
      </c>
      <c r="EW68" s="21">
        <f>EXP(-LN(2)/25)*EW67+(1-EXP(-LN(2)/25))/(LN(2)/25)*Calculateur!ER68*Calculateur!ET68*VLOOKUP('Données projet'!$B$15,Paramètres!$A$1:$I$89,3,0)*0.475*44/12</f>
        <v>29.531488749326378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35.596536300403891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11.016666666666667</v>
      </c>
      <c r="FE68" s="12">
        <f>IF('Données projet'!$A$218&gt;35,FE67+FD68-FM67,IF(A68&lt;'Données projet'!$A$218,$FB$205^A68,IF(A68='Données projet'!$A$218,'Données projet'!$B$218,FE67+FD68-FM67)))</f>
        <v>243.61333333333369</v>
      </c>
      <c r="FF68" s="17">
        <f>FE68*VLOOKUP('Données projet'!$B$16,Paramètres!$A$1:$I$89,3,0)*VLOOKUP('Données projet'!$B$16,Paramètres!$A$1:$I$89,5,0)</f>
        <v>209.02024000000031</v>
      </c>
      <c r="FG68" s="13">
        <f t="shared" si="47"/>
        <v>51.721425250793814</v>
      </c>
      <c r="FH68" s="20">
        <f t="shared" ref="FH68:FH131" si="76">(FF68+FG68)*0.475*44/12</f>
        <v>454.12506697846646</v>
      </c>
      <c r="FI68" s="59">
        <f t="shared" ref="FI68:FI131" si="77">FH68+(EZ68+FA68)*44/12</f>
        <v>747.45840031179978</v>
      </c>
      <c r="FJ68" s="59">
        <f ca="1">AVERAGE(OFFSET($FI$3,0,0,'Données projet'!$E$16+1,1))-AVERAGE(OFFSET($H$3,0,0,'Données projet'!$E$16+1,1))</f>
        <v>337.15023592377008</v>
      </c>
      <c r="FK68" s="59">
        <f t="shared" si="48"/>
        <v>286.60608582587099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29.650312111959472</v>
      </c>
      <c r="FS68" s="21">
        <f>EXP(-LN(2)/2)*FS67+(1-EXP(-LN(2)/2))/(LN(2)/2)*FM68*FP68*VLOOKUP('Données projet'!$B$16,Paramètres!$A$1:$I$89,3,0)*0.475*44/12</f>
        <v>3.7401029484191763</v>
      </c>
      <c r="FT68" s="22">
        <f t="shared" ref="FT68:FT131" si="78">SUM(FQ68:FS68)</f>
        <v>33.39041506037865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10.107499999999998</v>
      </c>
      <c r="FZ68" s="12">
        <f>IF('Données projet'!$A$244&gt;35,FZ67+FY68-GH67,IF(A68&lt;'Données projet'!$A$244,$FW$205^A68,IF(A68='Données projet'!$A$244,'Données projet'!$B$244,FZ67+FY68-GH67)))</f>
        <v>276.66250000000031</v>
      </c>
      <c r="GA68" s="17">
        <f>FZ68*VLOOKUP('Données projet'!$B$17,Paramètres!$A$1:$I$89,3,0)*VLOOKUP('Données projet'!$B$17,Paramètres!$A$1:$I$89,5,0)</f>
        <v>250.32423000000026</v>
      </c>
      <c r="GB68" s="13">
        <f t="shared" si="49"/>
        <v>60.655364588948935</v>
      </c>
      <c r="GC68" s="20">
        <f t="shared" ref="GC68:GC131" si="79">(GA68+GB68)*0.475*44/12</f>
        <v>541.62279390908645</v>
      </c>
      <c r="GD68" s="59">
        <f t="shared" ref="GD68:GD131" si="80">GC68+(FU68+FV68)*44/12</f>
        <v>834.95612724241983</v>
      </c>
      <c r="GE68" s="59">
        <f ca="1">AVERAGE(OFFSET($GD$3,0,0,'Données projet'!$E$17+1,1))-AVERAGE(OFFSET($H$3,0,0,'Données projet'!$E$17+1,1))</f>
        <v>486.55344536255876</v>
      </c>
      <c r="GF68" s="59">
        <f t="shared" si="50"/>
        <v>231.14794884432229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30.039953591585441</v>
      </c>
      <c r="GN68" s="21">
        <f>EXP(-LN(2)/2)*GN67+(1-EXP(-LN(2)/2))/(LN(2)/2)*GH68*GK68*VLOOKUP('Données projet'!$B$17,Paramètres!$A$1:$I$89,3,0)*0.475*44/12</f>
        <v>0.75925423818660143</v>
      </c>
      <c r="GO68" s="21">
        <f t="shared" ref="GO68:GO131" si="81">SUM(GL68:GN68)</f>
        <v>30.799207829772044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365.67530614733545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440.2</v>
      </c>
      <c r="L69" s="12">
        <f>VLOOKUP(A69,'Données projet'!$A$35:$I$55,9,0)</f>
        <v>16.078749999999999</v>
      </c>
      <c r="M69" s="12">
        <f t="array" ref="M69">INDEX(L:L,MIN(IF(ISNUMBER(L69:L265),ROW(L69:L265),"")))</f>
        <v>16.078749999999999</v>
      </c>
      <c r="N69" s="13">
        <f>IF('Données projet'!$A$36&gt;35,N68+M69-V68,IF(A69&lt;'Données projet'!$A$36,$K$205^A69,IF(A69='Données projet'!$A$36,'Données projet'!$B$36,N68+M69-V68)))</f>
        <v>440.2</v>
      </c>
      <c r="O69" s="13">
        <f>N69*VLOOKUP('Données projet'!$B$9,Paramètres!$A$1:$I$89,3,0)*VLOOKUP('Données projet'!$B$9,Paramètres!$A$1:$I$89,5,0)</f>
        <v>206.01359999999997</v>
      </c>
      <c r="P69" s="13">
        <f t="shared" ref="P69:P132" si="87">EXP(-1.0587+0.8836*LN(O69)+0.284)</f>
        <v>51.063487709141434</v>
      </c>
      <c r="Q69" s="20">
        <f t="shared" si="54"/>
        <v>447.74259442675452</v>
      </c>
      <c r="R69" s="59">
        <f t="shared" si="55"/>
        <v>741.07592776008778</v>
      </c>
      <c r="S69" s="59">
        <f ca="1">AVERAGE(OFFSET($R$3,0,0,'Données projet'!$E$9+1,1))-AVERAGE(OFFSET($H$3,0,0,'Données projet'!$E$9+1,1))</f>
        <v>252.08270526008477</v>
      </c>
      <c r="T69" s="59">
        <f t="shared" ref="T69:T132" si="88">$T$3</f>
        <v>239.77811108960179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88.899999999999977</v>
      </c>
      <c r="W69" s="16">
        <f>IF(ISNA(VLOOKUP(A69,'Données projet'!$A$35:$I$55,5,0)),0%,VLOOKUP(A69,'Données projet'!$A$35:$I$55,5,0)*VLOOKUP('Données projet'!$B$9,Paramètres!$A$1:$I$89,7,0))</f>
        <v>0.33</v>
      </c>
      <c r="X69" s="16">
        <f>IF(ISNA(VLOOKUP(A69,'Données projet'!$A$35:$I$55,6,0)),0%,VLOOKUP(A69,'Données projet'!$A$35:$I$55,6,0)*VLOOKUP('Données projet'!$B$9,Paramètres!$A$1:$I$89,7,0))</f>
        <v>0.11000000000000001</v>
      </c>
      <c r="Y69" s="16">
        <f>IF(ISNA(VLOOKUP(A69,'Données projet'!$A$35:$I$55,7,0)),0%,VLOOKUP(A69,'Données projet'!$A$35:$I$55,7,0))</f>
        <v>0.2</v>
      </c>
      <c r="Z69" s="21">
        <f>EXP(-LN(2)/35)*Z68+(1-EXP(-LN(2)/35))/(LN(2)/35)*V69*W69*VLOOKUP('Données projet'!$B$9,Paramètres!$A$1:$I$89,3,0)*0.475*44/12</f>
        <v>55.506457147555871</v>
      </c>
      <c r="AA69" s="21">
        <f>EXP(-LN(2)/25)*AA68+(1-EXP(-LN(2)/25))/(LN(2)/25)*Calculateur!V69*Calculateur!X69*VLOOKUP('Données projet'!$B$9,Paramètres!$A$1:$I$89,3,0)*0.475*44/12</f>
        <v>22.516843578162263</v>
      </c>
      <c r="AB69" s="21">
        <f>EXP(-LN(2)/2)*AB68+(1-EXP(-LN(2)/2))/(LN(2)/2)*V69*Y69*VLOOKUP('Données projet'!$B$9,Paramètres!$A$1:$I$89,3,0)*0.475*44/12</f>
        <v>10.057802608090215</v>
      </c>
      <c r="AC69" s="22">
        <f t="shared" si="57"/>
        <v>88.081103333808343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251.64326096359997</v>
      </c>
      <c r="AO69" s="59">
        <f t="shared" ref="AO69:AO132" si="90">$AO$3</f>
        <v>256.72142151189894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123.31062718123894</v>
      </c>
      <c r="AV69" s="21">
        <f>EXP(-LN(2)/25)*AV68+(1-EXP(-LN(2)/25))/(LN(2)/25)*Calculateur!AQ69*Calculateur!AS69*VLOOKUP('Données projet'!$B$10,Paramètres!$A$1:$I$89,3,0)*0.475*44/12</f>
        <v>41.016781344955575</v>
      </c>
      <c r="AW69" s="21">
        <f>EXP(-LN(2)/2)*AW68+(1-EXP(-LN(2)/2))/(LN(2)/2)*AQ69*AT69*VLOOKUP('Données projet'!$B$10,Paramètres!$A$1:$I$89,3,0)*0.475*44/12</f>
        <v>7.4951803529191734</v>
      </c>
      <c r="AX69" s="21">
        <f t="shared" si="60"/>
        <v>171.82258887911368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199.29783428981898</v>
      </c>
      <c r="BJ69" s="59">
        <f t="shared" ref="BJ69:BJ132" si="92">$BJ$3</f>
        <v>237.32002274562547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5.1193672747013457</v>
      </c>
      <c r="BQ69" s="21">
        <f>EXP(-LN(2)/25)*BQ68+(1-EXP(-LN(2)/25))/(LN(2)/25)*Calculateur!BL69*Calculateur!BN69*VLOOKUP('Données projet'!$B$11,Paramètres!$A$1:$I$89,3,0)*0.475*44/12</f>
        <v>24.730168544027531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29.849535818728878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9.7525000000000013</v>
      </c>
      <c r="BY69" s="12">
        <f>IF('Données projet'!$A$114&gt;35,BY68+BX69-CG68,IF(A69&lt;'Données projet'!$A$114,$BV$205^A69,IF(A69='Données projet'!$A$114,'Données projet'!$B$114,BY68+BX69-CG68)))</f>
        <v>229.30749999999998</v>
      </c>
      <c r="BZ69" s="13">
        <f>BY69*VLOOKUP('Données projet'!$B$12,Paramètres!$A$1:$I$89,3,0)*VLOOKUP('Données projet'!$B$12,Paramètres!$A$1:$I$89,5,0)</f>
        <v>193.16863799999999</v>
      </c>
      <c r="CA69" s="13">
        <f t="shared" ref="CA69:CA132" si="93">EXP(-1.0587+0.8836*LN(BZ69)+0.284)</f>
        <v>48.239817959318742</v>
      </c>
      <c r="CB69" s="20">
        <f t="shared" si="64"/>
        <v>420.45306079581343</v>
      </c>
      <c r="CC69" s="59">
        <f t="shared" si="65"/>
        <v>713.78639412914674</v>
      </c>
      <c r="CD69" s="59">
        <f ca="1">AVERAGE(OFFSET($CC$3,0,0,'Données projet'!$E$12+1,1))-AVERAGE(OFFSET($H$3,0,0,'Données projet'!$E$12+1,1))</f>
        <v>295.59075210589327</v>
      </c>
      <c r="CE69" s="59">
        <f t="shared" ref="CE69:CE132" si="94">$CE$3</f>
        <v>210.41181542059576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9.8172351730635246</v>
      </c>
      <c r="CL69" s="21">
        <f>EXP(-LN(2)/25)*CL68+(1-EXP(-LN(2)/25))/(LN(2)/25)*Calculateur!CG69*Calculateur!CI69*VLOOKUP('Données projet'!$B$12,Paramètres!$A$1:$I$89,3,0)*0.475*44/12</f>
        <v>23.088096649230902</v>
      </c>
      <c r="CM69" s="21">
        <f>EXP(-LN(2)/2)*CM68+(1-EXP(-LN(2)/2))/(LN(2)/2)*CG69*CJ69*VLOOKUP('Données projet'!$B$12,Paramètres!$A$1:$I$89,3,0)*0.475*44/12</f>
        <v>0.32657100554650631</v>
      </c>
      <c r="CN69" s="22">
        <f t="shared" si="66"/>
        <v>33.231902827840933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17.2</v>
      </c>
      <c r="CT69" s="12">
        <f>IF('Données projet'!$A$140&gt;35,CT68+CS69-DB68,IF(A69&lt;'Données projet'!$A$140,$CQ$205^A69,IF(A69='Données projet'!$A$140,'Données projet'!$B$140,CT68+CS69-DB68)))</f>
        <v>643.20000000000005</v>
      </c>
      <c r="CU69" s="17">
        <f>CT69*VLOOKUP('Données projet'!$B$13,Paramètres!$A$1:$I$89,3,0)*VLOOKUP('Données projet'!$B$13,Paramètres!$A$1:$I$89,5,0)</f>
        <v>292.65600000000001</v>
      </c>
      <c r="CV69" s="13">
        <f t="shared" ref="CV69:CV132" si="95">EXP(-1.0587+0.8836*LN(CU69)+0.284)</f>
        <v>69.634665242845756</v>
      </c>
      <c r="CW69" s="20">
        <f t="shared" si="67"/>
        <v>630.98957529795632</v>
      </c>
      <c r="CX69" s="59">
        <f t="shared" si="68"/>
        <v>924.32290863128969</v>
      </c>
      <c r="CY69" s="59">
        <f ca="1">AVERAGE(OFFSET($CX$3,0,0,'Données projet'!$E$13+1,1))-AVERAGE(OFFSET($H$3,0,0,'Données projet'!$E$13+1,1))</f>
        <v>338.22448697444298</v>
      </c>
      <c r="CZ69" s="59">
        <f t="shared" ref="CZ69:CZ132" si="96">$CZ$3</f>
        <v>293.3872365640849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56.784049306812065</v>
      </c>
      <c r="DG69" s="21">
        <f>EXP(-LN(2)/25)*DG68+(1-EXP(-LN(2)/25))/(LN(2)/25)*Calculateur!DB69*Calculateur!DD69*VLOOKUP('Données projet'!$B$13,Paramètres!$A$1:$I$89,3,0)*0.475*44/12</f>
        <v>26.478190561303286</v>
      </c>
      <c r="DH69" s="21">
        <f>EXP(-LN(2)/2)*DH68+(1-EXP(-LN(2)/2))/(LN(2)/2)*DB69*DE69*VLOOKUP('Données projet'!$B$13,Paramètres!$A$1:$I$89,3,0)*0.475*44/12</f>
        <v>4.3479244311973817</v>
      </c>
      <c r="DI69" s="22">
        <f t="shared" si="69"/>
        <v>87.610164299312743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16.682857142857149</v>
      </c>
      <c r="DO69" s="12">
        <f>IF('Données projet'!$A$166&gt;35,DO68+DN69-DW68,IF(A69&lt;'Données projet'!$A$166,$DL$205^A69,IF(A69='Données projet'!$A$166,'Données projet'!$B$166,DO68+DN69-DW68)))</f>
        <v>520.12857142857183</v>
      </c>
      <c r="DP69" s="17">
        <f>DO69*VLOOKUP('Données projet'!$B$14,Paramètres!$A$1:$I$89,3,0)*VLOOKUP('Données projet'!$B$14,Paramètres!$A$1:$I$89,5,0)</f>
        <v>290.75187142857169</v>
      </c>
      <c r="DQ69" s="13">
        <f t="shared" ref="DQ69:DQ132" si="97">EXP(-1.0587+0.8836*LN(DP69)+0.284)</f>
        <v>69.23418152913365</v>
      </c>
      <c r="DR69" s="20">
        <f t="shared" si="70"/>
        <v>626.97570890133682</v>
      </c>
      <c r="DS69" s="59">
        <f t="shared" si="71"/>
        <v>920.30904223467019</v>
      </c>
      <c r="DT69" s="59">
        <f ca="1">AVERAGE(OFFSET($DS$3,0,0,'Données projet'!$E$14+1,1))-AVERAGE(OFFSET($H$3,0,0,'Données projet'!$E$14+1,1))</f>
        <v>328.15217666639006</v>
      </c>
      <c r="DU69" s="59">
        <f t="shared" ref="DU69:DU132" si="98">$DU$3</f>
        <v>305.59175773326308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94.320938618481705</v>
      </c>
      <c r="EB69" s="21">
        <f>EXP(-LN(2)/25)*EB68+(1-EXP(-LN(2)/25))/(LN(2)/25)*Calculateur!DW69*Calculateur!DY69*VLOOKUP('Données projet'!$B$14,Paramètres!$A$1:$I$89,3,0)*0.475*44/12</f>
        <v>32.485566027621658</v>
      </c>
      <c r="EC69" s="21">
        <f>EXP(-LN(2)/2)*EC68+(1-EXP(-LN(2)/2))/(LN(2)/2)*DW69*DZ69*VLOOKUP('Données projet'!$B$14,Paramètres!$A$1:$I$89,3,0)*0.475*44/12</f>
        <v>4.8747597035613284</v>
      </c>
      <c r="ED69" s="22">
        <f t="shared" si="72"/>
        <v>131.6812643496647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159.78276497127206</v>
      </c>
      <c r="EP69" s="59">
        <f t="shared" ref="EP69:EP132" si="100">$EP$3</f>
        <v>190.72163407919857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5.9461156679146114</v>
      </c>
      <c r="EW69" s="21">
        <f>EXP(-LN(2)/25)*EW68+(1-EXP(-LN(2)/25))/(LN(2)/25)*Calculateur!ER69*Calculateur!ET69*VLOOKUP('Données projet'!$B$15,Paramètres!$A$1:$I$89,3,0)*0.475*44/12</f>
        <v>28.72394863648255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34.670064304397158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254.63</v>
      </c>
      <c r="FC69" s="12">
        <f>VLOOKUP(A69,'Données projet'!$A$217:$I$237,9,0)</f>
        <v>11.016666666666667</v>
      </c>
      <c r="FD69" s="12">
        <f t="array" ref="FD69">INDEX(FC:FC,MIN(IF(ISNUMBER(FC69:FC265),ROW(FC69:FC265),"")))</f>
        <v>11.016666666666667</v>
      </c>
      <c r="FE69" s="12">
        <f>IF('Données projet'!$A$218&gt;35,FE68+FD69-FM68,IF(A69&lt;'Données projet'!$A$218,$FB$205^A69,IF(A69='Données projet'!$A$218,'Données projet'!$B$218,FE68+FD69-FM68)))</f>
        <v>254.63000000000036</v>
      </c>
      <c r="FF69" s="17">
        <f>FE69*VLOOKUP('Données projet'!$B$16,Paramètres!$A$1:$I$89,3,0)*VLOOKUP('Données projet'!$B$16,Paramètres!$A$1:$I$89,5,0)</f>
        <v>218.47254000000032</v>
      </c>
      <c r="FG69" s="13">
        <f t="shared" ref="FG69:FG132" si="101">EXP(-1.0587+0.8836*LN(FF69)+0.284)</f>
        <v>53.782765338875748</v>
      </c>
      <c r="FH69" s="20">
        <f t="shared" si="76"/>
        <v>474.17799013187573</v>
      </c>
      <c r="FI69" s="59">
        <f t="shared" si="77"/>
        <v>767.51132346520899</v>
      </c>
      <c r="FJ69" s="59">
        <f ca="1">AVERAGE(OFFSET($FI$3,0,0,'Données projet'!$E$16+1,1))-AVERAGE(OFFSET($H$3,0,0,'Données projet'!$E$16+1,1))</f>
        <v>337.15023592377008</v>
      </c>
      <c r="FK69" s="59">
        <f t="shared" ref="FK69:FK132" si="102">$FK$3</f>
        <v>286.60608582587099</v>
      </c>
      <c r="FL69" s="15">
        <f>IF(ISNA(VLOOKUP(A69,'Données projet'!$A$217:$I$237,3,0)),0,VLOOKUP(A69,'Données projet'!$A$217:$I$237,3,0))</f>
        <v>2</v>
      </c>
      <c r="FM69" s="15">
        <f>IF(ISNA(VLOOKUP(A69,'Données projet'!$A$217:$I$237,4,0)),0,VLOOKUP(A69,'Données projet'!$A$217:$I$237,4,0))</f>
        <v>77.13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0.26500000000000001</v>
      </c>
      <c r="FP69" s="16">
        <f>IF(ISNA(VLOOKUP(A69,'Données projet'!$A$217:$I$237,7,0)),0%,VLOOKUP(A69,'Données projet'!$A$217:$I$237,7,0))</f>
        <v>0.5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48.149877212522263</v>
      </c>
      <c r="FS69" s="21">
        <f>EXP(-LN(2)/2)*FS68+(1-EXP(-LN(2)/2))/(LN(2)/2)*FM69*FP69*VLOOKUP('Données projet'!$B$16,Paramètres!$A$1:$I$89,3,0)*0.475*44/12</f>
        <v>33.864797223350337</v>
      </c>
      <c r="FT69" s="22">
        <f t="shared" si="78"/>
        <v>82.014674435872593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>
        <f>VLOOKUP(A69,'Données projet'!$A$243:$I$263,2,0)</f>
        <v>286.77</v>
      </c>
      <c r="FX69" s="12">
        <f>VLOOKUP(A69,'Données projet'!$A$243:$I$263,9,0)</f>
        <v>10.107499999999998</v>
      </c>
      <c r="FY69" s="12">
        <f t="array" ref="FY69">INDEX(FX:FX,MIN(IF(ISNUMBER(FX69:FX265),ROW(FX69:FX265),"")))</f>
        <v>10.107499999999998</v>
      </c>
      <c r="FZ69" s="12">
        <f>IF('Données projet'!$A$244&gt;35,FZ68+FY69-GH68,IF(A69&lt;'Données projet'!$A$244,$FW$205^A69,IF(A69='Données projet'!$A$244,'Données projet'!$B$244,FZ68+FY69-GH68)))</f>
        <v>286.77000000000032</v>
      </c>
      <c r="GA69" s="17">
        <f>FZ69*VLOOKUP('Données projet'!$B$17,Paramètres!$A$1:$I$89,3,0)*VLOOKUP('Données projet'!$B$17,Paramètres!$A$1:$I$89,5,0)</f>
        <v>259.46949600000028</v>
      </c>
      <c r="GB69" s="13">
        <f t="shared" ref="GB69:GB132" si="103">EXP(-1.0587+0.8836*LN(GA69)+0.284)</f>
        <v>62.609282502673501</v>
      </c>
      <c r="GC69" s="20">
        <f t="shared" si="79"/>
        <v>560.95387255882349</v>
      </c>
      <c r="GD69" s="59">
        <f t="shared" si="80"/>
        <v>854.28720589215686</v>
      </c>
      <c r="GE69" s="59">
        <f ca="1">AVERAGE(OFFSET($GD$3,0,0,'Données projet'!$E$17+1,1))-AVERAGE(OFFSET($H$3,0,0,'Données projet'!$E$17+1,1))</f>
        <v>486.55344536255876</v>
      </c>
      <c r="GF69" s="59">
        <f t="shared" ref="GF69:GF132" si="104">$GF$3</f>
        <v>231.14794884432229</v>
      </c>
      <c r="GG69" s="15">
        <f>IF(ISNA(VLOOKUP(A69,'Données projet'!$A$243:$I$263,3,0)),0,VLOOKUP(A69,'Données projet'!$A$243:$I$263,3,0))</f>
        <v>4</v>
      </c>
      <c r="GH69" s="15">
        <f>IF(ISNA(VLOOKUP(A69,'Données projet'!$A$243:$I$263,4,0)),0,VLOOKUP(A69,'Données projet'!$A$243:$I$263,4,0))</f>
        <v>53.679999999999978</v>
      </c>
      <c r="GI69" s="16">
        <f>IF(ISNA(VLOOKUP(A69,'Données projet'!$A$243:$I$263,5,0)),0%,VLOOKUP(A69,'Données projet'!$A$243:$I$263,5,0)*VLOOKUP('Données projet'!$B$17,Paramètres!$A$1:$I$89,7,0))</f>
        <v>0.15049999999999999</v>
      </c>
      <c r="GJ69" s="16">
        <f>IF(ISNA(VLOOKUP(A69,'Données projet'!$A$243:$I$263,6,0)),0%,VLOOKUP(A69,'Données projet'!$A$243:$I$263,6,0)*VLOOKUP('Données projet'!$B$17,Paramètres!$A$1:$I$89,7,0))</f>
        <v>8.6000000000000007E-2</v>
      </c>
      <c r="GK69" s="16">
        <f>IF(ISNA(VLOOKUP(A69,'Données projet'!$A$243:$I$263,7,0)),0%,VLOOKUP(A69,'Données projet'!$A$243:$I$263,7,0))</f>
        <v>0.1</v>
      </c>
      <c r="GL69" s="21">
        <f>EXP(-LN(2)/35)*GL68+(1-EXP(-LN(2)/35))/(LN(2)/35)*GH69*GI69*VLOOKUP('Données projet'!$B$17,Paramètres!$A$1:$I$89,3,0)*0.475*44/12</f>
        <v>8.0806948968281098</v>
      </c>
      <c r="GM69" s="21">
        <f>EXP(-LN(2)/25)*GM68+(1-EXP(-LN(2)/25))/(LN(2)/25)*Calculateur!GH69*Calculateur!GJ69*VLOOKUP('Données projet'!$B$17,Paramètres!$A$1:$I$89,3,0)*0.475*44/12</f>
        <v>33.817868407767122</v>
      </c>
      <c r="GN69" s="21">
        <f>EXP(-LN(2)/2)*GN68+(1-EXP(-LN(2)/2))/(LN(2)/2)*GH69*GK69*VLOOKUP('Données projet'!$B$17,Paramètres!$A$1:$I$89,3,0)*0.475*44/12</f>
        <v>5.1195523422004099</v>
      </c>
      <c r="GO69" s="21">
        <f t="shared" si="81"/>
        <v>47.018115646795636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367.28305194597363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15.341111111111111</v>
      </c>
      <c r="N70" s="13">
        <f>IF('Données projet'!$A$36&gt;35,N69+M70-V69,IF(A70&lt;'Données projet'!$A$36,$K$205^A70,IF(A70='Données projet'!$A$36,'Données projet'!$B$36,N69+M70-V69)))</f>
        <v>366.64111111111112</v>
      </c>
      <c r="O70" s="13">
        <f>N70*VLOOKUP('Données projet'!$B$9,Paramètres!$A$1:$I$89,3,0)*VLOOKUP('Données projet'!$B$9,Paramètres!$A$1:$I$89,5,0)</f>
        <v>171.58804000000001</v>
      </c>
      <c r="P70" s="13">
        <f t="shared" si="87"/>
        <v>43.445499020867565</v>
      </c>
      <c r="Q70" s="20">
        <f t="shared" si="54"/>
        <v>374.51674712801105</v>
      </c>
      <c r="R70" s="59">
        <f t="shared" si="55"/>
        <v>667.85008046134431</v>
      </c>
      <c r="S70" s="59">
        <f ca="1">AVERAGE(OFFSET($R$3,0,0,'Données projet'!$E$9+1,1))-AVERAGE(OFFSET($H$3,0,0,'Données projet'!$E$9+1,1))</f>
        <v>252.08270526008477</v>
      </c>
      <c r="T70" s="59">
        <f t="shared" si="88"/>
        <v>239.77811108960179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54.4180093784882</v>
      </c>
      <c r="AA70" s="21">
        <f>EXP(-LN(2)/25)*AA69+(1-EXP(-LN(2)/25))/(LN(2)/25)*Calculateur!V70*Calculateur!X70*VLOOKUP('Données projet'!$B$9,Paramètres!$A$1:$I$89,3,0)*0.475*44/12</f>
        <v>21.901119306408074</v>
      </c>
      <c r="AB70" s="21">
        <f>EXP(-LN(2)/2)*AB69+(1-EXP(-LN(2)/2))/(LN(2)/2)*V70*Y70*VLOOKUP('Données projet'!$B$9,Paramètres!$A$1:$I$89,3,0)*0.475*44/12</f>
        <v>7.111940428016335</v>
      </c>
      <c r="AC70" s="22">
        <f t="shared" si="57"/>
        <v>83.43106911291261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251.64326096359997</v>
      </c>
      <c r="AO70" s="59">
        <f t="shared" si="90"/>
        <v>256.72142151189894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120.89258099427086</v>
      </c>
      <c r="AV70" s="21">
        <f>EXP(-LN(2)/25)*AV69+(1-EXP(-LN(2)/25))/(LN(2)/25)*Calculateur!AQ70*Calculateur!AS70*VLOOKUP('Données projet'!$B$10,Paramètres!$A$1:$I$89,3,0)*0.475*44/12</f>
        <v>39.895175302098977</v>
      </c>
      <c r="AW70" s="21">
        <f>EXP(-LN(2)/2)*AW69+(1-EXP(-LN(2)/2))/(LN(2)/2)*AQ70*AT70*VLOOKUP('Données projet'!$B$10,Paramètres!$A$1:$I$89,3,0)*0.475*44/12</f>
        <v>5.2998928537653285</v>
      </c>
      <c r="AX70" s="21">
        <f t="shared" si="60"/>
        <v>166.08764915013515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199.29783428981898</v>
      </c>
      <c r="BJ70" s="59">
        <f t="shared" si="92"/>
        <v>237.32002274562547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5.018979604950168</v>
      </c>
      <c r="BQ70" s="21">
        <f>EXP(-LN(2)/25)*BQ69+(1-EXP(-LN(2)/25))/(LN(2)/25)*Calculateur!BL70*Calculateur!BN70*VLOOKUP('Données projet'!$B$11,Paramètres!$A$1:$I$89,3,0)*0.475*44/12</f>
        <v>24.053920784688057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29.072900389638225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239.06</v>
      </c>
      <c r="BW70" s="12">
        <f>VLOOKUP(A70,'Données projet'!$A$113:$I$133,9,0)</f>
        <v>9.7525000000000013</v>
      </c>
      <c r="BX70" s="12">
        <f t="array" ref="BX70">INDEX(BW:BW,MIN(IF(ISNUMBER(BW70:BW266),ROW(BW70:BW266),"")))</f>
        <v>9.7525000000000013</v>
      </c>
      <c r="BY70" s="12">
        <f>IF('Données projet'!$A$114&gt;35,BY69+BX70-CG69,IF(A70&lt;'Données projet'!$A$114,$BV$205^A70,IF(A70='Données projet'!$A$114,'Données projet'!$B$114,BY69+BX70-CG69)))</f>
        <v>239.05999999999997</v>
      </c>
      <c r="BZ70" s="13">
        <f>BY70*VLOOKUP('Données projet'!$B$12,Paramètres!$A$1:$I$89,3,0)*VLOOKUP('Données projet'!$B$12,Paramètres!$A$1:$I$89,5,0)</f>
        <v>201.38414399999999</v>
      </c>
      <c r="CA70" s="13">
        <f t="shared" si="93"/>
        <v>50.048238472479497</v>
      </c>
      <c r="CB70" s="20">
        <f t="shared" si="64"/>
        <v>437.91139947290179</v>
      </c>
      <c r="CC70" s="59">
        <f t="shared" si="65"/>
        <v>731.24473280623511</v>
      </c>
      <c r="CD70" s="59">
        <f ca="1">AVERAGE(OFFSET($CC$3,0,0,'Données projet'!$E$12+1,1))-AVERAGE(OFFSET($H$3,0,0,'Données projet'!$E$12+1,1))</f>
        <v>295.59075210589327</v>
      </c>
      <c r="CE70" s="59">
        <f t="shared" si="94"/>
        <v>210.41181542059576</v>
      </c>
      <c r="CF70" s="15">
        <f>IF(ISNA(VLOOKUP(A70,'Données projet'!$A$113:$I$133,3,0)),0,VLOOKUP(A70,'Données projet'!$A$113:$I$133,3,0))</f>
        <v>5</v>
      </c>
      <c r="CG70" s="15">
        <f>IF(ISNA(VLOOKUP(A70,'Données projet'!$A$113:$I$133,4,0)),0,VLOOKUP(A70,'Données projet'!$A$113:$I$133,4,0))</f>
        <v>42.550000000000011</v>
      </c>
      <c r="CH70" s="16">
        <f>IF(ISNA(VLOOKUP(A70,'Données projet'!$A$113:$I$133,5,0)),0%,VLOOKUP(A70,'Données projet'!$A$113:$I$133,5,0)*VLOOKUP('Données projet'!$B$12,Paramètres!$A$1:$I$89,7,0))</f>
        <v>0.15049999999999999</v>
      </c>
      <c r="CI70" s="16">
        <f>IF(ISNA(VLOOKUP(A70,'Données projet'!$A$113:$I$133,6,0)),0%,VLOOKUP(A70,'Données projet'!$A$113:$I$133,6,0)*VLOOKUP('Données projet'!$B$12,Paramètres!$A$1:$I$89,7,0))</f>
        <v>8.6000000000000007E-2</v>
      </c>
      <c r="CJ70" s="16">
        <f>IF(ISNA(VLOOKUP(A70,'Données projet'!$A$113:$I$133,7,0)),0%,VLOOKUP(A70,'Données projet'!$A$113:$I$133,7,0))</f>
        <v>0.1</v>
      </c>
      <c r="CK70" s="21">
        <f>EXP(-LN(2)/35)*CK69+(1-EXP(-LN(2)/35))/(LN(2)/35)*CG70*CH70*VLOOKUP('Données projet'!$B$12,Paramètres!$A$1:$I$89,3,0)*0.475*44/12</f>
        <v>15.58822942677585</v>
      </c>
      <c r="CL70" s="21">
        <f>EXP(-LN(2)/25)*CL69+(1-EXP(-LN(2)/25))/(LN(2)/25)*Calculateur!CG70*Calculateur!CI70*VLOOKUP('Données projet'!$B$12,Paramètres!$A$1:$I$89,3,0)*0.475*44/12</f>
        <v>25.851050665943507</v>
      </c>
      <c r="CM70" s="21">
        <f>EXP(-LN(2)/2)*CM69+(1-EXP(-LN(2)/2))/(LN(2)/2)*CG70*CJ70*VLOOKUP('Données projet'!$B$12,Paramètres!$A$1:$I$89,3,0)*0.475*44/12</f>
        <v>3.6129097675953741</v>
      </c>
      <c r="CN70" s="22">
        <f t="shared" si="66"/>
        <v>45.052189860314733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17.2</v>
      </c>
      <c r="CT70" s="12">
        <f>IF('Données projet'!$A$140&gt;35,CT69+CS70-DB69,IF(A70&lt;'Données projet'!$A$140,$CQ$205^A70,IF(A70='Données projet'!$A$140,'Données projet'!$B$140,CT69+CS70-DB69)))</f>
        <v>660.40000000000009</v>
      </c>
      <c r="CU70" s="17">
        <f>CT70*VLOOKUP('Données projet'!$B$13,Paramètres!$A$1:$I$89,3,0)*VLOOKUP('Données projet'!$B$13,Paramètres!$A$1:$I$89,5,0)</f>
        <v>300.48200000000003</v>
      </c>
      <c r="CV70" s="13">
        <f t="shared" si="95"/>
        <v>71.277499746574392</v>
      </c>
      <c r="CW70" s="20">
        <f t="shared" si="67"/>
        <v>647.48112872528384</v>
      </c>
      <c r="CX70" s="59">
        <f t="shared" si="68"/>
        <v>940.81446205861721</v>
      </c>
      <c r="CY70" s="59">
        <f ca="1">AVERAGE(OFFSET($CX$3,0,0,'Données projet'!$E$13+1,1))-AVERAGE(OFFSET($H$3,0,0,'Données projet'!$E$13+1,1))</f>
        <v>338.22448697444298</v>
      </c>
      <c r="CZ70" s="59">
        <f t="shared" si="96"/>
        <v>293.3872365640849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55.670548734755648</v>
      </c>
      <c r="DG70" s="21">
        <f>EXP(-LN(2)/25)*DG69+(1-EXP(-LN(2)/25))/(LN(2)/25)*Calculateur!DB70*Calculateur!DD70*VLOOKUP('Données projet'!$B$13,Paramètres!$A$1:$I$89,3,0)*0.475*44/12</f>
        <v>25.754143047976925</v>
      </c>
      <c r="DH70" s="21">
        <f>EXP(-LN(2)/2)*DH69+(1-EXP(-LN(2)/2))/(LN(2)/2)*DB70*DE70*VLOOKUP('Données projet'!$B$13,Paramètres!$A$1:$I$89,3,0)*0.475*44/12</f>
        <v>3.0744468493863315</v>
      </c>
      <c r="DI70" s="22">
        <f t="shared" si="69"/>
        <v>84.4991386321189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16.682857142857149</v>
      </c>
      <c r="DO70" s="12">
        <f>IF('Données projet'!$A$166&gt;35,DO69+DN70-DW69,IF(A70&lt;'Données projet'!$A$166,$DL$205^A70,IF(A70='Données projet'!$A$166,'Données projet'!$B$166,DO69+DN70-DW69)))</f>
        <v>536.81142857142902</v>
      </c>
      <c r="DP70" s="17">
        <f>DO70*VLOOKUP('Données projet'!$B$14,Paramètres!$A$1:$I$89,3,0)*VLOOKUP('Données projet'!$B$14,Paramètres!$A$1:$I$89,5,0)</f>
        <v>300.07758857142881</v>
      </c>
      <c r="DQ70" s="13">
        <f t="shared" si="97"/>
        <v>71.19272877566128</v>
      </c>
      <c r="DR70" s="20">
        <f t="shared" si="70"/>
        <v>646.62913604618188</v>
      </c>
      <c r="DS70" s="59">
        <f t="shared" si="71"/>
        <v>939.96246937951514</v>
      </c>
      <c r="DT70" s="59">
        <f ca="1">AVERAGE(OFFSET($DS$3,0,0,'Données projet'!$E$14+1,1))-AVERAGE(OFFSET($H$3,0,0,'Données projet'!$E$14+1,1))</f>
        <v>328.15217666639006</v>
      </c>
      <c r="DU70" s="59">
        <f t="shared" si="98"/>
        <v>305.59175773326308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92.471362542265211</v>
      </c>
      <c r="EB70" s="21">
        <f>EXP(-LN(2)/25)*EB69+(1-EXP(-LN(2)/25))/(LN(2)/25)*Calculateur!DW70*Calculateur!DY70*VLOOKUP('Données projet'!$B$14,Paramètres!$A$1:$I$89,3,0)*0.475*44/12</f>
        <v>31.597246516254675</v>
      </c>
      <c r="EC70" s="21">
        <f>EXP(-LN(2)/2)*EC69+(1-EXP(-LN(2)/2))/(LN(2)/2)*DW70*DZ70*VLOOKUP('Données projet'!$B$14,Paramètres!$A$1:$I$89,3,0)*0.475*44/12</f>
        <v>3.4469756430431397</v>
      </c>
      <c r="ED70" s="22">
        <f t="shared" si="72"/>
        <v>127.51558470156303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159.78276497127206</v>
      </c>
      <c r="EP70" s="59">
        <f t="shared" si="100"/>
        <v>190.72163407919857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5.8295159664392493</v>
      </c>
      <c r="EW70" s="21">
        <f>EXP(-LN(2)/25)*EW69+(1-EXP(-LN(2)/25))/(LN(2)/25)*Calculateur!ER70*Calculateur!ET70*VLOOKUP('Données projet'!$B$15,Paramètres!$A$1:$I$89,3,0)*0.475*44/12</f>
        <v>27.938490750491127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33.768006716930373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10.812222222222223</v>
      </c>
      <c r="FE70" s="12">
        <f>IF('Données projet'!$A$218&gt;35,FE69+FD70-FM69,IF(A70&lt;'Données projet'!$A$218,$FB$205^A70,IF(A70='Données projet'!$A$218,'Données projet'!$B$218,FE69+FD70-FM69)))</f>
        <v>188.3122222222226</v>
      </c>
      <c r="FF70" s="17">
        <f>FE70*VLOOKUP('Données projet'!$B$16,Paramètres!$A$1:$I$89,3,0)*VLOOKUP('Données projet'!$B$16,Paramètres!$A$1:$I$89,5,0)</f>
        <v>161.57188666666701</v>
      </c>
      <c r="FG70" s="13">
        <f t="shared" si="101"/>
        <v>41.196856850689223</v>
      </c>
      <c r="FH70" s="20">
        <f t="shared" si="76"/>
        <v>353.15556162606208</v>
      </c>
      <c r="FI70" s="59">
        <f t="shared" si="77"/>
        <v>646.48889495939534</v>
      </c>
      <c r="FJ70" s="59">
        <f ca="1">AVERAGE(OFFSET($FI$3,0,0,'Données projet'!$E$16+1,1))-AVERAGE(OFFSET($H$3,0,0,'Données projet'!$E$16+1,1))</f>
        <v>337.15023592377008</v>
      </c>
      <c r="FK70" s="59">
        <f t="shared" si="102"/>
        <v>286.60608582587099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46.833216288053848</v>
      </c>
      <c r="FS70" s="21">
        <f>EXP(-LN(2)/2)*FS69+(1-EXP(-LN(2)/2))/(LN(2)/2)*FM70*FP70*VLOOKUP('Données projet'!$B$16,Paramètres!$A$1:$I$89,3,0)*0.475*44/12</f>
        <v>23.946027760138389</v>
      </c>
      <c r="FT70" s="22">
        <f t="shared" si="78"/>
        <v>70.77924404819224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9.733749999999997</v>
      </c>
      <c r="FZ70" s="12">
        <f>IF('Données projet'!$A$244&gt;35,FZ69+FY70-GH69,IF(A70&lt;'Données projet'!$A$244,$FW$205^A70,IF(A70='Données projet'!$A$244,'Données projet'!$B$244,FZ69+FY70-GH69)))</f>
        <v>242.82375000000033</v>
      </c>
      <c r="GA70" s="17">
        <f>FZ70*VLOOKUP('Données projet'!$B$17,Paramètres!$A$1:$I$89,3,0)*VLOOKUP('Données projet'!$B$17,Paramètres!$A$1:$I$89,5,0)</f>
        <v>219.70692900000031</v>
      </c>
      <c r="GB70" s="13">
        <f t="shared" si="103"/>
        <v>54.051183245794981</v>
      </c>
      <c r="GC70" s="20">
        <f t="shared" si="79"/>
        <v>476.79537882809342</v>
      </c>
      <c r="GD70" s="59">
        <f t="shared" si="80"/>
        <v>770.12871216142673</v>
      </c>
      <c r="GE70" s="59">
        <f ca="1">AVERAGE(OFFSET($GD$3,0,0,'Données projet'!$E$17+1,1))-AVERAGE(OFFSET($H$3,0,0,'Données projet'!$E$17+1,1))</f>
        <v>486.55344536255876</v>
      </c>
      <c r="GF70" s="59">
        <f t="shared" si="104"/>
        <v>231.14794884432229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7.9222373986385248</v>
      </c>
      <c r="GM70" s="21">
        <f>EXP(-LN(2)/25)*GM69+(1-EXP(-LN(2)/25))/(LN(2)/25)*Calculateur!GH70*Calculateur!GJ70*VLOOKUP('Données projet'!$B$17,Paramètres!$A$1:$I$89,3,0)*0.475*44/12</f>
        <v>32.893117017752324</v>
      </c>
      <c r="GN70" s="21">
        <f>EXP(-LN(2)/2)*GN69+(1-EXP(-LN(2)/2))/(LN(2)/2)*GH70*GK70*VLOOKUP('Données projet'!$B$17,Paramètres!$A$1:$I$89,3,0)*0.475*44/12</f>
        <v>3.6200701778093825</v>
      </c>
      <c r="GO70" s="21">
        <f t="shared" si="81"/>
        <v>44.435424594200228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368.89022359444488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15.341111111111111</v>
      </c>
      <c r="N71" s="13">
        <f>IF('Données projet'!$A$36&gt;35,N70+M71-V70,IF(A71&lt;'Données projet'!$A$36,$K$205^A71,IF(A71='Données projet'!$A$36,'Données projet'!$B$36,N70+M71-V70)))</f>
        <v>381.98222222222222</v>
      </c>
      <c r="O71" s="13">
        <f>N71*VLOOKUP('Données projet'!$B$9,Paramètres!$A$1:$I$89,3,0)*VLOOKUP('Données projet'!$B$9,Paramètres!$A$1:$I$89,5,0)</f>
        <v>178.76768000000001</v>
      </c>
      <c r="P71" s="13">
        <f t="shared" si="87"/>
        <v>45.04790814890876</v>
      </c>
      <c r="Q71" s="20">
        <f t="shared" si="54"/>
        <v>389.81214935934941</v>
      </c>
      <c r="R71" s="59">
        <f t="shared" si="55"/>
        <v>683.14548269268266</v>
      </c>
      <c r="S71" s="59">
        <f ca="1">AVERAGE(OFFSET($R$3,0,0,'Données projet'!$E$9+1,1))-AVERAGE(OFFSET($H$3,0,0,'Données projet'!$E$9+1,1))</f>
        <v>252.08270526008477</v>
      </c>
      <c r="T71" s="59">
        <f t="shared" si="88"/>
        <v>239.77811108960179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53.350905406284362</v>
      </c>
      <c r="AA71" s="21">
        <f>EXP(-LN(2)/25)*AA70+(1-EXP(-LN(2)/25))/(LN(2)/25)*Calculateur!V71*Calculateur!X71*VLOOKUP('Données projet'!$B$9,Paramètres!$A$1:$I$89,3,0)*0.475*44/12</f>
        <v>21.302232047244537</v>
      </c>
      <c r="AB71" s="21">
        <f>EXP(-LN(2)/2)*AB70+(1-EXP(-LN(2)/2))/(LN(2)/2)*V71*Y71*VLOOKUP('Données projet'!$B$9,Paramètres!$A$1:$I$89,3,0)*0.475*44/12</f>
        <v>5.0289013040451085</v>
      </c>
      <c r="AC71" s="22">
        <f t="shared" si="57"/>
        <v>79.682038757574006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251.64326096359997</v>
      </c>
      <c r="AO71" s="59">
        <f t="shared" si="90"/>
        <v>256.72142151189894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118.52195121816666</v>
      </c>
      <c r="AV71" s="21">
        <f>EXP(-LN(2)/25)*AV70+(1-EXP(-LN(2)/25))/(LN(2)/25)*Calculateur!AQ71*Calculateur!AS71*VLOOKUP('Données projet'!$B$10,Paramètres!$A$1:$I$89,3,0)*0.475*44/12</f>
        <v>38.804239635466992</v>
      </c>
      <c r="AW71" s="21">
        <f>EXP(-LN(2)/2)*AW70+(1-EXP(-LN(2)/2))/(LN(2)/2)*AQ71*AT71*VLOOKUP('Données projet'!$B$10,Paramètres!$A$1:$I$89,3,0)*0.475*44/12</f>
        <v>3.7475901764595871</v>
      </c>
      <c r="AX71" s="21">
        <f t="shared" si="60"/>
        <v>161.07378103009324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199.29783428981898</v>
      </c>
      <c r="BJ71" s="59">
        <f t="shared" si="92"/>
        <v>237.32002274562547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4.920560476172378</v>
      </c>
      <c r="BQ71" s="21">
        <f>EXP(-LN(2)/25)*BQ70+(1-EXP(-LN(2)/25))/(LN(2)/25)*Calculateur!BL71*Calculateur!BN71*VLOOKUP('Données projet'!$B$11,Paramètres!$A$1:$I$89,3,0)*0.475*44/12</f>
        <v>23.396165055890044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28.316725532062421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9.65625</v>
      </c>
      <c r="BY71" s="12">
        <f>IF('Données projet'!$A$114&gt;35,BY70+BX71-CG70,IF(A71&lt;'Données projet'!$A$114,$BV$205^A71,IF(A71='Données projet'!$A$114,'Données projet'!$B$114,BY70+BX71-CG70)))</f>
        <v>206.16624999999996</v>
      </c>
      <c r="BZ71" s="13">
        <f>BY71*VLOOKUP('Données projet'!$B$12,Paramètres!$A$1:$I$89,3,0)*VLOOKUP('Données projet'!$B$12,Paramètres!$A$1:$I$89,5,0)</f>
        <v>173.67444899999998</v>
      </c>
      <c r="CA71" s="13">
        <f t="shared" si="93"/>
        <v>43.911950918987827</v>
      </c>
      <c r="CB71" s="20">
        <f t="shared" si="64"/>
        <v>378.96297985890374</v>
      </c>
      <c r="CC71" s="59">
        <f t="shared" si="65"/>
        <v>672.29631319223699</v>
      </c>
      <c r="CD71" s="59">
        <f ca="1">AVERAGE(OFFSET($CC$3,0,0,'Données projet'!$E$12+1,1))-AVERAGE(OFFSET($H$3,0,0,'Données projet'!$E$12+1,1))</f>
        <v>295.59075210589327</v>
      </c>
      <c r="CE71" s="59">
        <f t="shared" si="94"/>
        <v>210.41181542059576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15.282553755597901</v>
      </c>
      <c r="CL71" s="21">
        <f>EXP(-LN(2)/25)*CL70+(1-EXP(-LN(2)/25))/(LN(2)/25)*Calculateur!CG71*Calculateur!CI71*VLOOKUP('Données projet'!$B$12,Paramètres!$A$1:$I$89,3,0)*0.475*44/12</f>
        <v>25.144152326035609</v>
      </c>
      <c r="CM71" s="21">
        <f>EXP(-LN(2)/2)*CM70+(1-EXP(-LN(2)/2))/(LN(2)/2)*CG71*CJ71*VLOOKUP('Données projet'!$B$12,Paramètres!$A$1:$I$89,3,0)*0.475*44/12</f>
        <v>2.5547129964818027</v>
      </c>
      <c r="CN71" s="22">
        <f t="shared" si="66"/>
        <v>42.981419078115316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17.2</v>
      </c>
      <c r="CT71" s="12">
        <f>IF('Données projet'!$A$140&gt;35,CT70+CS71-DB70,IF(A71&lt;'Données projet'!$A$140,$CQ$205^A71,IF(A71='Données projet'!$A$140,'Données projet'!$B$140,CT70+CS71-DB70)))</f>
        <v>677.60000000000014</v>
      </c>
      <c r="CU71" s="17">
        <f>CT71*VLOOKUP('Données projet'!$B$13,Paramètres!$A$1:$I$89,3,0)*VLOOKUP('Données projet'!$B$13,Paramètres!$A$1:$I$89,5,0)</f>
        <v>308.30800000000005</v>
      </c>
      <c r="CV71" s="13">
        <f t="shared" si="95"/>
        <v>72.915360752538646</v>
      </c>
      <c r="CW71" s="20">
        <f t="shared" si="67"/>
        <v>663.96401997733824</v>
      </c>
      <c r="CX71" s="59">
        <f t="shared" si="68"/>
        <v>957.2973533106715</v>
      </c>
      <c r="CY71" s="59">
        <f ca="1">AVERAGE(OFFSET($CX$3,0,0,'Données projet'!$E$13+1,1))-AVERAGE(OFFSET($H$3,0,0,'Données projet'!$E$13+1,1))</f>
        <v>338.22448697444298</v>
      </c>
      <c r="CZ71" s="59">
        <f t="shared" si="96"/>
        <v>293.3872365640849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54.578883229748975</v>
      </c>
      <c r="DG71" s="21">
        <f>EXP(-LN(2)/25)*DG70+(1-EXP(-LN(2)/25))/(LN(2)/25)*Calculateur!DB71*Calculateur!DD71*VLOOKUP('Données projet'!$B$13,Paramètres!$A$1:$I$89,3,0)*0.475*44/12</f>
        <v>25.049894651978473</v>
      </c>
      <c r="DH71" s="21">
        <f>EXP(-LN(2)/2)*DH70+(1-EXP(-LN(2)/2))/(LN(2)/2)*DB71*DE71*VLOOKUP('Données projet'!$B$13,Paramètres!$A$1:$I$89,3,0)*0.475*44/12</f>
        <v>2.1739622155986913</v>
      </c>
      <c r="DI71" s="22">
        <f t="shared" si="69"/>
        <v>81.802740097326136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16.682857142857149</v>
      </c>
      <c r="DO71" s="12">
        <f>IF('Données projet'!$A$166&gt;35,DO70+DN71-DW70,IF(A71&lt;'Données projet'!$A$166,$DL$205^A71,IF(A71='Données projet'!$A$166,'Données projet'!$B$166,DO70+DN71-DW70)))</f>
        <v>553.49428571428621</v>
      </c>
      <c r="DP71" s="17">
        <f>DO71*VLOOKUP('Données projet'!$B$14,Paramètres!$A$1:$I$89,3,0)*VLOOKUP('Données projet'!$B$14,Paramètres!$A$1:$I$89,5,0)</f>
        <v>309.40330571428598</v>
      </c>
      <c r="DQ71" s="13">
        <f t="shared" si="97"/>
        <v>73.144202686055834</v>
      </c>
      <c r="DR71" s="20">
        <f t="shared" si="70"/>
        <v>666.27024379726197</v>
      </c>
      <c r="DS71" s="59">
        <f t="shared" si="71"/>
        <v>959.60357713059534</v>
      </c>
      <c r="DT71" s="59">
        <f ca="1">AVERAGE(OFFSET($DS$3,0,0,'Données projet'!$E$14+1,1))-AVERAGE(OFFSET($H$3,0,0,'Données projet'!$E$14+1,1))</f>
        <v>328.15217666639006</v>
      </c>
      <c r="DU71" s="59">
        <f t="shared" si="98"/>
        <v>305.59175773326308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90.658055524773317</v>
      </c>
      <c r="EB71" s="21">
        <f>EXP(-LN(2)/25)*EB70+(1-EXP(-LN(2)/25))/(LN(2)/25)*Calculateur!DW71*Calculateur!DY71*VLOOKUP('Données projet'!$B$14,Paramètres!$A$1:$I$89,3,0)*0.475*44/12</f>
        <v>30.733218148640713</v>
      </c>
      <c r="EC71" s="21">
        <f>EXP(-LN(2)/2)*EC70+(1-EXP(-LN(2)/2))/(LN(2)/2)*DW71*DZ71*VLOOKUP('Données projet'!$B$14,Paramètres!$A$1:$I$89,3,0)*0.475*44/12</f>
        <v>2.4373798517806646</v>
      </c>
      <c r="ED71" s="22">
        <f t="shared" si="72"/>
        <v>123.8286535251947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159.78276497127206</v>
      </c>
      <c r="EP71" s="59">
        <f t="shared" si="100"/>
        <v>190.72163407919857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5.7152027139910233</v>
      </c>
      <c r="EW71" s="21">
        <f>EXP(-LN(2)/25)*EW70+(1-EXP(-LN(2)/25))/(LN(2)/25)*Calculateur!ER71*Calculateur!ET71*VLOOKUP('Données projet'!$B$15,Paramètres!$A$1:$I$89,3,0)*0.475*44/12</f>
        <v>27.174511251697574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32.8897139656886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10.812222222222223</v>
      </c>
      <c r="FE71" s="12">
        <f>IF('Données projet'!$A$218&gt;35,FE70+FD71-FM70,IF(A71&lt;'Données projet'!$A$218,$FB$205^A71,IF(A71='Données projet'!$A$218,'Données projet'!$B$218,FE70+FD71-FM70)))</f>
        <v>199.12444444444483</v>
      </c>
      <c r="FF71" s="17">
        <f>FE71*VLOOKUP('Données projet'!$B$16,Paramètres!$A$1:$I$89,3,0)*VLOOKUP('Données projet'!$B$16,Paramètres!$A$1:$I$89,5,0)</f>
        <v>170.8487733333337</v>
      </c>
      <c r="FG71" s="13">
        <f t="shared" si="101"/>
        <v>43.280065440953479</v>
      </c>
      <c r="FH71" s="20">
        <f t="shared" si="76"/>
        <v>372.9410608652168</v>
      </c>
      <c r="FI71" s="59">
        <f t="shared" si="77"/>
        <v>666.27439419855011</v>
      </c>
      <c r="FJ71" s="59">
        <f ca="1">AVERAGE(OFFSET($FI$3,0,0,'Données projet'!$E$16+1,1))-AVERAGE(OFFSET($H$3,0,0,'Données projet'!$E$16+1,1))</f>
        <v>337.15023592377008</v>
      </c>
      <c r="FK71" s="59">
        <f t="shared" si="102"/>
        <v>286.60608582587099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45.552559525805208</v>
      </c>
      <c r="FS71" s="21">
        <f>EXP(-LN(2)/2)*FS70+(1-EXP(-LN(2)/2))/(LN(2)/2)*FM71*FP71*VLOOKUP('Données projet'!$B$16,Paramètres!$A$1:$I$89,3,0)*0.475*44/12</f>
        <v>16.932398611675168</v>
      </c>
      <c r="FT71" s="22">
        <f t="shared" si="78"/>
        <v>62.484958137480376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9.733749999999997</v>
      </c>
      <c r="FZ71" s="12">
        <f>IF('Données projet'!$A$244&gt;35,FZ70+FY71-GH70,IF(A71&lt;'Données projet'!$A$244,$FW$205^A71,IF(A71='Données projet'!$A$244,'Données projet'!$B$244,FZ70+FY71-GH70)))</f>
        <v>252.55750000000032</v>
      </c>
      <c r="GA71" s="17">
        <f>FZ71*VLOOKUP('Données projet'!$B$17,Paramètres!$A$1:$I$89,3,0)*VLOOKUP('Données projet'!$B$17,Paramètres!$A$1:$I$89,5,0)</f>
        <v>228.51402600000029</v>
      </c>
      <c r="GB71" s="13">
        <f t="shared" si="103"/>
        <v>55.96125810397254</v>
      </c>
      <c r="GC71" s="20">
        <f t="shared" si="79"/>
        <v>495.46111981441936</v>
      </c>
      <c r="GD71" s="59">
        <f t="shared" si="80"/>
        <v>788.79445314775262</v>
      </c>
      <c r="GE71" s="59">
        <f ca="1">AVERAGE(OFFSET($GD$3,0,0,'Données projet'!$E$17+1,1))-AVERAGE(OFFSET($H$3,0,0,'Données projet'!$E$17+1,1))</f>
        <v>486.55344536255876</v>
      </c>
      <c r="GF71" s="59">
        <f t="shared" si="104"/>
        <v>231.14794884432229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7.7668871553389076</v>
      </c>
      <c r="GM71" s="21">
        <f>EXP(-LN(2)/25)*GM70+(1-EXP(-LN(2)/25))/(LN(2)/25)*Calculateur!GH71*Calculateur!GJ71*VLOOKUP('Données projet'!$B$17,Paramètres!$A$1:$I$89,3,0)*0.475*44/12</f>
        <v>31.993653003128042</v>
      </c>
      <c r="GN71" s="21">
        <f>EXP(-LN(2)/2)*GN70+(1-EXP(-LN(2)/2))/(LN(2)/2)*GH71*GK71*VLOOKUP('Données projet'!$B$17,Paramètres!$A$1:$I$89,3,0)*0.475*44/12</f>
        <v>2.5597761711002054</v>
      </c>
      <c r="GO71" s="21">
        <f t="shared" si="81"/>
        <v>42.320316329567156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370.49683051156433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15.341111111111111</v>
      </c>
      <c r="N72" s="13">
        <f>IF('Données projet'!$A$36&gt;35,N71+M72-V71,IF(A72&lt;'Données projet'!$A$36,$K$205^A72,IF(A72='Données projet'!$A$36,'Données projet'!$B$36,N71+M72-V71)))</f>
        <v>397.32333333333332</v>
      </c>
      <c r="O72" s="13">
        <f>N72*VLOOKUP('Données projet'!$B$9,Paramètres!$A$1:$I$89,3,0)*VLOOKUP('Données projet'!$B$9,Paramètres!$A$1:$I$89,5,0)</f>
        <v>185.94731999999999</v>
      </c>
      <c r="P72" s="13">
        <f t="shared" si="87"/>
        <v>46.642841632371386</v>
      </c>
      <c r="Q72" s="20">
        <f t="shared" si="54"/>
        <v>405.09453150971348</v>
      </c>
      <c r="R72" s="59">
        <f t="shared" si="55"/>
        <v>698.42786484304679</v>
      </c>
      <c r="S72" s="59">
        <f ca="1">AVERAGE(OFFSET($R$3,0,0,'Données projet'!$E$9+1,1))-AVERAGE(OFFSET($H$3,0,0,'Données projet'!$E$9+1,1))</f>
        <v>252.08270526008477</v>
      </c>
      <c r="T72" s="59">
        <f t="shared" si="88"/>
        <v>239.77811108960179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52.304726692106286</v>
      </c>
      <c r="AA72" s="21">
        <f>EXP(-LN(2)/25)*AA71+(1-EXP(-LN(2)/25))/(LN(2)/25)*Calculateur!V72*Calculateur!X72*VLOOKUP('Données projet'!$B$9,Paramètres!$A$1:$I$89,3,0)*0.475*44/12</f>
        <v>20.719721391676938</v>
      </c>
      <c r="AB72" s="21">
        <f>EXP(-LN(2)/2)*AB71+(1-EXP(-LN(2)/2))/(LN(2)/2)*V72*Y72*VLOOKUP('Données projet'!$B$9,Paramètres!$A$1:$I$89,3,0)*0.475*44/12</f>
        <v>3.5559702140081684</v>
      </c>
      <c r="AC72" s="22">
        <f t="shared" si="57"/>
        <v>76.580418297791397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251.64326096359997</v>
      </c>
      <c r="AO72" s="59">
        <f t="shared" si="90"/>
        <v>256.72142151189894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116.19780804603049</v>
      </c>
      <c r="AV72" s="21">
        <f>EXP(-LN(2)/25)*AV71+(1-EXP(-LN(2)/25))/(LN(2)/25)*Calculateur!AQ72*Calculateur!AS72*VLOOKUP('Données projet'!$B$10,Paramètres!$A$1:$I$89,3,0)*0.475*44/12</f>
        <v>37.743135662008875</v>
      </c>
      <c r="AW72" s="21">
        <f>EXP(-LN(2)/2)*AW71+(1-EXP(-LN(2)/2))/(LN(2)/2)*AQ72*AT72*VLOOKUP('Données projet'!$B$10,Paramètres!$A$1:$I$89,3,0)*0.475*44/12</f>
        <v>2.6499464268826647</v>
      </c>
      <c r="AX72" s="21">
        <f t="shared" si="60"/>
        <v>156.59089013492203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199.29783428981898</v>
      </c>
      <c r="BJ72" s="59">
        <f t="shared" si="92"/>
        <v>237.32002274562547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4.82407128648018</v>
      </c>
      <c r="BQ72" s="21">
        <f>EXP(-LN(2)/25)*BQ71+(1-EXP(-LN(2)/25))/(LN(2)/25)*Calculateur!BL72*Calculateur!BN72*VLOOKUP('Données projet'!$B$11,Paramètres!$A$1:$I$89,3,0)*0.475*44/12</f>
        <v>22.756395692085885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27.580466978566065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9.65625</v>
      </c>
      <c r="BY72" s="12">
        <f>IF('Données projet'!$A$114&gt;35,BY71+BX72-CG71,IF(A72&lt;'Données projet'!$A$114,$BV$205^A72,IF(A72='Données projet'!$A$114,'Données projet'!$B$114,BY71+BX72-CG71)))</f>
        <v>215.82249999999996</v>
      </c>
      <c r="BZ72" s="13">
        <f>BY72*VLOOKUP('Données projet'!$B$12,Paramètres!$A$1:$I$89,3,0)*VLOOKUP('Données projet'!$B$12,Paramètres!$A$1:$I$89,5,0)</f>
        <v>181.80887399999997</v>
      </c>
      <c r="CA72" s="13">
        <f t="shared" si="93"/>
        <v>45.724392805164811</v>
      </c>
      <c r="CB72" s="20">
        <f t="shared" si="64"/>
        <v>396.28710635232864</v>
      </c>
      <c r="CC72" s="59">
        <f t="shared" si="65"/>
        <v>689.62043968566195</v>
      </c>
      <c r="CD72" s="59">
        <f ca="1">AVERAGE(OFFSET($CC$3,0,0,'Données projet'!$E$12+1,1))-AVERAGE(OFFSET($H$3,0,0,'Données projet'!$E$12+1,1))</f>
        <v>295.59075210589327</v>
      </c>
      <c r="CE72" s="59">
        <f t="shared" si="94"/>
        <v>210.41181542059576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14.982872197888002</v>
      </c>
      <c r="CL72" s="21">
        <f>EXP(-LN(2)/25)*CL71+(1-EXP(-LN(2)/25))/(LN(2)/25)*Calculateur!CG72*Calculateur!CI72*VLOOKUP('Données projet'!$B$12,Paramètres!$A$1:$I$89,3,0)*0.475*44/12</f>
        <v>24.456584158406663</v>
      </c>
      <c r="CM72" s="21">
        <f>EXP(-LN(2)/2)*CM71+(1-EXP(-LN(2)/2))/(LN(2)/2)*CG72*CJ72*VLOOKUP('Données projet'!$B$12,Paramètres!$A$1:$I$89,3,0)*0.475*44/12</f>
        <v>1.8064548837976873</v>
      </c>
      <c r="CN72" s="22">
        <f t="shared" si="66"/>
        <v>41.245911240092347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17.2</v>
      </c>
      <c r="CT72" s="12">
        <f>IF('Données projet'!$A$140&gt;35,CT71+CS72-DB71,IF(A72&lt;'Données projet'!$A$140,$CQ$205^A72,IF(A72='Données projet'!$A$140,'Données projet'!$B$140,CT71+CS72-DB71)))</f>
        <v>694.80000000000018</v>
      </c>
      <c r="CU72" s="17">
        <f>CT72*VLOOKUP('Données projet'!$B$13,Paramètres!$A$1:$I$89,3,0)*VLOOKUP('Données projet'!$B$13,Paramètres!$A$1:$I$89,5,0)</f>
        <v>316.13400000000007</v>
      </c>
      <c r="CV72" s="13">
        <f t="shared" si="95"/>
        <v>74.548389024136753</v>
      </c>
      <c r="CW72" s="20">
        <f t="shared" si="67"/>
        <v>680.43849421703828</v>
      </c>
      <c r="CX72" s="59">
        <f t="shared" si="68"/>
        <v>973.77182755037165</v>
      </c>
      <c r="CY72" s="59">
        <f ca="1">AVERAGE(OFFSET($CX$3,0,0,'Données projet'!$E$13+1,1))-AVERAGE(OFFSET($H$3,0,0,'Données projet'!$E$13+1,1))</f>
        <v>338.22448697444298</v>
      </c>
      <c r="CZ72" s="59">
        <f t="shared" si="96"/>
        <v>293.3872365640849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53.508624619445271</v>
      </c>
      <c r="DG72" s="21">
        <f>EXP(-LN(2)/25)*DG71+(1-EXP(-LN(2)/25))/(LN(2)/25)*Calculateur!DB72*Calculateur!DD72*VLOOKUP('Données projet'!$B$13,Paramètres!$A$1:$I$89,3,0)*0.475*44/12</f>
        <v>24.364903965403414</v>
      </c>
      <c r="DH72" s="21">
        <f>EXP(-LN(2)/2)*DH71+(1-EXP(-LN(2)/2))/(LN(2)/2)*DB72*DE72*VLOOKUP('Données projet'!$B$13,Paramètres!$A$1:$I$89,3,0)*0.475*44/12</f>
        <v>1.537223424693166</v>
      </c>
      <c r="DI72" s="22">
        <f t="shared" si="69"/>
        <v>79.410752009541852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16.682857142857149</v>
      </c>
      <c r="DO72" s="12">
        <f>IF('Données projet'!$A$166&gt;35,DO71+DN72-DW71,IF(A72&lt;'Données projet'!$A$166,$DL$205^A72,IF(A72='Données projet'!$A$166,'Données projet'!$B$166,DO71+DN72-DW71)))</f>
        <v>570.17714285714339</v>
      </c>
      <c r="DP72" s="17">
        <f>DO72*VLOOKUP('Données projet'!$B$14,Paramètres!$A$1:$I$89,3,0)*VLOOKUP('Données projet'!$B$14,Paramètres!$A$1:$I$89,5,0)</f>
        <v>318.72902285714315</v>
      </c>
      <c r="DQ72" s="13">
        <f t="shared" si="97"/>
        <v>75.088840929664514</v>
      </c>
      <c r="DR72" s="20">
        <f t="shared" si="70"/>
        <v>685.89944609535667</v>
      </c>
      <c r="DS72" s="59">
        <f t="shared" si="71"/>
        <v>979.23277942869004</v>
      </c>
      <c r="DT72" s="59">
        <f ca="1">AVERAGE(OFFSET($DS$3,0,0,'Données projet'!$E$14+1,1))-AVERAGE(OFFSET($H$3,0,0,'Données projet'!$E$14+1,1))</f>
        <v>328.15217666639006</v>
      </c>
      <c r="DU72" s="59">
        <f t="shared" si="98"/>
        <v>305.59175773326308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88.880306351886361</v>
      </c>
      <c r="EB72" s="21">
        <f>EXP(-LN(2)/25)*EB71+(1-EXP(-LN(2)/25))/(LN(2)/25)*Calculateur!DW72*Calculateur!DY72*VLOOKUP('Données projet'!$B$14,Paramètres!$A$1:$I$89,3,0)*0.475*44/12</f>
        <v>29.892816682176431</v>
      </c>
      <c r="EC72" s="21">
        <f>EXP(-LN(2)/2)*EC71+(1-EXP(-LN(2)/2))/(LN(2)/2)*DW72*DZ72*VLOOKUP('Données projet'!$B$14,Paramètres!$A$1:$I$89,3,0)*0.475*44/12</f>
        <v>1.7234878215215701</v>
      </c>
      <c r="ED72" s="22">
        <f t="shared" si="72"/>
        <v>120.49661085558436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159.78276497127206</v>
      </c>
      <c r="EP72" s="59">
        <f t="shared" si="100"/>
        <v>190.72163407919857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5.6031310746991076</v>
      </c>
      <c r="EW72" s="21">
        <f>EXP(-LN(2)/25)*EW71+(1-EXP(-LN(2)/25))/(LN(2)/25)*Calculateur!ER72*Calculateur!ET72*VLOOKUP('Données projet'!$B$15,Paramètres!$A$1:$I$89,3,0)*0.475*44/12</f>
        <v>26.431422812474466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32.034553887173573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10.812222222222223</v>
      </c>
      <c r="FE72" s="12">
        <f>IF('Données projet'!$A$218&gt;35,FE71+FD72-FM71,IF(A72&lt;'Données projet'!$A$218,$FB$205^A72,IF(A72='Données projet'!$A$218,'Données projet'!$B$218,FE71+FD72-FM71)))</f>
        <v>209.93666666666707</v>
      </c>
      <c r="FF72" s="17">
        <f>FE72*VLOOKUP('Données projet'!$B$16,Paramètres!$A$1:$I$89,3,0)*VLOOKUP('Données projet'!$B$16,Paramètres!$A$1:$I$89,5,0)</f>
        <v>180.12566000000035</v>
      </c>
      <c r="FG72" s="13">
        <f t="shared" si="101"/>
        <v>45.350142065814751</v>
      </c>
      <c r="FH72" s="20">
        <f t="shared" si="76"/>
        <v>392.70368859796127</v>
      </c>
      <c r="FI72" s="59">
        <f t="shared" si="77"/>
        <v>686.03702193129459</v>
      </c>
      <c r="FJ72" s="59">
        <f ca="1">AVERAGE(OFFSET($FI$3,0,0,'Données projet'!$E$16+1,1))-AVERAGE(OFFSET($H$3,0,0,'Données projet'!$E$16+1,1))</f>
        <v>337.15023592377008</v>
      </c>
      <c r="FK72" s="59">
        <f t="shared" si="102"/>
        <v>286.60608582587099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44.306922390067072</v>
      </c>
      <c r="FS72" s="21">
        <f>EXP(-LN(2)/2)*FS71+(1-EXP(-LN(2)/2))/(LN(2)/2)*FM72*FP72*VLOOKUP('Données projet'!$B$16,Paramètres!$A$1:$I$89,3,0)*0.475*44/12</f>
        <v>11.973013880069194</v>
      </c>
      <c r="FT72" s="22">
        <f t="shared" si="78"/>
        <v>56.279936270136268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9.733749999999997</v>
      </c>
      <c r="FZ72" s="12">
        <f>IF('Données projet'!$A$244&gt;35,FZ71+FY72-GH71,IF(A72&lt;'Données projet'!$A$244,$FW$205^A72,IF(A72='Données projet'!$A$244,'Données projet'!$B$244,FZ71+FY72-GH71)))</f>
        <v>262.29125000000033</v>
      </c>
      <c r="GA72" s="17">
        <f>FZ72*VLOOKUP('Données projet'!$B$17,Paramètres!$A$1:$I$89,3,0)*VLOOKUP('Données projet'!$B$17,Paramètres!$A$1:$I$89,5,0)</f>
        <v>237.32112300000028</v>
      </c>
      <c r="GB72" s="13">
        <f t="shared" si="103"/>
        <v>57.862781053141006</v>
      </c>
      <c r="GC72" s="20">
        <f t="shared" si="79"/>
        <v>514.11196622588784</v>
      </c>
      <c r="GD72" s="59">
        <f t="shared" si="80"/>
        <v>807.44529955922121</v>
      </c>
      <c r="GE72" s="59">
        <f ca="1">AVERAGE(OFFSET($GD$3,0,0,'Données projet'!$E$17+1,1))-AVERAGE(OFFSET($H$3,0,0,'Données projet'!$E$17+1,1))</f>
        <v>486.55344536255876</v>
      </c>
      <c r="GF72" s="59">
        <f t="shared" si="104"/>
        <v>231.14794884432229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7.6145832355561032</v>
      </c>
      <c r="GM72" s="21">
        <f>EXP(-LN(2)/25)*GM71+(1-EXP(-LN(2)/25))/(LN(2)/25)*Calculateur!GH72*Calculateur!GJ72*VLOOKUP('Données projet'!$B$17,Paramètres!$A$1:$I$89,3,0)*0.475*44/12</f>
        <v>31.118784879284416</v>
      </c>
      <c r="GN72" s="21">
        <f>EXP(-LN(2)/2)*GN71+(1-EXP(-LN(2)/2))/(LN(2)/2)*GH72*GK72*VLOOKUP('Données projet'!$B$17,Paramètres!$A$1:$I$89,3,0)*0.475*44/12</f>
        <v>1.8100350889046914</v>
      </c>
      <c r="GO72" s="21">
        <f t="shared" si="81"/>
        <v>40.543403203745207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372.10288182746234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15.341111111111111</v>
      </c>
      <c r="N73" s="13">
        <f>IF('Données projet'!$A$36&gt;35,N72+M73-V72,IF(A73&lt;'Données projet'!$A$36,$K$205^A73,IF(A73='Données projet'!$A$36,'Données projet'!$B$36,N72+M73-V72)))</f>
        <v>412.66444444444443</v>
      </c>
      <c r="O73" s="13">
        <f>N73*VLOOKUP('Données projet'!$B$9,Paramètres!$A$1:$I$89,3,0)*VLOOKUP('Données projet'!$B$9,Paramètres!$A$1:$I$89,5,0)</f>
        <v>193.12695999999997</v>
      </c>
      <c r="P73" s="13">
        <f t="shared" si="87"/>
        <v>48.230621152290105</v>
      </c>
      <c r="Q73" s="20">
        <f t="shared" si="54"/>
        <v>420.36445384023858</v>
      </c>
      <c r="R73" s="59">
        <f t="shared" si="55"/>
        <v>713.6977871735719</v>
      </c>
      <c r="S73" s="59">
        <f ca="1">AVERAGE(OFFSET($R$3,0,0,'Données projet'!$E$9+1,1))-AVERAGE(OFFSET($H$3,0,0,'Données projet'!$E$9+1,1))</f>
        <v>252.08270526008477</v>
      </c>
      <c r="T73" s="59">
        <f t="shared" si="88"/>
        <v>239.77811108960179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51.279062904407233</v>
      </c>
      <c r="AA73" s="21">
        <f>EXP(-LN(2)/25)*AA72+(1-EXP(-LN(2)/25))/(LN(2)/25)*Calculateur!V73*Calculateur!X73*VLOOKUP('Données projet'!$B$9,Paramètres!$A$1:$I$89,3,0)*0.475*44/12</f>
        <v>20.15313952061874</v>
      </c>
      <c r="AB73" s="21">
        <f>EXP(-LN(2)/2)*AB72+(1-EXP(-LN(2)/2))/(LN(2)/2)*V73*Y73*VLOOKUP('Données projet'!$B$9,Paramètres!$A$1:$I$89,3,0)*0.475*44/12</f>
        <v>2.5144506520225547</v>
      </c>
      <c r="AC73" s="22">
        <f t="shared" si="57"/>
        <v>73.946653077048538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251.64326096359997</v>
      </c>
      <c r="AO73" s="59">
        <f t="shared" si="90"/>
        <v>256.72142151189894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113.91923990391254</v>
      </c>
      <c r="AV73" s="21">
        <f>EXP(-LN(2)/25)*AV72+(1-EXP(-LN(2)/25))/(LN(2)/25)*Calculateur!AQ73*Calculateur!AS73*VLOOKUP('Données projet'!$B$10,Paramètres!$A$1:$I$89,3,0)*0.475*44/12</f>
        <v>36.711047632506002</v>
      </c>
      <c r="AW73" s="21">
        <f>EXP(-LN(2)/2)*AW72+(1-EXP(-LN(2)/2))/(LN(2)/2)*AQ73*AT73*VLOOKUP('Données projet'!$B$10,Paramètres!$A$1:$I$89,3,0)*0.475*44/12</f>
        <v>1.873795088229794</v>
      </c>
      <c r="AX73" s="21">
        <f t="shared" si="60"/>
        <v>152.50408262464833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199.29783428981898</v>
      </c>
      <c r="BJ73" s="59">
        <f t="shared" si="92"/>
        <v>237.32002274562547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4.7294741909452513</v>
      </c>
      <c r="BQ73" s="21">
        <f>EXP(-LN(2)/25)*BQ72+(1-EXP(-LN(2)/25))/(LN(2)/25)*Calculateur!BL73*Calculateur!BN73*VLOOKUP('Données projet'!$B$11,Paramètres!$A$1:$I$89,3,0)*0.475*44/12</f>
        <v>22.134120855178956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26.863595046124207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9.65625</v>
      </c>
      <c r="BY73" s="12">
        <f>IF('Données projet'!$A$114&gt;35,BY72+BX73-CG72,IF(A73&lt;'Données projet'!$A$114,$BV$205^A73,IF(A73='Données projet'!$A$114,'Données projet'!$B$114,BY72+BX73-CG72)))</f>
        <v>225.47874999999996</v>
      </c>
      <c r="BZ73" s="13">
        <f>BY73*VLOOKUP('Données projet'!$B$12,Paramètres!$A$1:$I$89,3,0)*VLOOKUP('Données projet'!$B$12,Paramètres!$A$1:$I$89,5,0)</f>
        <v>189.943299</v>
      </c>
      <c r="CA73" s="13">
        <f t="shared" si="93"/>
        <v>47.527416847430089</v>
      </c>
      <c r="CB73" s="20">
        <f t="shared" si="64"/>
        <v>413.59483010094073</v>
      </c>
      <c r="CC73" s="59">
        <f t="shared" si="65"/>
        <v>706.92816343427398</v>
      </c>
      <c r="CD73" s="59">
        <f ca="1">AVERAGE(OFFSET($CC$3,0,0,'Données projet'!$E$12+1,1))-AVERAGE(OFFSET($H$3,0,0,'Données projet'!$E$12+1,1))</f>
        <v>295.59075210589327</v>
      </c>
      <c r="CE73" s="59">
        <f t="shared" si="94"/>
        <v>210.41181542059576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14.689067212737092</v>
      </c>
      <c r="CL73" s="21">
        <f>EXP(-LN(2)/25)*CL72+(1-EXP(-LN(2)/25))/(LN(2)/25)*Calculateur!CG73*Calculateur!CI73*VLOOKUP('Données projet'!$B$12,Paramètres!$A$1:$I$89,3,0)*0.475*44/12</f>
        <v>23.787817578479167</v>
      </c>
      <c r="CM73" s="21">
        <f>EXP(-LN(2)/2)*CM72+(1-EXP(-LN(2)/2))/(LN(2)/2)*CG73*CJ73*VLOOKUP('Données projet'!$B$12,Paramètres!$A$1:$I$89,3,0)*0.475*44/12</f>
        <v>1.2773564982409014</v>
      </c>
      <c r="CN73" s="22">
        <f t="shared" si="66"/>
        <v>39.754241289457156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712</v>
      </c>
      <c r="CR73" s="12">
        <f>VLOOKUP(A73,'Données projet'!$A$139:$I$159,9,0)</f>
        <v>17.2</v>
      </c>
      <c r="CS73" s="12">
        <f t="array" ref="CS73">INDEX(CR:CR,MIN(IF(ISNUMBER(CR73:CR269),ROW(CR73:CR269),"")))</f>
        <v>17.2</v>
      </c>
      <c r="CT73" s="12">
        <f>IF('Données projet'!$A$140&gt;35,CT72+CS73-DB72,IF(A73&lt;'Données projet'!$A$140,$CQ$205^A73,IF(A73='Données projet'!$A$140,'Données projet'!$B$140,CT72+CS73-DB72)))</f>
        <v>712.00000000000023</v>
      </c>
      <c r="CU73" s="17">
        <f>CT73*VLOOKUP('Données projet'!$B$13,Paramètres!$A$1:$I$89,3,0)*VLOOKUP('Données projet'!$B$13,Paramètres!$A$1:$I$89,5,0)</f>
        <v>323.96000000000009</v>
      </c>
      <c r="CV73" s="13">
        <f t="shared" si="95"/>
        <v>76.176717958214766</v>
      </c>
      <c r="CW73" s="20">
        <f t="shared" si="67"/>
        <v>696.90478377722411</v>
      </c>
      <c r="CX73" s="59">
        <f t="shared" si="68"/>
        <v>990.23811711055737</v>
      </c>
      <c r="CY73" s="59">
        <f ca="1">AVERAGE(OFFSET($CX$3,0,0,'Données projet'!$E$13+1,1))-AVERAGE(OFFSET($H$3,0,0,'Données projet'!$E$13+1,1))</f>
        <v>338.22448697444298</v>
      </c>
      <c r="CZ73" s="59">
        <f t="shared" si="96"/>
        <v>293.3872365640849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45</v>
      </c>
      <c r="DC73" s="16">
        <f>IF(ISNA(VLOOKUP(A73,'Données projet'!$A$139:$I$159,5,0)),0%,VLOOKUP(A73,'Données projet'!$A$139:$I$159,5,0)*VLOOKUP('Données projet'!$B$13,Paramètres!$A$1:$I$89,7,0))</f>
        <v>0.33</v>
      </c>
      <c r="DD73" s="16">
        <f>IF(ISNA(VLOOKUP(A73,'Données projet'!$A$139:$I$159,6,0)),0%,VLOOKUP(A73,'Données projet'!$A$139:$I$159,6,0)*VLOOKUP('Données projet'!$B$13,Paramètres!$A$1:$I$89,7,0))</f>
        <v>0.11000000000000001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61.42261751198744</v>
      </c>
      <c r="DG73" s="21">
        <f>EXP(-LN(2)/25)*DG72+(1-EXP(-LN(2)/25))/(LN(2)/25)*Calculateur!DB73*Calculateur!DD73*VLOOKUP('Données projet'!$B$13,Paramètres!$A$1:$I$89,3,0)*0.475*44/12</f>
        <v>26.674635250887736</v>
      </c>
      <c r="DH73" s="21">
        <f>EXP(-LN(2)/2)*DH72+(1-EXP(-LN(2)/2))/(LN(2)/2)*DB73*DE73*VLOOKUP('Données projet'!$B$13,Paramètres!$A$1:$I$89,3,0)*0.475*44/12</f>
        <v>5.7234723661702231</v>
      </c>
      <c r="DI73" s="22">
        <f t="shared" si="69"/>
        <v>93.8207251290454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586.86</v>
      </c>
      <c r="DM73" s="12">
        <f>VLOOKUP(A73,'Données projet'!$A$165:$I$185,9,0)</f>
        <v>16.682857142857149</v>
      </c>
      <c r="DN73" s="12">
        <f t="array" ref="DN73">INDEX(DM:DM,MIN(IF(ISNUMBER(DM73:DM269),ROW(DM73:DM269),"")))</f>
        <v>16.682857142857149</v>
      </c>
      <c r="DO73" s="12">
        <f>IF('Données projet'!$A$166&gt;35,DO72+DN73-DW72,IF(A73&lt;'Données projet'!$A$166,$DL$205^A73,IF(A73='Données projet'!$A$166,'Données projet'!$B$166,DO72+DN73-DW72)))</f>
        <v>586.86000000000058</v>
      </c>
      <c r="DP73" s="17">
        <f>DO73*VLOOKUP('Données projet'!$B$14,Paramètres!$A$1:$I$89,3,0)*VLOOKUP('Données projet'!$B$14,Paramètres!$A$1:$I$89,5,0)</f>
        <v>328.05474000000032</v>
      </c>
      <c r="DQ73" s="13">
        <f t="shared" si="97"/>
        <v>77.026866477102189</v>
      </c>
      <c r="DR73" s="20">
        <f t="shared" si="70"/>
        <v>705.51713128095355</v>
      </c>
      <c r="DS73" s="59">
        <f t="shared" si="71"/>
        <v>998.85046461428692</v>
      </c>
      <c r="DT73" s="59">
        <f ca="1">AVERAGE(OFFSET($DS$3,0,0,'Données projet'!$E$14+1,1))-AVERAGE(OFFSET($H$3,0,0,'Données projet'!$E$14+1,1))</f>
        <v>328.15217666639006</v>
      </c>
      <c r="DU73" s="59">
        <f t="shared" si="98"/>
        <v>305.59175773326308</v>
      </c>
      <c r="DV73" s="15">
        <f>IF(ISNA(VLOOKUP(A73,'Données projet'!$A$165:$I$185,3,0)),0,VLOOKUP(A73,'Données projet'!$A$165:$I$185,3,0))</f>
        <v>8</v>
      </c>
      <c r="DW73" s="15">
        <f>IF(ISNA(VLOOKUP(A73,'Données projet'!$A$165:$I$185,4,0)),0,VLOOKUP(A73,'Données projet'!$A$165:$I$185,4,0))</f>
        <v>586.86</v>
      </c>
      <c r="DX73" s="16">
        <f>IF(ISNA(VLOOKUP(A73,'Données projet'!$A$165:$I$185,5,0)),0%,VLOOKUP(A73,'Données projet'!$A$165:$I$185,5,0)*VLOOKUP('Données projet'!$B$14,Paramètres!$A$1:$I$89,7,0))</f>
        <v>0.33</v>
      </c>
      <c r="DY73" s="16">
        <f>IF(ISNA(VLOOKUP(A73,'Données projet'!$A$165:$I$185,6,0)),0%,VLOOKUP(A73,'Données projet'!$A$165:$I$185,6,0)*VLOOKUP('Données projet'!$B$14,Paramètres!$A$1:$I$89,7,0))</f>
        <v>0.11000000000000001</v>
      </c>
      <c r="DZ73" s="16">
        <f>IF(ISNA(VLOOKUP(A73,'Données projet'!$A$165:$I$185,7,0)),0%,VLOOKUP(A73,'Données projet'!$A$165:$I$185,7,0))</f>
        <v>0.2</v>
      </c>
      <c r="EA73" s="21">
        <f>EXP(-LN(2)/35)*EA72+(1-EXP(-LN(2)/35))/(LN(2)/35)*DW73*DX73*VLOOKUP('Données projet'!$B$14,Paramètres!$A$1:$I$89,3,0)*0.475*44/12</f>
        <v>230.74871773837151</v>
      </c>
      <c r="EB73" s="21">
        <f>EXP(-LN(2)/25)*EB72+(1-EXP(-LN(2)/25))/(LN(2)/25)*Calculateur!DW73*Calculateur!DY73*VLOOKUP('Données projet'!$B$14,Paramètres!$A$1:$I$89,3,0)*0.475*44/12</f>
        <v>76.757345229402674</v>
      </c>
      <c r="EC73" s="21">
        <f>EXP(-LN(2)/2)*EC72+(1-EXP(-LN(2)/2))/(LN(2)/2)*DW73*DZ73*VLOOKUP('Données projet'!$B$14,Paramètres!$A$1:$I$89,3,0)*0.475*44/12</f>
        <v>75.505524322819824</v>
      </c>
      <c r="ED73" s="22">
        <f t="shared" si="72"/>
        <v>383.01158729059404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159.78276497127206</v>
      </c>
      <c r="EP73" s="59">
        <f t="shared" si="100"/>
        <v>190.72163407919857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5.4932570918967567</v>
      </c>
      <c r="EW73" s="21">
        <f>EXP(-LN(2)/25)*EW72+(1-EXP(-LN(2)/25))/(LN(2)/25)*Calculateur!ER73*Calculateur!ET73*VLOOKUP('Données projet'!$B$15,Paramètres!$A$1:$I$89,3,0)*0.475*44/12</f>
        <v>25.708654165699237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31.201911257595995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10.812222222222223</v>
      </c>
      <c r="FE73" s="12">
        <f>IF('Données projet'!$A$218&gt;35,FE72+FD73-FM72,IF(A73&lt;'Données projet'!$A$218,$FB$205^A73,IF(A73='Données projet'!$A$218,'Données projet'!$B$218,FE72+FD73-FM72)))</f>
        <v>220.7488888888893</v>
      </c>
      <c r="FF73" s="17">
        <f>FE73*VLOOKUP('Données projet'!$B$16,Paramètres!$A$1:$I$89,3,0)*VLOOKUP('Données projet'!$B$16,Paramètres!$A$1:$I$89,5,0)</f>
        <v>189.40254666666704</v>
      </c>
      <c r="FG73" s="13">
        <f t="shared" si="101"/>
        <v>47.407840200237786</v>
      </c>
      <c r="FH73" s="20">
        <f t="shared" si="76"/>
        <v>412.44475712652587</v>
      </c>
      <c r="FI73" s="59">
        <f t="shared" si="77"/>
        <v>705.77809045985919</v>
      </c>
      <c r="FJ73" s="59">
        <f ca="1">AVERAGE(OFFSET($FI$3,0,0,'Données projet'!$E$16+1,1))-AVERAGE(OFFSET($H$3,0,0,'Données projet'!$E$16+1,1))</f>
        <v>337.15023592377008</v>
      </c>
      <c r="FK73" s="59">
        <f t="shared" si="102"/>
        <v>286.60608582587099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43.095347267310906</v>
      </c>
      <c r="FS73" s="21">
        <f>EXP(-LN(2)/2)*FS72+(1-EXP(-LN(2)/2))/(LN(2)/2)*FM73*FP73*VLOOKUP('Données projet'!$B$16,Paramètres!$A$1:$I$89,3,0)*0.475*44/12</f>
        <v>8.4661993058375842</v>
      </c>
      <c r="FT73" s="22">
        <f t="shared" si="78"/>
        <v>51.56154657314849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9.733749999999997</v>
      </c>
      <c r="FZ73" s="12">
        <f>IF('Données projet'!$A$244&gt;35,FZ72+FY73-GH72,IF(A73&lt;'Données projet'!$A$244,$FW$205^A73,IF(A73='Données projet'!$A$244,'Données projet'!$B$244,FZ72+FY73-GH72)))</f>
        <v>272.02500000000032</v>
      </c>
      <c r="GA73" s="17">
        <f>FZ73*VLOOKUP('Données projet'!$B$17,Paramètres!$A$1:$I$89,3,0)*VLOOKUP('Données projet'!$B$17,Paramètres!$A$1:$I$89,5,0)</f>
        <v>246.12822000000025</v>
      </c>
      <c r="GB73" s="13">
        <f t="shared" si="103"/>
        <v>59.756105801003123</v>
      </c>
      <c r="GC73" s="20">
        <f t="shared" si="79"/>
        <v>532.74853410341427</v>
      </c>
      <c r="GD73" s="59">
        <f t="shared" si="80"/>
        <v>826.08186743674764</v>
      </c>
      <c r="GE73" s="59">
        <f ca="1">AVERAGE(OFFSET($GD$3,0,0,'Données projet'!$E$17+1,1))-AVERAGE(OFFSET($H$3,0,0,'Données projet'!$E$17+1,1))</f>
        <v>486.55344536255876</v>
      </c>
      <c r="GF73" s="59">
        <f t="shared" si="104"/>
        <v>231.14794884432229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7.4652659027440214</v>
      </c>
      <c r="GM73" s="21">
        <f>EXP(-LN(2)/25)*GM72+(1-EXP(-LN(2)/25))/(LN(2)/25)*Calculateur!GH73*Calculateur!GJ73*VLOOKUP('Données projet'!$B$17,Paramètres!$A$1:$I$89,3,0)*0.475*44/12</f>
        <v>30.267840070294611</v>
      </c>
      <c r="GN73" s="21">
        <f>EXP(-LN(2)/2)*GN72+(1-EXP(-LN(2)/2))/(LN(2)/2)*GH73*GK73*VLOOKUP('Données projet'!$B$17,Paramètres!$A$1:$I$89,3,0)*0.475*44/12</f>
        <v>1.2798880855501029</v>
      </c>
      <c r="GO73" s="21">
        <f t="shared" si="81"/>
        <v>39.012994058588738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373.70838639642767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15.341111111111111</v>
      </c>
      <c r="N74" s="13">
        <f>IF('Données projet'!$A$36&gt;35,N73+M74-V73,IF(A74&lt;'Données projet'!$A$36,$K$205^A74,IF(A74='Données projet'!$A$36,'Données projet'!$B$36,N73+M74-V73)))</f>
        <v>428.00555555555553</v>
      </c>
      <c r="O74" s="13">
        <f>N74*VLOOKUP('Données projet'!$B$9,Paramètres!$A$1:$I$89,3,0)*VLOOKUP('Données projet'!$B$9,Paramètres!$A$1:$I$89,5,0)</f>
        <v>200.3066</v>
      </c>
      <c r="P74" s="13">
        <f t="shared" si="87"/>
        <v>49.811543117142179</v>
      </c>
      <c r="Q74" s="20">
        <f t="shared" si="54"/>
        <v>435.6224325956893</v>
      </c>
      <c r="R74" s="59">
        <f t="shared" si="55"/>
        <v>728.95576592902262</v>
      </c>
      <c r="S74" s="59">
        <f ca="1">AVERAGE(OFFSET($R$3,0,0,'Données projet'!$E$9+1,1))-AVERAGE(OFFSET($H$3,0,0,'Données projet'!$E$9+1,1))</f>
        <v>252.08270526008477</v>
      </c>
      <c r="T74" s="59">
        <f t="shared" si="88"/>
        <v>239.77811108960179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50.27351175799182</v>
      </c>
      <c r="AA74" s="21">
        <f>EXP(-LN(2)/25)*AA73+(1-EXP(-LN(2)/25))/(LN(2)/25)*Calculateur!V74*Calculateur!X74*VLOOKUP('Données projet'!$B$9,Paramètres!$A$1:$I$89,3,0)*0.475*44/12</f>
        <v>19.602050860619876</v>
      </c>
      <c r="AB74" s="21">
        <f>EXP(-LN(2)/2)*AB73+(1-EXP(-LN(2)/2))/(LN(2)/2)*V74*Y74*VLOOKUP('Données projet'!$B$9,Paramètres!$A$1:$I$89,3,0)*0.475*44/12</f>
        <v>1.7779851070040844</v>
      </c>
      <c r="AC74" s="22">
        <f t="shared" si="57"/>
        <v>71.65354772561578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251.64326096359997</v>
      </c>
      <c r="AO74" s="59">
        <f t="shared" si="90"/>
        <v>256.72142151189894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111.6853530932722</v>
      </c>
      <c r="AV74" s="21">
        <f>EXP(-LN(2)/25)*AV73+(1-EXP(-LN(2)/25))/(LN(2)/25)*Calculateur!AQ74*Calculateur!AS74*VLOOKUP('Données projet'!$B$10,Paramètres!$A$1:$I$89,3,0)*0.475*44/12</f>
        <v>35.707182104445032</v>
      </c>
      <c r="AW74" s="21">
        <f>EXP(-LN(2)/2)*AW73+(1-EXP(-LN(2)/2))/(LN(2)/2)*AQ74*AT74*VLOOKUP('Données projet'!$B$10,Paramètres!$A$1:$I$89,3,0)*0.475*44/12</f>
        <v>1.3249732134413326</v>
      </c>
      <c r="AX74" s="21">
        <f t="shared" si="60"/>
        <v>148.71750841115855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199.29783428981898</v>
      </c>
      <c r="BJ74" s="59">
        <f t="shared" si="92"/>
        <v>237.32002274562547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4.6367320867552317</v>
      </c>
      <c r="BQ74" s="21">
        <f>EXP(-LN(2)/25)*BQ73+(1-EXP(-LN(2)/25))/(LN(2)/25)*Calculateur!BL74*Calculateur!BN74*VLOOKUP('Données projet'!$B$11,Paramètres!$A$1:$I$89,3,0)*0.475*44/12</f>
        <v>21.528862156411261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26.165594243166492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9.65625</v>
      </c>
      <c r="BY74" s="12">
        <f>IF('Données projet'!$A$114&gt;35,BY73+BX74-CG73,IF(A74&lt;'Données projet'!$A$114,$BV$205^A74,IF(A74='Données projet'!$A$114,'Données projet'!$B$114,BY73+BX74-CG73)))</f>
        <v>235.13499999999996</v>
      </c>
      <c r="BZ74" s="13">
        <f>BY74*VLOOKUP('Données projet'!$B$12,Paramètres!$A$1:$I$89,3,0)*VLOOKUP('Données projet'!$B$12,Paramètres!$A$1:$I$89,5,0)</f>
        <v>198.07772399999999</v>
      </c>
      <c r="CA74" s="13">
        <f t="shared" si="93"/>
        <v>49.321472476951456</v>
      </c>
      <c r="CB74" s="20">
        <f t="shared" si="64"/>
        <v>430.88693386402377</v>
      </c>
      <c r="CC74" s="59">
        <f t="shared" si="65"/>
        <v>724.22026719735709</v>
      </c>
      <c r="CD74" s="59">
        <f ca="1">AVERAGE(OFFSET($CC$3,0,0,'Données projet'!$E$12+1,1))-AVERAGE(OFFSET($H$3,0,0,'Données projet'!$E$12+1,1))</f>
        <v>295.59075210589327</v>
      </c>
      <c r="CE74" s="59">
        <f t="shared" si="94"/>
        <v>210.41181542059576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14.401023564141646</v>
      </c>
      <c r="CL74" s="21">
        <f>EXP(-LN(2)/25)*CL73+(1-EXP(-LN(2)/25))/(LN(2)/25)*Calculateur!CG74*Calculateur!CI74*VLOOKUP('Données projet'!$B$12,Paramètres!$A$1:$I$89,3,0)*0.475*44/12</f>
        <v>23.137338455848695</v>
      </c>
      <c r="CM74" s="21">
        <f>EXP(-LN(2)/2)*CM73+(1-EXP(-LN(2)/2))/(LN(2)/2)*CG74*CJ74*VLOOKUP('Données projet'!$B$12,Paramètres!$A$1:$I$89,3,0)*0.475*44/12</f>
        <v>0.90322744189884363</v>
      </c>
      <c r="CN74" s="22">
        <f t="shared" si="66"/>
        <v>38.441589461889187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15.8</v>
      </c>
      <c r="CT74" s="12">
        <f>IF('Données projet'!$A$140&gt;35,CT73+CS74-DB73,IF(A74&lt;'Données projet'!$A$140,$CQ$205^A74,IF(A74='Données projet'!$A$140,'Données projet'!$B$140,CT73+CS74-DB73)))</f>
        <v>682.80000000000018</v>
      </c>
      <c r="CU74" s="17">
        <f>CT74*VLOOKUP('Données projet'!$B$13,Paramètres!$A$1:$I$89,3,0)*VLOOKUP('Données projet'!$B$13,Paramètres!$A$1:$I$89,5,0)</f>
        <v>310.67400000000009</v>
      </c>
      <c r="CV74" s="13">
        <f t="shared" si="95"/>
        <v>73.409570400865704</v>
      </c>
      <c r="CW74" s="20">
        <f t="shared" si="67"/>
        <v>668.94555178150802</v>
      </c>
      <c r="CX74" s="59">
        <f t="shared" si="68"/>
        <v>962.27888511484139</v>
      </c>
      <c r="CY74" s="59">
        <f ca="1">AVERAGE(OFFSET($CX$3,0,0,'Données projet'!$E$13+1,1))-AVERAGE(OFFSET($H$3,0,0,'Données projet'!$E$13+1,1))</f>
        <v>338.22448697444298</v>
      </c>
      <c r="CZ74" s="59">
        <f t="shared" si="96"/>
        <v>293.3872365640849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60.218157446674773</v>
      </c>
      <c r="DG74" s="21">
        <f>EXP(-LN(2)/25)*DG73+(1-EXP(-LN(2)/25))/(LN(2)/25)*Calculateur!DB74*Calculateur!DD74*VLOOKUP('Données projet'!$B$13,Paramètres!$A$1:$I$89,3,0)*0.475*44/12</f>
        <v>25.945215947194107</v>
      </c>
      <c r="DH74" s="21">
        <f>EXP(-LN(2)/2)*DH73+(1-EXP(-LN(2)/2))/(LN(2)/2)*DB74*DE74*VLOOKUP('Données projet'!$B$13,Paramètres!$A$1:$I$89,3,0)*0.475*44/12</f>
        <v>4.0471061220527798</v>
      </c>
      <c r="DI74" s="22">
        <f t="shared" si="69"/>
        <v>90.210479515921662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5.6843418860808015E-13</v>
      </c>
      <c r="DP74" s="17">
        <f>DO74*VLOOKUP('Données projet'!$B$14,Paramètres!$A$1:$I$89,3,0)*VLOOKUP('Données projet'!$B$14,Paramètres!$A$1:$I$89,5,0)</f>
        <v>3.177547114319168E-13</v>
      </c>
      <c r="DQ74" s="13">
        <f t="shared" si="97"/>
        <v>4.1725404435445377E-12</v>
      </c>
      <c r="DR74" s="20">
        <f t="shared" si="70"/>
        <v>7.820597394917325E-12</v>
      </c>
      <c r="DS74" s="59">
        <f t="shared" si="71"/>
        <v>293.33333333334116</v>
      </c>
      <c r="DT74" s="59">
        <f ca="1">AVERAGE(OFFSET($DS$3,0,0,'Données projet'!$E$14+1,1))-AVERAGE(OFFSET($H$3,0,0,'Données projet'!$E$14+1,1))</f>
        <v>328.15217666639006</v>
      </c>
      <c r="DU74" s="59">
        <f t="shared" si="98"/>
        <v>305.59175773326308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226.22387612634267</v>
      </c>
      <c r="EB74" s="21">
        <f>EXP(-LN(2)/25)*EB73+(1-EXP(-LN(2)/25))/(LN(2)/25)*Calculateur!DW74*Calculateur!DY74*VLOOKUP('Données projet'!$B$14,Paramètres!$A$1:$I$89,3,0)*0.475*44/12</f>
        <v>74.658411587611297</v>
      </c>
      <c r="EC74" s="21">
        <f>EXP(-LN(2)/2)*EC73+(1-EXP(-LN(2)/2))/(LN(2)/2)*DW74*DZ74*VLOOKUP('Données projet'!$B$14,Paramètres!$A$1:$I$89,3,0)*0.475*44/12</f>
        <v>53.390468265711704</v>
      </c>
      <c r="ED74" s="22">
        <f t="shared" si="72"/>
        <v>354.2727559796657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159.78276497127206</v>
      </c>
      <c r="EP74" s="59">
        <f t="shared" si="100"/>
        <v>190.72163407919857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5.3855376708806473</v>
      </c>
      <c r="EW74" s="21">
        <f>EXP(-LN(2)/25)*EW73+(1-EXP(-LN(2)/25))/(LN(2)/25)*Calculateur!ER74*Calculateur!ET74*VLOOKUP('Données projet'!$B$15,Paramètres!$A$1:$I$89,3,0)*0.475*44/12</f>
        <v>25.005649665578826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30.391187336459474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10.812222222222223</v>
      </c>
      <c r="FE74" s="12">
        <f>IF('Données projet'!$A$218&gt;35,FE73+FD74-FM73,IF(A74&lt;'Données projet'!$A$218,$FB$205^A74,IF(A74='Données projet'!$A$218,'Données projet'!$B$218,FE73+FD74-FM73)))</f>
        <v>231.56111111111153</v>
      </c>
      <c r="FF74" s="17">
        <f>FE74*VLOOKUP('Données projet'!$B$16,Paramètres!$A$1:$I$89,3,0)*VLOOKUP('Données projet'!$B$16,Paramètres!$A$1:$I$89,5,0)</f>
        <v>198.67943333333372</v>
      </c>
      <c r="FG74" s="13">
        <f t="shared" si="101"/>
        <v>49.453835339239951</v>
      </c>
      <c r="FH74" s="20">
        <f t="shared" si="76"/>
        <v>432.16544293806578</v>
      </c>
      <c r="FI74" s="59">
        <f t="shared" si="77"/>
        <v>725.49877627139904</v>
      </c>
      <c r="FJ74" s="59">
        <f ca="1">AVERAGE(OFFSET($FI$3,0,0,'Données projet'!$E$16+1,1))-AVERAGE(OFFSET($H$3,0,0,'Données projet'!$E$16+1,1))</f>
        <v>337.15023592377008</v>
      </c>
      <c r="FK74" s="59">
        <f t="shared" si="102"/>
        <v>286.60608582587099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41.916902730000473</v>
      </c>
      <c r="FS74" s="21">
        <f>EXP(-LN(2)/2)*FS73+(1-EXP(-LN(2)/2))/(LN(2)/2)*FM74*FP74*VLOOKUP('Données projet'!$B$16,Paramètres!$A$1:$I$89,3,0)*0.475*44/12</f>
        <v>5.9865069400345972</v>
      </c>
      <c r="FT74" s="22">
        <f t="shared" si="78"/>
        <v>47.903409670035067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9.733749999999997</v>
      </c>
      <c r="FZ74" s="12">
        <f>IF('Données projet'!$A$244&gt;35,FZ73+FY74-GH73,IF(A74&lt;'Données projet'!$A$244,$FW$205^A74,IF(A74='Données projet'!$A$244,'Données projet'!$B$244,FZ73+FY74-GH73)))</f>
        <v>281.7587500000003</v>
      </c>
      <c r="GA74" s="17">
        <f>FZ74*VLOOKUP('Données projet'!$B$17,Paramètres!$A$1:$I$89,3,0)*VLOOKUP('Données projet'!$B$17,Paramètres!$A$1:$I$89,5,0)</f>
        <v>254.93531700000028</v>
      </c>
      <c r="GB74" s="13">
        <f t="shared" si="103"/>
        <v>61.641559307209917</v>
      </c>
      <c r="GC74" s="20">
        <f t="shared" si="79"/>
        <v>551.37139290172445</v>
      </c>
      <c r="GD74" s="59">
        <f t="shared" si="80"/>
        <v>844.70472623505771</v>
      </c>
      <c r="GE74" s="59">
        <f ca="1">AVERAGE(OFFSET($GD$3,0,0,'Données projet'!$E$17+1,1))-AVERAGE(OFFSET($H$3,0,0,'Données projet'!$E$17+1,1))</f>
        <v>486.55344536255876</v>
      </c>
      <c r="GF74" s="59">
        <f t="shared" si="104"/>
        <v>231.14794884432229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7.3188765917538046</v>
      </c>
      <c r="GM74" s="21">
        <f>EXP(-LN(2)/25)*GM73+(1-EXP(-LN(2)/25))/(LN(2)/25)*Calculateur!GH74*Calculateur!GJ74*VLOOKUP('Données projet'!$B$17,Paramètres!$A$1:$I$89,3,0)*0.475*44/12</f>
        <v>29.440164391855873</v>
      </c>
      <c r="GN74" s="21">
        <f>EXP(-LN(2)/2)*GN73+(1-EXP(-LN(2)/2))/(LN(2)/2)*GH74*GK74*VLOOKUP('Données projet'!$B$17,Paramètres!$A$1:$I$89,3,0)*0.475*44/12</f>
        <v>0.90501754445234595</v>
      </c>
      <c r="GO74" s="21">
        <f t="shared" si="81"/>
        <v>37.664058528062029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375.31335280900663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15.341111111111111</v>
      </c>
      <c r="N75" s="13">
        <f>IF('Données projet'!$A$36&gt;35,N74+M75-V74,IF(A75&lt;'Données projet'!$A$36,$K$205^A75,IF(A75='Données projet'!$A$36,'Données projet'!$B$36,N74+M75-V74)))</f>
        <v>443.34666666666664</v>
      </c>
      <c r="O75" s="13">
        <f>N75*VLOOKUP('Données projet'!$B$9,Paramètres!$A$1:$I$89,3,0)*VLOOKUP('Données projet'!$B$9,Paramètres!$A$1:$I$89,5,0)</f>
        <v>207.48623999999998</v>
      </c>
      <c r="P75" s="13">
        <f t="shared" si="87"/>
        <v>51.385881482437711</v>
      </c>
      <c r="Q75" s="20">
        <f t="shared" si="54"/>
        <v>450.86894491524566</v>
      </c>
      <c r="R75" s="59">
        <f t="shared" si="55"/>
        <v>744.20227824857898</v>
      </c>
      <c r="S75" s="59">
        <f ca="1">AVERAGE(OFFSET($R$3,0,0,'Données projet'!$E$9+1,1))-AVERAGE(OFFSET($H$3,0,0,'Données projet'!$E$9+1,1))</f>
        <v>252.08270526008477</v>
      </c>
      <c r="T75" s="59">
        <f t="shared" si="88"/>
        <v>239.77811108960179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49.28767885623197</v>
      </c>
      <c r="AA75" s="21">
        <f>EXP(-LN(2)/25)*AA74+(1-EXP(-LN(2)/25))/(LN(2)/25)*Calculateur!V75*Calculateur!X75*VLOOKUP('Données projet'!$B$9,Paramètres!$A$1:$I$89,3,0)*0.475*44/12</f>
        <v>19.066031749009174</v>
      </c>
      <c r="AB75" s="21">
        <f>EXP(-LN(2)/2)*AB74+(1-EXP(-LN(2)/2))/(LN(2)/2)*V75*Y75*VLOOKUP('Données projet'!$B$9,Paramètres!$A$1:$I$89,3,0)*0.475*44/12</f>
        <v>1.2572253260112776</v>
      </c>
      <c r="AC75" s="22">
        <f t="shared" si="57"/>
        <v>69.610935931252428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251.64326096359997</v>
      </c>
      <c r="AO75" s="59">
        <f t="shared" si="90"/>
        <v>256.72142151189894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109.4952714404521</v>
      </c>
      <c r="AV75" s="21">
        <f>EXP(-LN(2)/25)*AV74+(1-EXP(-LN(2)/25))/(LN(2)/25)*Calculateur!AQ75*Calculateur!AS75*VLOOKUP('Données projet'!$B$10,Paramètres!$A$1:$I$89,3,0)*0.475*44/12</f>
        <v>34.730767332039882</v>
      </c>
      <c r="AW75" s="21">
        <f>EXP(-LN(2)/2)*AW74+(1-EXP(-LN(2)/2))/(LN(2)/2)*AQ75*AT75*VLOOKUP('Données projet'!$B$10,Paramètres!$A$1:$I$89,3,0)*0.475*44/12</f>
        <v>0.93689754411489712</v>
      </c>
      <c r="AX75" s="21">
        <f t="shared" si="60"/>
        <v>145.16293631660687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199.29783428981898</v>
      </c>
      <c r="BJ75" s="59">
        <f t="shared" si="92"/>
        <v>237.32002274562547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4.5458085986612806</v>
      </c>
      <c r="BQ75" s="21">
        <f>EXP(-LN(2)/25)*BQ74+(1-EXP(-LN(2)/25))/(LN(2)/25)*Calculateur!BL75*Calculateur!BN75*VLOOKUP('Données projet'!$B$11,Paramètres!$A$1:$I$89,3,0)*0.475*44/12</f>
        <v>20.940154288590538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25.485962887251819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9.65625</v>
      </c>
      <c r="BY75" s="12">
        <f>IF('Données projet'!$A$114&gt;35,BY74+BX75-CG74,IF(A75&lt;'Données projet'!$A$114,$BV$205^A75,IF(A75='Données projet'!$A$114,'Données projet'!$B$114,BY74+BX75-CG74)))</f>
        <v>244.79124999999996</v>
      </c>
      <c r="BZ75" s="13">
        <f>BY75*VLOOKUP('Données projet'!$B$12,Paramètres!$A$1:$I$89,3,0)*VLOOKUP('Données projet'!$B$12,Paramètres!$A$1:$I$89,5,0)</f>
        <v>206.21214900000001</v>
      </c>
      <c r="CA75" s="13">
        <f t="shared" si="93"/>
        <v>51.106970122706436</v>
      </c>
      <c r="CB75" s="20">
        <f t="shared" si="64"/>
        <v>448.16413247204702</v>
      </c>
      <c r="CC75" s="59">
        <f t="shared" si="65"/>
        <v>741.49746580538033</v>
      </c>
      <c r="CD75" s="59">
        <f ca="1">AVERAGE(OFFSET($CC$3,0,0,'Données projet'!$E$12+1,1))-AVERAGE(OFFSET($H$3,0,0,'Données projet'!$E$12+1,1))</f>
        <v>295.59075210589327</v>
      </c>
      <c r="CE75" s="59">
        <f t="shared" si="94"/>
        <v>210.41181542059576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14.118628275805879</v>
      </c>
      <c r="CL75" s="21">
        <f>EXP(-LN(2)/25)*CL74+(1-EXP(-LN(2)/25))/(LN(2)/25)*Calculateur!CG75*Calculateur!CI75*VLOOKUP('Données projet'!$B$12,Paramètres!$A$1:$I$89,3,0)*0.475*44/12</f>
        <v>22.504646719033765</v>
      </c>
      <c r="CM75" s="21">
        <f>EXP(-LN(2)/2)*CM74+(1-EXP(-LN(2)/2))/(LN(2)/2)*CG75*CJ75*VLOOKUP('Données projet'!$B$12,Paramètres!$A$1:$I$89,3,0)*0.475*44/12</f>
        <v>0.63867824912045068</v>
      </c>
      <c r="CN75" s="22">
        <f t="shared" si="66"/>
        <v>37.2619532439601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15.8</v>
      </c>
      <c r="CT75" s="12">
        <f>IF('Données projet'!$A$140&gt;35,CT74+CS75-DB74,IF(A75&lt;'Données projet'!$A$140,$CQ$205^A75,IF(A75='Données projet'!$A$140,'Données projet'!$B$140,CT74+CS75-DB74)))</f>
        <v>698.60000000000014</v>
      </c>
      <c r="CU75" s="17">
        <f>CT75*VLOOKUP('Données projet'!$B$13,Paramètres!$A$1:$I$89,3,0)*VLOOKUP('Données projet'!$B$13,Paramètres!$A$1:$I$89,5,0)</f>
        <v>317.86300000000006</v>
      </c>
      <c r="CV75" s="13">
        <f t="shared" si="95"/>
        <v>74.908536003319654</v>
      </c>
      <c r="CW75" s="20">
        <f t="shared" si="67"/>
        <v>684.07709187244848</v>
      </c>
      <c r="CX75" s="59">
        <f t="shared" si="68"/>
        <v>977.41042520578185</v>
      </c>
      <c r="CY75" s="59">
        <f ca="1">AVERAGE(OFFSET($CX$3,0,0,'Données projet'!$E$13+1,1))-AVERAGE(OFFSET($H$3,0,0,'Données projet'!$E$13+1,1))</f>
        <v>338.22448697444298</v>
      </c>
      <c r="CZ75" s="59">
        <f t="shared" si="96"/>
        <v>293.3872365640849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59.037316108594794</v>
      </c>
      <c r="DG75" s="21">
        <f>EXP(-LN(2)/25)*DG74+(1-EXP(-LN(2)/25))/(LN(2)/25)*Calculateur!DB75*Calculateur!DD75*VLOOKUP('Données projet'!$B$13,Paramètres!$A$1:$I$89,3,0)*0.475*44/12</f>
        <v>25.235742652718475</v>
      </c>
      <c r="DH75" s="21">
        <f>EXP(-LN(2)/2)*DH74+(1-EXP(-LN(2)/2))/(LN(2)/2)*DB75*DE75*VLOOKUP('Données projet'!$B$13,Paramètres!$A$1:$I$89,3,0)*0.475*44/12</f>
        <v>2.861736183085112</v>
      </c>
      <c r="DI75" s="22">
        <f t="shared" si="69"/>
        <v>87.134794944398379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5.6843418860808015E-13</v>
      </c>
      <c r="DP75" s="17">
        <f>DO75*VLOOKUP('Données projet'!$B$14,Paramètres!$A$1:$I$89,3,0)*VLOOKUP('Données projet'!$B$14,Paramètres!$A$1:$I$89,5,0)</f>
        <v>3.177547114319168E-13</v>
      </c>
      <c r="DQ75" s="13">
        <f t="shared" si="97"/>
        <v>4.1725404435445377E-12</v>
      </c>
      <c r="DR75" s="20">
        <f t="shared" si="70"/>
        <v>7.820597394917325E-12</v>
      </c>
      <c r="DS75" s="59">
        <f t="shared" si="71"/>
        <v>293.33333333334116</v>
      </c>
      <c r="DT75" s="59">
        <f ca="1">AVERAGE(OFFSET($DS$3,0,0,'Données projet'!$E$14+1,1))-AVERAGE(OFFSET($H$3,0,0,'Données projet'!$E$14+1,1))</f>
        <v>328.15217666639006</v>
      </c>
      <c r="DU75" s="59">
        <f t="shared" si="98"/>
        <v>305.59175773326308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221.78776389844484</v>
      </c>
      <c r="EB75" s="21">
        <f>EXP(-LN(2)/25)*EB74+(1-EXP(-LN(2)/25))/(LN(2)/25)*Calculateur!DW75*Calculateur!DY75*VLOOKUP('Données projet'!$B$14,Paramètres!$A$1:$I$89,3,0)*0.475*44/12</f>
        <v>72.61687339663284</v>
      </c>
      <c r="EC75" s="21">
        <f>EXP(-LN(2)/2)*EC74+(1-EXP(-LN(2)/2))/(LN(2)/2)*DW75*DZ75*VLOOKUP('Données projet'!$B$14,Paramètres!$A$1:$I$89,3,0)*0.475*44/12</f>
        <v>37.752762161409919</v>
      </c>
      <c r="ED75" s="22">
        <f t="shared" si="72"/>
        <v>332.15739945648761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159.78276497127206</v>
      </c>
      <c r="EP75" s="59">
        <f t="shared" si="100"/>
        <v>190.72163407919857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5.279930562008305</v>
      </c>
      <c r="EW75" s="21">
        <f>EXP(-LN(2)/25)*EW74+(1-EXP(-LN(2)/25))/(LN(2)/25)*Calculateur!ER75*Calculateur!ET75*VLOOKUP('Données projet'!$B$15,Paramètres!$A$1:$I$89,3,0)*0.475*44/12</f>
        <v>24.321868860483608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29.601799422491915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10.812222222222223</v>
      </c>
      <c r="FE75" s="12">
        <f>IF('Données projet'!$A$218&gt;35,FE74+FD75-FM74,IF(A75&lt;'Données projet'!$A$218,$FB$205^A75,IF(A75='Données projet'!$A$218,'Données projet'!$B$218,FE74+FD75-FM74)))</f>
        <v>242.37333333333376</v>
      </c>
      <c r="FF75" s="17">
        <f>FE75*VLOOKUP('Données projet'!$B$16,Paramètres!$A$1:$I$89,3,0)*VLOOKUP('Données projet'!$B$16,Paramètres!$A$1:$I$89,5,0)</f>
        <v>207.9563200000004</v>
      </c>
      <c r="FG75" s="13">
        <f t="shared" si="101"/>
        <v>51.488736331446248</v>
      </c>
      <c r="FH75" s="20">
        <f t="shared" si="76"/>
        <v>451.86680644393624</v>
      </c>
      <c r="FI75" s="59">
        <f t="shared" si="77"/>
        <v>745.20013977726956</v>
      </c>
      <c r="FJ75" s="59">
        <f ca="1">AVERAGE(OFFSET($FI$3,0,0,'Données projet'!$E$16+1,1))-AVERAGE(OFFSET($H$3,0,0,'Données projet'!$E$16+1,1))</f>
        <v>337.15023592377008</v>
      </c>
      <c r="FK75" s="59">
        <f t="shared" si="102"/>
        <v>286.60608582587099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40.770682820534496</v>
      </c>
      <c r="FS75" s="21">
        <f>EXP(-LN(2)/2)*FS74+(1-EXP(-LN(2)/2))/(LN(2)/2)*FM75*FP75*VLOOKUP('Données projet'!$B$16,Paramètres!$A$1:$I$89,3,0)*0.475*44/12</f>
        <v>4.2330996529187921</v>
      </c>
      <c r="FT75" s="22">
        <f t="shared" si="78"/>
        <v>45.003782473453285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9.733749999999997</v>
      </c>
      <c r="FZ75" s="12">
        <f>IF('Données projet'!$A$244&gt;35,FZ74+FY75-GH74,IF(A75&lt;'Données projet'!$A$244,$FW$205^A75,IF(A75='Données projet'!$A$244,'Données projet'!$B$244,FZ74+FY75-GH74)))</f>
        <v>291.49250000000029</v>
      </c>
      <c r="GA75" s="17">
        <f>FZ75*VLOOKUP('Données projet'!$B$17,Paramètres!$A$1:$I$89,3,0)*VLOOKUP('Données projet'!$B$17,Paramètres!$A$1:$I$89,5,0)</f>
        <v>263.74241400000022</v>
      </c>
      <c r="GB75" s="13">
        <f t="shared" si="103"/>
        <v>63.519444659628142</v>
      </c>
      <c r="GC75" s="20">
        <f t="shared" si="79"/>
        <v>569.98107049885277</v>
      </c>
      <c r="GD75" s="59">
        <f t="shared" si="80"/>
        <v>863.31440383218614</v>
      </c>
      <c r="GE75" s="59">
        <f ca="1">AVERAGE(OFFSET($GD$3,0,0,'Données projet'!$E$17+1,1))-AVERAGE(OFFSET($H$3,0,0,'Données projet'!$E$17+1,1))</f>
        <v>486.55344536255876</v>
      </c>
      <c r="GF75" s="59">
        <f t="shared" si="104"/>
        <v>231.14794884432229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7.175357885863443</v>
      </c>
      <c r="GM75" s="21">
        <f>EXP(-LN(2)/25)*GM74+(1-EXP(-LN(2)/25))/(LN(2)/25)*Calculateur!GH75*Calculateur!GJ75*VLOOKUP('Données projet'!$B$17,Paramètres!$A$1:$I$89,3,0)*0.475*44/12</f>
        <v>28.635121548369614</v>
      </c>
      <c r="GN75" s="21">
        <f>EXP(-LN(2)/2)*GN74+(1-EXP(-LN(2)/2))/(LN(2)/2)*GH75*GK75*VLOOKUP('Données projet'!$B$17,Paramètres!$A$1:$I$89,3,0)*0.475*44/12</f>
        <v>0.63994404277505157</v>
      </c>
      <c r="GO75" s="21">
        <f t="shared" si="81"/>
        <v>36.450423477008108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376.91778940341101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15.341111111111111</v>
      </c>
      <c r="N76" s="13">
        <f>IF('Données projet'!$A$36&gt;35,N75+M76-V75,IF(A76&lt;'Données projet'!$A$36,$K$205^A76,IF(A76='Données projet'!$A$36,'Données projet'!$B$36,N75+M76-V75)))</f>
        <v>458.68777777777774</v>
      </c>
      <c r="O76" s="13">
        <f>N76*VLOOKUP('Données projet'!$B$9,Paramètres!$A$1:$I$89,3,0)*VLOOKUP('Données projet'!$B$9,Paramètres!$A$1:$I$89,5,0)</f>
        <v>214.66587999999996</v>
      </c>
      <c r="P76" s="13">
        <f t="shared" si="87"/>
        <v>52.953890169081092</v>
      </c>
      <c r="Q76" s="20">
        <f t="shared" si="54"/>
        <v>466.10443304448285</v>
      </c>
      <c r="R76" s="59">
        <f t="shared" si="55"/>
        <v>759.43776637781616</v>
      </c>
      <c r="S76" s="59">
        <f ca="1">AVERAGE(OFFSET($R$3,0,0,'Données projet'!$E$9+1,1))-AVERAGE(OFFSET($H$3,0,0,'Données projet'!$E$9+1,1))</f>
        <v>252.08270526008477</v>
      </c>
      <c r="T76" s="59">
        <f t="shared" si="88"/>
        <v>239.77811108960179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48.321177536376936</v>
      </c>
      <c r="AA76" s="21">
        <f>EXP(-LN(2)/25)*AA75+(1-EXP(-LN(2)/25))/(LN(2)/25)*Calculateur!V76*Calculateur!X76*VLOOKUP('Données projet'!$B$9,Paramètres!$A$1:$I$89,3,0)*0.475*44/12</f>
        <v>18.544670108193483</v>
      </c>
      <c r="AB76" s="21">
        <f>EXP(-LN(2)/2)*AB75+(1-EXP(-LN(2)/2))/(LN(2)/2)*V76*Y76*VLOOKUP('Données projet'!$B$9,Paramètres!$A$1:$I$89,3,0)*0.475*44/12</f>
        <v>0.88899255350204243</v>
      </c>
      <c r="AC76" s="22">
        <f t="shared" si="57"/>
        <v>67.754840198072458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251.64326096359997</v>
      </c>
      <c r="AO76" s="59">
        <f t="shared" si="90"/>
        <v>256.72142151189894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107.34813595302589</v>
      </c>
      <c r="AV76" s="21">
        <f>EXP(-LN(2)/25)*AV75+(1-EXP(-LN(2)/25))/(LN(2)/25)*Calculateur!AQ76*Calculateur!AS76*VLOOKUP('Données projet'!$B$10,Paramètres!$A$1:$I$89,3,0)*0.475*44/12</f>
        <v>33.781052672933576</v>
      </c>
      <c r="AW76" s="21">
        <f>EXP(-LN(2)/2)*AW75+(1-EXP(-LN(2)/2))/(LN(2)/2)*AQ76*AT76*VLOOKUP('Données projet'!$B$10,Paramètres!$A$1:$I$89,3,0)*0.475*44/12</f>
        <v>0.66248660672066639</v>
      </c>
      <c r="AX76" s="21">
        <f t="shared" si="60"/>
        <v>141.79167523268015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199.29783428981898</v>
      </c>
      <c r="BJ76" s="59">
        <f t="shared" si="92"/>
        <v>237.32002274562547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4.4566680647109997</v>
      </c>
      <c r="BQ76" s="21">
        <f>EXP(-LN(2)/25)*BQ75+(1-EXP(-LN(2)/25))/(LN(2)/25)*Calculateur!BL76*Calculateur!BN76*VLOOKUP('Données projet'!$B$11,Paramètres!$A$1:$I$89,3,0)*0.475*44/12</f>
        <v>20.367544668374176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24.824212733085176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9.65625</v>
      </c>
      <c r="BY76" s="12">
        <f>IF('Données projet'!$A$114&gt;35,BY75+BX76-CG75,IF(A76&lt;'Données projet'!$A$114,$BV$205^A76,IF(A76='Données projet'!$A$114,'Données projet'!$B$114,BY75+BX76-CG75)))</f>
        <v>254.44749999999996</v>
      </c>
      <c r="BZ76" s="13">
        <f>BY76*VLOOKUP('Données projet'!$B$12,Paramètres!$A$1:$I$89,3,0)*VLOOKUP('Données projet'!$B$12,Paramètres!$A$1:$I$89,5,0)</f>
        <v>214.346574</v>
      </c>
      <c r="CA76" s="13">
        <f t="shared" si="93"/>
        <v>52.884286000247123</v>
      </c>
      <c r="CB76" s="20">
        <f t="shared" si="64"/>
        <v>465.42708116709701</v>
      </c>
      <c r="CC76" s="59">
        <f t="shared" si="65"/>
        <v>758.76041450043033</v>
      </c>
      <c r="CD76" s="59">
        <f ca="1">AVERAGE(OFFSET($CC$3,0,0,'Données projet'!$E$12+1,1))-AVERAGE(OFFSET($H$3,0,0,'Données projet'!$E$12+1,1))</f>
        <v>295.59075210589327</v>
      </c>
      <c r="CE76" s="59">
        <f t="shared" si="94"/>
        <v>210.41181542059576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13.841770586830258</v>
      </c>
      <c r="CL76" s="21">
        <f>EXP(-LN(2)/25)*CL75+(1-EXP(-LN(2)/25))/(LN(2)/25)*Calculateur!CG76*Calculateur!CI76*VLOOKUP('Données projet'!$B$12,Paramètres!$A$1:$I$89,3,0)*0.475*44/12</f>
        <v>21.889255971033851</v>
      </c>
      <c r="CM76" s="21">
        <f>EXP(-LN(2)/2)*CM75+(1-EXP(-LN(2)/2))/(LN(2)/2)*CG76*CJ76*VLOOKUP('Données projet'!$B$12,Paramètres!$A$1:$I$89,3,0)*0.475*44/12</f>
        <v>0.45161372094942182</v>
      </c>
      <c r="CN76" s="22">
        <f t="shared" si="66"/>
        <v>36.182640278813537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15.8</v>
      </c>
      <c r="CT76" s="12">
        <f>IF('Données projet'!$A$140&gt;35,CT75+CS76-DB75,IF(A76&lt;'Données projet'!$A$140,$CQ$205^A76,IF(A76='Données projet'!$A$140,'Données projet'!$B$140,CT75+CS76-DB75)))</f>
        <v>714.40000000000009</v>
      </c>
      <c r="CU76" s="17">
        <f>CT76*VLOOKUP('Données projet'!$B$13,Paramètres!$A$1:$I$89,3,0)*VLOOKUP('Données projet'!$B$13,Paramètres!$A$1:$I$89,5,0)</f>
        <v>325.05200000000002</v>
      </c>
      <c r="CV76" s="13">
        <f t="shared" si="95"/>
        <v>76.403560294319391</v>
      </c>
      <c r="CW76" s="20">
        <f t="shared" si="67"/>
        <v>699.20176751260624</v>
      </c>
      <c r="CX76" s="59">
        <f t="shared" si="68"/>
        <v>992.5351008459395</v>
      </c>
      <c r="CY76" s="59">
        <f ca="1">AVERAGE(OFFSET($CX$3,0,0,'Données projet'!$E$13+1,1))-AVERAGE(OFFSET($H$3,0,0,'Données projet'!$E$13+1,1))</f>
        <v>338.22448697444298</v>
      </c>
      <c r="CZ76" s="59">
        <f t="shared" si="96"/>
        <v>293.3872365640849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57.879630348912464</v>
      </c>
      <c r="DG76" s="21">
        <f>EXP(-LN(2)/25)*DG75+(1-EXP(-LN(2)/25))/(LN(2)/25)*Calculateur!DB76*Calculateur!DD76*VLOOKUP('Données projet'!$B$13,Paramètres!$A$1:$I$89,3,0)*0.475*44/12</f>
        <v>24.545669942789861</v>
      </c>
      <c r="DH76" s="21">
        <f>EXP(-LN(2)/2)*DH75+(1-EXP(-LN(2)/2))/(LN(2)/2)*DB76*DE76*VLOOKUP('Données projet'!$B$13,Paramètres!$A$1:$I$89,3,0)*0.475*44/12</f>
        <v>2.0235530610263903</v>
      </c>
      <c r="DI76" s="22">
        <f t="shared" si="69"/>
        <v>84.448853352728719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5.6843418860808015E-13</v>
      </c>
      <c r="DP76" s="17">
        <f>DO76*VLOOKUP('Données projet'!$B$14,Paramètres!$A$1:$I$89,3,0)*VLOOKUP('Données projet'!$B$14,Paramètres!$A$1:$I$89,5,0)</f>
        <v>3.177547114319168E-13</v>
      </c>
      <c r="DQ76" s="13">
        <f t="shared" si="97"/>
        <v>4.1725404435445377E-12</v>
      </c>
      <c r="DR76" s="20">
        <f t="shared" si="70"/>
        <v>7.820597394917325E-12</v>
      </c>
      <c r="DS76" s="59">
        <f t="shared" si="71"/>
        <v>293.33333333334116</v>
      </c>
      <c r="DT76" s="59">
        <f ca="1">AVERAGE(OFFSET($DS$3,0,0,'Données projet'!$E$14+1,1))-AVERAGE(OFFSET($H$3,0,0,'Données projet'!$E$14+1,1))</f>
        <v>328.15217666639006</v>
      </c>
      <c r="DU76" s="59">
        <f t="shared" si="98"/>
        <v>305.59175773326308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217.4386411255748</v>
      </c>
      <c r="EB76" s="21">
        <f>EXP(-LN(2)/25)*EB75+(1-EXP(-LN(2)/25))/(LN(2)/25)*Calculateur!DW76*Calculateur!DY76*VLOOKUP('Données projet'!$B$14,Paramètres!$A$1:$I$89,3,0)*0.475*44/12</f>
        <v>70.631161174846511</v>
      </c>
      <c r="EC76" s="21">
        <f>EXP(-LN(2)/2)*EC75+(1-EXP(-LN(2)/2))/(LN(2)/2)*DW76*DZ76*VLOOKUP('Données projet'!$B$14,Paramètres!$A$1:$I$89,3,0)*0.475*44/12</f>
        <v>26.695234132855855</v>
      </c>
      <c r="ED76" s="22">
        <f t="shared" si="72"/>
        <v>314.76503643327715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159.78276497127206</v>
      </c>
      <c r="EP76" s="59">
        <f t="shared" si="100"/>
        <v>190.72163407919857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5.1763943441269733</v>
      </c>
      <c r="EW76" s="21">
        <f>EXP(-LN(2)/25)*EW75+(1-EXP(-LN(2)/25))/(LN(2)/25)*Calculateur!ER76*Calculateur!ET76*VLOOKUP('Données projet'!$B$15,Paramètres!$A$1:$I$89,3,0)*0.475*44/12</f>
        <v>23.65678607746219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28.833180421589162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10.812222222222223</v>
      </c>
      <c r="FE76" s="12">
        <f>IF('Données projet'!$A$218&gt;35,FE75+FD76-FM75,IF(A76&lt;'Données projet'!$A$218,$FB$205^A76,IF(A76='Données projet'!$A$218,'Données projet'!$B$218,FE75+FD76-FM75)))</f>
        <v>253.18555555555599</v>
      </c>
      <c r="FF76" s="17">
        <f>FE76*VLOOKUP('Données projet'!$B$16,Paramètres!$A$1:$I$89,3,0)*VLOOKUP('Données projet'!$B$16,Paramètres!$A$1:$I$89,5,0)</f>
        <v>217.23320666666709</v>
      </c>
      <c r="FG76" s="13">
        <f t="shared" si="101"/>
        <v>53.513094633173068</v>
      </c>
      <c r="FH76" s="20">
        <f t="shared" si="76"/>
        <v>471.54980809722161</v>
      </c>
      <c r="FI76" s="59">
        <f t="shared" si="77"/>
        <v>764.88314143055493</v>
      </c>
      <c r="FJ76" s="59">
        <f ca="1">AVERAGE(OFFSET($FI$3,0,0,'Données projet'!$E$16+1,1))-AVERAGE(OFFSET($H$3,0,0,'Données projet'!$E$16+1,1))</f>
        <v>337.15023592377008</v>
      </c>
      <c r="FK76" s="59">
        <f t="shared" si="102"/>
        <v>286.60608582587099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39.65580635476995</v>
      </c>
      <c r="FS76" s="21">
        <f>EXP(-LN(2)/2)*FS75+(1-EXP(-LN(2)/2))/(LN(2)/2)*FM76*FP76*VLOOKUP('Données projet'!$B$16,Paramètres!$A$1:$I$89,3,0)*0.475*44/12</f>
        <v>2.9932534700172986</v>
      </c>
      <c r="FT76" s="22">
        <f t="shared" si="78"/>
        <v>42.649059824787251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9.733749999999997</v>
      </c>
      <c r="FZ76" s="12">
        <f>IF('Données projet'!$A$244&gt;35,FZ75+FY76-GH75,IF(A76&lt;'Données projet'!$A$244,$FW$205^A76,IF(A76='Données projet'!$A$244,'Données projet'!$B$244,FZ75+FY76-GH75)))</f>
        <v>301.22625000000028</v>
      </c>
      <c r="GA76" s="17">
        <f>FZ76*VLOOKUP('Données projet'!$B$17,Paramètres!$A$1:$I$89,3,0)*VLOOKUP('Données projet'!$B$17,Paramètres!$A$1:$I$89,5,0)</f>
        <v>272.54951100000028</v>
      </c>
      <c r="GB76" s="13">
        <f t="shared" si="103"/>
        <v>65.390043555628168</v>
      </c>
      <c r="GC76" s="20">
        <f t="shared" si="79"/>
        <v>588.57805751771946</v>
      </c>
      <c r="GD76" s="59">
        <f t="shared" si="80"/>
        <v>881.91139085105283</v>
      </c>
      <c r="GE76" s="59">
        <f ca="1">AVERAGE(OFFSET($GD$3,0,0,'Données projet'!$E$17+1,1))-AVERAGE(OFFSET($H$3,0,0,'Données projet'!$E$17+1,1))</f>
        <v>486.55344536255876</v>
      </c>
      <c r="GF76" s="59">
        <f t="shared" si="104"/>
        <v>231.14794884432229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7.0346534942578245</v>
      </c>
      <c r="GM76" s="21">
        <f>EXP(-LN(2)/25)*GM75+(1-EXP(-LN(2)/25))/(LN(2)/25)*Calculateur!GH76*Calculateur!GJ76*VLOOKUP('Données projet'!$B$17,Paramètres!$A$1:$I$89,3,0)*0.475*44/12</f>
        <v>27.852092643773851</v>
      </c>
      <c r="GN76" s="21">
        <f>EXP(-LN(2)/2)*GN75+(1-EXP(-LN(2)/2))/(LN(2)/2)*GH76*GK76*VLOOKUP('Données projet'!$B$17,Paramètres!$A$1:$I$89,3,0)*0.475*44/12</f>
        <v>0.45250877222617303</v>
      </c>
      <c r="GO76" s="21">
        <f t="shared" si="81"/>
        <v>35.33925491025785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378.52170427628317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15.341111111111111</v>
      </c>
      <c r="N77" s="13">
        <f>IF('Données projet'!$A$36&gt;35,N76+M77-V76,IF(A77&lt;'Données projet'!$A$36,$K$205^A77,IF(A77='Données projet'!$A$36,'Données projet'!$B$36,N76+M77-V76)))</f>
        <v>474.02888888888884</v>
      </c>
      <c r="O77" s="13">
        <f>N77*VLOOKUP('Données projet'!$B$9,Paramètres!$A$1:$I$89,3,0)*VLOOKUP('Données projet'!$B$9,Paramètres!$A$1:$I$89,5,0)</f>
        <v>221.84551999999999</v>
      </c>
      <c r="P77" s="13">
        <f t="shared" si="87"/>
        <v>54.515805149108424</v>
      </c>
      <c r="Q77" s="20">
        <f t="shared" si="54"/>
        <v>481.32930796803049</v>
      </c>
      <c r="R77" s="59">
        <f t="shared" si="55"/>
        <v>774.66264130136381</v>
      </c>
      <c r="S77" s="59">
        <f ca="1">AVERAGE(OFFSET($R$3,0,0,'Données projet'!$E$9+1,1))-AVERAGE(OFFSET($H$3,0,0,'Données projet'!$E$9+1,1))</f>
        <v>252.08270526008477</v>
      </c>
      <c r="T77" s="59">
        <f t="shared" si="88"/>
        <v>239.77811108960179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47.373628717896665</v>
      </c>
      <c r="AA77" s="21">
        <f>EXP(-LN(2)/25)*AA76+(1-EXP(-LN(2)/25))/(LN(2)/25)*Calculateur!V77*Calculateur!X77*VLOOKUP('Données projet'!$B$9,Paramètres!$A$1:$I$89,3,0)*0.475*44/12</f>
        <v>18.037565128863115</v>
      </c>
      <c r="AB77" s="21">
        <f>EXP(-LN(2)/2)*AB76+(1-EXP(-LN(2)/2))/(LN(2)/2)*V77*Y77*VLOOKUP('Données projet'!$B$9,Paramètres!$A$1:$I$89,3,0)*0.475*44/12</f>
        <v>0.62861266300563889</v>
      </c>
      <c r="AC77" s="22">
        <f t="shared" si="57"/>
        <v>66.039806509765413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251.64326096359997</v>
      </c>
      <c r="AO77" s="59">
        <f t="shared" si="90"/>
        <v>256.72142151189894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105.24310448288477</v>
      </c>
      <c r="AV77" s="21">
        <f>EXP(-LN(2)/25)*AV76+(1-EXP(-LN(2)/25))/(LN(2)/25)*Calculateur!AQ77*Calculateur!AS77*VLOOKUP('Données projet'!$B$10,Paramètres!$A$1:$I$89,3,0)*0.475*44/12</f>
        <v>32.857308011123855</v>
      </c>
      <c r="AW77" s="21">
        <f>EXP(-LN(2)/2)*AW76+(1-EXP(-LN(2)/2))/(LN(2)/2)*AQ77*AT77*VLOOKUP('Données projet'!$B$10,Paramètres!$A$1:$I$89,3,0)*0.475*44/12</f>
        <v>0.46844877205744867</v>
      </c>
      <c r="AX77" s="21">
        <f t="shared" si="60"/>
        <v>138.56886126606608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199.29783428981898</v>
      </c>
      <c r="BJ77" s="59">
        <f t="shared" si="92"/>
        <v>237.32002274562547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4.3692755222611268</v>
      </c>
      <c r="BQ77" s="21">
        <f>EXP(-LN(2)/25)*BQ76+(1-EXP(-LN(2)/25))/(LN(2)/25)*Calculateur!BL77*Calculateur!BN77*VLOOKUP('Données projet'!$B$11,Paramètres!$A$1:$I$89,3,0)*0.475*44/12</f>
        <v>19.810593088334862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24.179868610595989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9.65625</v>
      </c>
      <c r="BY77" s="12">
        <f>IF('Données projet'!$A$114&gt;35,BY76+BX77-CG76,IF(A77&lt;'Données projet'!$A$114,$BV$205^A77,IF(A77='Données projet'!$A$114,'Données projet'!$B$114,BY76+BX77-CG76)))</f>
        <v>264.10374999999999</v>
      </c>
      <c r="BZ77" s="13">
        <f>BY77*VLOOKUP('Données projet'!$B$12,Paramètres!$A$1:$I$89,3,0)*VLOOKUP('Données projet'!$B$12,Paramètres!$A$1:$I$89,5,0)</f>
        <v>222.48099900000003</v>
      </c>
      <c r="CA77" s="13">
        <f t="shared" si="93"/>
        <v>54.653766153090736</v>
      </c>
      <c r="CB77" s="20">
        <f t="shared" si="64"/>
        <v>482.67638264163298</v>
      </c>
      <c r="CC77" s="59">
        <f t="shared" si="65"/>
        <v>776.0097159749663</v>
      </c>
      <c r="CD77" s="59">
        <f ca="1">AVERAGE(OFFSET($CC$3,0,0,'Données projet'!$E$12+1,1))-AVERAGE(OFFSET($H$3,0,0,'Données projet'!$E$12+1,1))</f>
        <v>295.59075210589327</v>
      </c>
      <c r="CE77" s="59">
        <f t="shared" si="94"/>
        <v>210.41181542059576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13.570341908268933</v>
      </c>
      <c r="CL77" s="21">
        <f>EXP(-LN(2)/25)*CL76+(1-EXP(-LN(2)/25))/(LN(2)/25)*Calculateur!CG77*Calculateur!CI77*VLOOKUP('Données projet'!$B$12,Paramètres!$A$1:$I$89,3,0)*0.475*44/12</f>
        <v>21.290693115399986</v>
      </c>
      <c r="CM77" s="21">
        <f>EXP(-LN(2)/2)*CM76+(1-EXP(-LN(2)/2))/(LN(2)/2)*CG77*CJ77*VLOOKUP('Données projet'!$B$12,Paramètres!$A$1:$I$89,3,0)*0.475*44/12</f>
        <v>0.31933912456022534</v>
      </c>
      <c r="CN77" s="22">
        <f t="shared" si="66"/>
        <v>35.180374148229141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15.8</v>
      </c>
      <c r="CT77" s="12">
        <f>IF('Données projet'!$A$140&gt;35,CT76+CS77-DB76,IF(A77&lt;'Données projet'!$A$140,$CQ$205^A77,IF(A77='Données projet'!$A$140,'Données projet'!$B$140,CT76+CS77-DB76)))</f>
        <v>730.2</v>
      </c>
      <c r="CU77" s="17">
        <f>CT77*VLOOKUP('Données projet'!$B$13,Paramètres!$A$1:$I$89,3,0)*VLOOKUP('Données projet'!$B$13,Paramètres!$A$1:$I$89,5,0)</f>
        <v>332.24099999999999</v>
      </c>
      <c r="CV77" s="13">
        <f t="shared" si="95"/>
        <v>77.894740478922841</v>
      </c>
      <c r="CW77" s="20">
        <f t="shared" si="67"/>
        <v>714.31974800079058</v>
      </c>
      <c r="CX77" s="59">
        <f t="shared" si="68"/>
        <v>1007.653081334124</v>
      </c>
      <c r="CY77" s="59">
        <f ca="1">AVERAGE(OFFSET($CX$3,0,0,'Données projet'!$E$13+1,1))-AVERAGE(OFFSET($H$3,0,0,'Données projet'!$E$13+1,1))</f>
        <v>338.22448697444298</v>
      </c>
      <c r="CZ77" s="59">
        <f t="shared" si="96"/>
        <v>293.3872365640849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56.744646100858915</v>
      </c>
      <c r="DG77" s="21">
        <f>EXP(-LN(2)/25)*DG76+(1-EXP(-LN(2)/25))/(LN(2)/25)*Calculateur!DB77*Calculateur!DD77*VLOOKUP('Données projet'!$B$13,Paramètres!$A$1:$I$89,3,0)*0.475*44/12</f>
        <v>23.874467307403588</v>
      </c>
      <c r="DH77" s="21">
        <f>EXP(-LN(2)/2)*DH76+(1-EXP(-LN(2)/2))/(LN(2)/2)*DB77*DE77*VLOOKUP('Données projet'!$B$13,Paramètres!$A$1:$I$89,3,0)*0.475*44/12</f>
        <v>1.4308680915425562</v>
      </c>
      <c r="DI77" s="22">
        <f t="shared" si="69"/>
        <v>82.049981499805057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5.6843418860808015E-13</v>
      </c>
      <c r="DP77" s="17">
        <f>DO77*VLOOKUP('Données projet'!$B$14,Paramètres!$A$1:$I$89,3,0)*VLOOKUP('Données projet'!$B$14,Paramètres!$A$1:$I$89,5,0)</f>
        <v>3.177547114319168E-13</v>
      </c>
      <c r="DQ77" s="13">
        <f t="shared" si="97"/>
        <v>4.1725404435445377E-12</v>
      </c>
      <c r="DR77" s="20">
        <f t="shared" si="70"/>
        <v>7.820597394917325E-12</v>
      </c>
      <c r="DS77" s="59">
        <f t="shared" si="71"/>
        <v>293.33333333334116</v>
      </c>
      <c r="DT77" s="59">
        <f ca="1">AVERAGE(OFFSET($DS$3,0,0,'Données projet'!$E$14+1,1))-AVERAGE(OFFSET($H$3,0,0,'Données projet'!$E$14+1,1))</f>
        <v>328.15217666639006</v>
      </c>
      <c r="DU77" s="59">
        <f t="shared" si="98"/>
        <v>305.59175773326308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213.17480199757779</v>
      </c>
      <c r="EB77" s="21">
        <f>EXP(-LN(2)/25)*EB76+(1-EXP(-LN(2)/25))/(LN(2)/25)*Calculateur!DW77*Calculateur!DY77*VLOOKUP('Données projet'!$B$14,Paramètres!$A$1:$I$89,3,0)*0.475*44/12</f>
        <v>68.699748358188998</v>
      </c>
      <c r="EC77" s="21">
        <f>EXP(-LN(2)/2)*EC76+(1-EXP(-LN(2)/2))/(LN(2)/2)*DW77*DZ77*VLOOKUP('Données projet'!$B$14,Paramètres!$A$1:$I$89,3,0)*0.475*44/12</f>
        <v>18.876381080704963</v>
      </c>
      <c r="ED77" s="22">
        <f t="shared" si="72"/>
        <v>300.75093143647177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159.78276497127206</v>
      </c>
      <c r="EP77" s="59">
        <f t="shared" si="100"/>
        <v>190.72163407919857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5.0748884083274373</v>
      </c>
      <c r="EW77" s="21">
        <f>EXP(-LN(2)/25)*EW76+(1-EXP(-LN(2)/25))/(LN(2)/25)*Calculateur!ER77*Calculateur!ET77*VLOOKUP('Données projet'!$B$15,Paramètres!$A$1:$I$89,3,0)*0.475*44/12</f>
        <v>23.009890018117673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28.084778426445112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10.812222222222223</v>
      </c>
      <c r="FE77" s="12">
        <f>IF('Données projet'!$A$218&gt;35,FE76+FD77-FM76,IF(A77&lt;'Données projet'!$A$218,$FB$205^A77,IF(A77='Données projet'!$A$218,'Données projet'!$B$218,FE76+FD77-FM76)))</f>
        <v>263.9977777777782</v>
      </c>
      <c r="FF77" s="17">
        <f>FE77*VLOOKUP('Données projet'!$B$16,Paramètres!$A$1:$I$89,3,0)*VLOOKUP('Données projet'!$B$16,Paramètres!$A$1:$I$89,5,0)</f>
        <v>226.51009333333371</v>
      </c>
      <c r="FG77" s="13">
        <f t="shared" si="101"/>
        <v>55.527411937162135</v>
      </c>
      <c r="FH77" s="20">
        <f t="shared" si="76"/>
        <v>491.21532167944696</v>
      </c>
      <c r="FI77" s="59">
        <f t="shared" si="77"/>
        <v>784.54865501278027</v>
      </c>
      <c r="FJ77" s="59">
        <f ca="1">AVERAGE(OFFSET($FI$3,0,0,'Données projet'!$E$16+1,1))-AVERAGE(OFFSET($H$3,0,0,'Données projet'!$E$16+1,1))</f>
        <v>337.15023592377008</v>
      </c>
      <c r="FK77" s="59">
        <f t="shared" si="102"/>
        <v>286.60608582587099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38.571416244590544</v>
      </c>
      <c r="FS77" s="21">
        <f>EXP(-LN(2)/2)*FS76+(1-EXP(-LN(2)/2))/(LN(2)/2)*FM77*FP77*VLOOKUP('Données projet'!$B$16,Paramètres!$A$1:$I$89,3,0)*0.475*44/12</f>
        <v>2.116549826459396</v>
      </c>
      <c r="FT77" s="22">
        <f t="shared" si="78"/>
        <v>40.687966071049942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>
        <f>VLOOKUP(A77,'Données projet'!$A$243:$I$263,2,0)</f>
        <v>310.95999999999998</v>
      </c>
      <c r="FX77" s="12">
        <f>VLOOKUP(A77,'Données projet'!$A$243:$I$263,9,0)</f>
        <v>9.733749999999997</v>
      </c>
      <c r="FY77" s="12">
        <f t="array" ref="FY77">INDEX(FX:FX,MIN(IF(ISNUMBER(FX77:FX273),ROW(FX77:FX273),"")))</f>
        <v>9.733749999999997</v>
      </c>
      <c r="FZ77" s="12">
        <f>IF('Données projet'!$A$244&gt;35,FZ76+FY77-GH76,IF(A77&lt;'Données projet'!$A$244,$FW$205^A77,IF(A77='Données projet'!$A$244,'Données projet'!$B$244,FZ76+FY77-GH76)))</f>
        <v>310.96000000000026</v>
      </c>
      <c r="GA77" s="17">
        <f>FZ77*VLOOKUP('Données projet'!$B$17,Paramètres!$A$1:$I$89,3,0)*VLOOKUP('Données projet'!$B$17,Paramètres!$A$1:$I$89,5,0)</f>
        <v>281.35660800000022</v>
      </c>
      <c r="GB77" s="13">
        <f t="shared" si="103"/>
        <v>67.253618453644265</v>
      </c>
      <c r="GC77" s="20">
        <f t="shared" si="79"/>
        <v>607.16281107343082</v>
      </c>
      <c r="GD77" s="59">
        <f t="shared" si="80"/>
        <v>900.49614440676419</v>
      </c>
      <c r="GE77" s="59">
        <f ca="1">AVERAGE(OFFSET($GD$3,0,0,'Données projet'!$E$17+1,1))-AVERAGE(OFFSET($H$3,0,0,'Données projet'!$E$17+1,1))</f>
        <v>486.55344536255876</v>
      </c>
      <c r="GF77" s="59">
        <f t="shared" si="104"/>
        <v>231.14794884432229</v>
      </c>
      <c r="GG77" s="15">
        <f>IF(ISNA(VLOOKUP(A77,'Données projet'!$A$243:$I$263,3,0)),0,VLOOKUP(A77,'Données projet'!$A$243:$I$263,3,0))</f>
        <v>5</v>
      </c>
      <c r="GH77" s="15">
        <f>IF(ISNA(VLOOKUP(A77,'Données projet'!$A$243:$I$263,4,0)),0,VLOOKUP(A77,'Données projet'!$A$243:$I$263,4,0))</f>
        <v>51.339999999999975</v>
      </c>
      <c r="GI77" s="16">
        <f>IF(ISNA(VLOOKUP(A77,'Données projet'!$A$243:$I$263,5,0)),0%,VLOOKUP(A77,'Données projet'!$A$243:$I$263,5,0)*VLOOKUP('Données projet'!$B$17,Paramètres!$A$1:$I$89,7,0))</f>
        <v>0.15049999999999999</v>
      </c>
      <c r="GJ77" s="16">
        <f>IF(ISNA(VLOOKUP(A77,'Données projet'!$A$243:$I$263,6,0)),0%,VLOOKUP(A77,'Données projet'!$A$243:$I$263,6,0)*VLOOKUP('Données projet'!$B$17,Paramètres!$A$1:$I$89,7,0))</f>
        <v>8.6000000000000007E-2</v>
      </c>
      <c r="GK77" s="16">
        <f>IF(ISNA(VLOOKUP(A77,'Données projet'!$A$243:$I$263,7,0)),0%,VLOOKUP(A77,'Données projet'!$A$243:$I$263,7,0))</f>
        <v>0.1</v>
      </c>
      <c r="GL77" s="21">
        <f>EXP(-LN(2)/35)*GL76+(1-EXP(-LN(2)/35))/(LN(2)/35)*GH77*GI77*VLOOKUP('Données projet'!$B$17,Paramètres!$A$1:$I$89,3,0)*0.475*44/12</f>
        <v>14.625152268757301</v>
      </c>
      <c r="GM77" s="21">
        <f>EXP(-LN(2)/25)*GM76+(1-EXP(-LN(2)/25))/(LN(2)/25)*Calculateur!GH77*Calculateur!GJ77*VLOOKUP('Données projet'!$B$17,Paramètres!$A$1:$I$89,3,0)*0.475*44/12</f>
        <v>31.489340968528012</v>
      </c>
      <c r="GN77" s="21">
        <f>EXP(-LN(2)/2)*GN76+(1-EXP(-LN(2)/2))/(LN(2)/2)*GH77*GK77*VLOOKUP('Données projet'!$B$17,Paramètres!$A$1:$I$89,3,0)*0.475*44/12</f>
        <v>4.7028840054751821</v>
      </c>
      <c r="GO77" s="21">
        <f t="shared" si="81"/>
        <v>50.8173772427605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380.12510529286249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489.37</v>
      </c>
      <c r="L78" s="12">
        <f>VLOOKUP(A78,'Données projet'!$A$35:$I$55,9,0)</f>
        <v>15.341111111111111</v>
      </c>
      <c r="M78" s="12">
        <f t="array" ref="M78">INDEX(L:L,MIN(IF(ISNUMBER(L78:L274),ROW(L78:L274),"")))</f>
        <v>15.341111111111111</v>
      </c>
      <c r="N78" s="13">
        <f>IF('Données projet'!$A$36&gt;35,N77+M78-V77,IF(A78&lt;'Données projet'!$A$36,$K$205^A78,IF(A78='Données projet'!$A$36,'Données projet'!$B$36,N77+M78-V77)))</f>
        <v>489.36999999999995</v>
      </c>
      <c r="O78" s="13">
        <f>N78*VLOOKUP('Données projet'!$B$9,Paramètres!$A$1:$I$89,3,0)*VLOOKUP('Données projet'!$B$9,Paramètres!$A$1:$I$89,5,0)</f>
        <v>229.02515999999997</v>
      </c>
      <c r="P78" s="13">
        <f t="shared" si="87"/>
        <v>56.071846253835986</v>
      </c>
      <c r="Q78" s="20">
        <f t="shared" si="54"/>
        <v>496.54395255876426</v>
      </c>
      <c r="R78" s="59">
        <f t="shared" si="55"/>
        <v>789.87728589209758</v>
      </c>
      <c r="S78" s="59">
        <f ca="1">AVERAGE(OFFSET($R$3,0,0,'Données projet'!$E$9+1,1))-AVERAGE(OFFSET($H$3,0,0,'Données projet'!$E$9+1,1))</f>
        <v>252.08270526008477</v>
      </c>
      <c r="T78" s="59">
        <f t="shared" si="88"/>
        <v>239.77811108960179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89.149999999999977</v>
      </c>
      <c r="W78" s="16">
        <f>IF(ISNA(VLOOKUP(A78,'Données projet'!$A$35:$I$55,5,0)),0%,VLOOKUP(A78,'Données projet'!$A$35:$I$55,5,0)*VLOOKUP('Données projet'!$B$9,Paramètres!$A$1:$I$89,7,0))</f>
        <v>0.33</v>
      </c>
      <c r="X78" s="16">
        <f>IF(ISNA(VLOOKUP(A78,'Données projet'!$A$35:$I$55,6,0)),0%,VLOOKUP(A78,'Données projet'!$A$35:$I$55,6,0)*VLOOKUP('Données projet'!$B$9,Paramètres!$A$1:$I$89,7,0))</f>
        <v>0.11000000000000001</v>
      </c>
      <c r="Y78" s="16">
        <f>IF(ISNA(VLOOKUP(A78,'Données projet'!$A$35:$I$55,7,0)),0%,VLOOKUP(A78,'Données projet'!$A$35:$I$55,7,0))</f>
        <v>0.2</v>
      </c>
      <c r="Z78" s="21">
        <f>EXP(-LN(2)/35)*Z77+(1-EXP(-LN(2)/35))/(LN(2)/35)*V78*W78*VLOOKUP('Données projet'!$B$9,Paramètres!$A$1:$I$89,3,0)*0.475*44/12</f>
        <v>64.709232636303142</v>
      </c>
      <c r="AA78" s="21">
        <f>EXP(-LN(2)/25)*AA77+(1-EXP(-LN(2)/25))/(LN(2)/25)*Calculateur!V78*Calculateur!X78*VLOOKUP('Données projet'!$B$9,Paramètres!$A$1:$I$89,3,0)*0.475*44/12</f>
        <v>23.608546063078414</v>
      </c>
      <c r="AB78" s="21">
        <f>EXP(-LN(2)/2)*AB77+(1-EXP(-LN(2)/2))/(LN(2)/2)*V78*Y78*VLOOKUP('Données projet'!$B$9,Paramètres!$A$1:$I$89,3,0)*0.475*44/12</f>
        <v>9.8923407495227611</v>
      </c>
      <c r="AC78" s="22">
        <f t="shared" si="57"/>
        <v>98.210119448904322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251.64326096359997</v>
      </c>
      <c r="AO78" s="59">
        <f t="shared" si="90"/>
        <v>256.72142151189894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103.17935139593071</v>
      </c>
      <c r="AV78" s="21">
        <f>EXP(-LN(2)/25)*AV77+(1-EXP(-LN(2)/25))/(LN(2)/25)*Calculateur!AQ78*Calculateur!AS78*VLOOKUP('Données projet'!$B$10,Paramètres!$A$1:$I$89,3,0)*0.475*44/12</f>
        <v>31.958823195668941</v>
      </c>
      <c r="AW78" s="21">
        <f>EXP(-LN(2)/2)*AW77+(1-EXP(-LN(2)/2))/(LN(2)/2)*AQ78*AT78*VLOOKUP('Données projet'!$B$10,Paramètres!$A$1:$I$89,3,0)*0.475*44/12</f>
        <v>0.33124330336033325</v>
      </c>
      <c r="AX78" s="21">
        <f t="shared" si="60"/>
        <v>135.46941789495997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199.29783428981898</v>
      </c>
      <c r="BJ78" s="59">
        <f t="shared" si="92"/>
        <v>237.32002274562547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4.2835966942645083</v>
      </c>
      <c r="BQ78" s="21">
        <f>EXP(-LN(2)/25)*BQ77+(1-EXP(-LN(2)/25))/(LN(2)/25)*Calculateur!BL78*Calculateur!BN78*VLOOKUP('Données projet'!$B$11,Paramètres!$A$1:$I$89,3,0)*0.475*44/12</f>
        <v>19.268871378540531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23.552468072805041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273.76</v>
      </c>
      <c r="BW78" s="12">
        <f>VLOOKUP(A78,'Données projet'!$A$113:$I$133,9,0)</f>
        <v>9.65625</v>
      </c>
      <c r="BX78" s="12">
        <f t="array" ref="BX78">INDEX(BW:BW,MIN(IF(ISNUMBER(BW78:BW274),ROW(BW78:BW274),"")))</f>
        <v>9.65625</v>
      </c>
      <c r="BY78" s="12">
        <f>IF('Données projet'!$A$114&gt;35,BY77+BX78-CG77,IF(A78&lt;'Données projet'!$A$114,$BV$205^A78,IF(A78='Données projet'!$A$114,'Données projet'!$B$114,BY77+BX78-CG77)))</f>
        <v>273.76</v>
      </c>
      <c r="BZ78" s="13">
        <f>BY78*VLOOKUP('Données projet'!$B$12,Paramètres!$A$1:$I$89,3,0)*VLOOKUP('Données projet'!$B$12,Paramètres!$A$1:$I$89,5,0)</f>
        <v>230.61542399999999</v>
      </c>
      <c r="CA78" s="13">
        <f t="shared" si="93"/>
        <v>56.415729886446634</v>
      </c>
      <c r="CB78" s="20">
        <f t="shared" si="64"/>
        <v>499.91259301889454</v>
      </c>
      <c r="CC78" s="59">
        <f t="shared" si="65"/>
        <v>793.2459263522278</v>
      </c>
      <c r="CD78" s="59">
        <f ca="1">AVERAGE(OFFSET($CC$3,0,0,'Données projet'!$E$12+1,1))-AVERAGE(OFFSET($H$3,0,0,'Données projet'!$E$12+1,1))</f>
        <v>295.59075210589327</v>
      </c>
      <c r="CE78" s="59">
        <f t="shared" si="94"/>
        <v>210.41181542059576</v>
      </c>
      <c r="CF78" s="15">
        <f>IF(ISNA(VLOOKUP(A78,'Données projet'!$A$113:$I$133,3,0)),0,VLOOKUP(A78,'Données projet'!$A$113:$I$133,3,0))</f>
        <v>6</v>
      </c>
      <c r="CG78" s="15">
        <f>IF(ISNA(VLOOKUP(A78,'Données projet'!$A$113:$I$133,4,0)),0,VLOOKUP(A78,'Données projet'!$A$113:$I$133,4,0))</f>
        <v>43.519999999999982</v>
      </c>
      <c r="CH78" s="16">
        <f>IF(ISNA(VLOOKUP(A78,'Données projet'!$A$113:$I$133,5,0)),0%,VLOOKUP(A78,'Données projet'!$A$113:$I$133,5,0)*VLOOKUP('Données projet'!$B$12,Paramètres!$A$1:$I$89,7,0))</f>
        <v>0.15049999999999999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0.1</v>
      </c>
      <c r="CK78" s="21">
        <f>EXP(-LN(2)/35)*CK77+(1-EXP(-LN(2)/35))/(LN(2)/35)*CG78*CH78*VLOOKUP('Données projet'!$B$12,Paramètres!$A$1:$I$89,3,0)*0.475*44/12</f>
        <v>19.403688303516144</v>
      </c>
      <c r="CL78" s="21">
        <f>EXP(-LN(2)/25)*CL77+(1-EXP(-LN(2)/25))/(LN(2)/25)*Calculateur!CG78*Calculateur!CI78*VLOOKUP('Données projet'!$B$12,Paramètres!$A$1:$I$89,3,0)*0.475*44/12</f>
        <v>24.180176080713636</v>
      </c>
      <c r="CM78" s="21">
        <f>EXP(-LN(2)/2)*CM77+(1-EXP(-LN(2)/2))/(LN(2)/2)*CG78*CJ78*VLOOKUP('Données projet'!$B$12,Paramètres!$A$1:$I$89,3,0)*0.475*44/12</f>
        <v>3.6848942815770056</v>
      </c>
      <c r="CN78" s="22">
        <f t="shared" si="66"/>
        <v>47.268758665806793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746</v>
      </c>
      <c r="CR78" s="12">
        <f>VLOOKUP(A78,'Données projet'!$A$139:$I$159,9,0)</f>
        <v>15.8</v>
      </c>
      <c r="CS78" s="12">
        <f t="array" ref="CS78">INDEX(CR:CR,MIN(IF(ISNUMBER(CR78:CR274),ROW(CR78:CR274),"")))</f>
        <v>15.8</v>
      </c>
      <c r="CT78" s="12">
        <f>IF('Données projet'!$A$140&gt;35,CT77+CS78-DB77,IF(A78&lt;'Données projet'!$A$140,$CQ$205^A78,IF(A78='Données projet'!$A$140,'Données projet'!$B$140,CT77+CS78-DB77)))</f>
        <v>746</v>
      </c>
      <c r="CU78" s="17">
        <f>CT78*VLOOKUP('Données projet'!$B$13,Paramètres!$A$1:$I$89,3,0)*VLOOKUP('Données projet'!$B$13,Paramètres!$A$1:$I$89,5,0)</f>
        <v>339.42999999999995</v>
      </c>
      <c r="CV78" s="13">
        <f t="shared" si="95"/>
        <v>79.382169315292415</v>
      </c>
      <c r="CW78" s="20">
        <f t="shared" si="67"/>
        <v>729.43119489080084</v>
      </c>
      <c r="CX78" s="59">
        <f t="shared" si="68"/>
        <v>1022.7645282241342</v>
      </c>
      <c r="CY78" s="59">
        <f ca="1">AVERAGE(OFFSET($CX$3,0,0,'Données projet'!$E$13+1,1))-AVERAGE(OFFSET($H$3,0,0,'Données projet'!$E$13+1,1))</f>
        <v>338.22448697444298</v>
      </c>
      <c r="CZ78" s="59">
        <f t="shared" si="96"/>
        <v>293.3872365640849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43</v>
      </c>
      <c r="DC78" s="16">
        <f>IF(ISNA(VLOOKUP(A78,'Données projet'!$A$139:$I$159,5,0)),0%,VLOOKUP(A78,'Données projet'!$A$139:$I$159,5,0)*VLOOKUP('Données projet'!$B$13,Paramètres!$A$1:$I$89,7,0))</f>
        <v>0.33</v>
      </c>
      <c r="DD78" s="16">
        <f>IF(ISNA(VLOOKUP(A78,'Données projet'!$A$139:$I$159,6,0)),0%,VLOOKUP(A78,'Données projet'!$A$139:$I$159,6,0)*VLOOKUP('Données projet'!$B$13,Paramètres!$A$1:$I$89,7,0))</f>
        <v>0.11000000000000001</v>
      </c>
      <c r="DE78" s="16">
        <f>IF(ISNA(VLOOKUP(A78,'Données projet'!$A$139:$I$159,7,0)),0%,VLOOKUP(A78,'Données projet'!$A$139:$I$159,7,0))</f>
        <v>0.2</v>
      </c>
      <c r="DF78" s="21">
        <f>EXP(-LN(2)/35)*DF77+(1-EXP(-LN(2)/35))/(LN(2)/35)*DB78*DC78*VLOOKUP('Données projet'!$B$13,Paramètres!$A$1:$I$89,3,0)*0.475*44/12</f>
        <v>64.196815279960276</v>
      </c>
      <c r="DG78" s="21">
        <f>EXP(-LN(2)/25)*DG77+(1-EXP(-LN(2)/25))/(LN(2)/25)*Calculateur!DB78*Calculateur!DD78*VLOOKUP('Données projet'!$B$13,Paramètres!$A$1:$I$89,3,0)*0.475*44/12</f>
        <v>26.065343348393508</v>
      </c>
      <c r="DH78" s="21">
        <f>EXP(-LN(2)/2)*DH77+(1-EXP(-LN(2)/2))/(LN(2)/2)*DB78*DE78*VLOOKUP('Données projet'!$B$13,Paramètres!$A$1:$I$89,3,0)*0.475*44/12</f>
        <v>5.4422015107342565</v>
      </c>
      <c r="DI78" s="22">
        <f t="shared" si="69"/>
        <v>95.704360139088038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5.6843418860808015E-13</v>
      </c>
      <c r="DP78" s="17">
        <f>DO78*VLOOKUP('Données projet'!$B$14,Paramètres!$A$1:$I$89,3,0)*VLOOKUP('Données projet'!$B$14,Paramètres!$A$1:$I$89,5,0)</f>
        <v>3.177547114319168E-13</v>
      </c>
      <c r="DQ78" s="13">
        <f t="shared" si="97"/>
        <v>4.1725404435445377E-12</v>
      </c>
      <c r="DR78" s="20">
        <f t="shared" si="70"/>
        <v>7.820597394917325E-12</v>
      </c>
      <c r="DS78" s="59">
        <f t="shared" si="71"/>
        <v>293.33333333334116</v>
      </c>
      <c r="DT78" s="59">
        <f ca="1">AVERAGE(OFFSET($DS$3,0,0,'Données projet'!$E$14+1,1))-AVERAGE(OFFSET($H$3,0,0,'Données projet'!$E$14+1,1))</f>
        <v>328.15217666639006</v>
      </c>
      <c r="DU78" s="59">
        <f t="shared" si="98"/>
        <v>305.59175773326308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208.99457415419573</v>
      </c>
      <c r="EB78" s="21">
        <f>EXP(-LN(2)/25)*EB77+(1-EXP(-LN(2)/25))/(LN(2)/25)*Calculateur!DW78*Calculateur!DY78*VLOOKUP('Données projet'!$B$14,Paramètres!$A$1:$I$89,3,0)*0.475*44/12</f>
        <v>66.821150126571567</v>
      </c>
      <c r="EC78" s="21">
        <f>EXP(-LN(2)/2)*EC77+(1-EXP(-LN(2)/2))/(LN(2)/2)*DW78*DZ78*VLOOKUP('Données projet'!$B$14,Paramètres!$A$1:$I$89,3,0)*0.475*44/12</f>
        <v>13.347617066427931</v>
      </c>
      <c r="ED78" s="22">
        <f t="shared" si="72"/>
        <v>289.16334134719523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159.78276497127206</v>
      </c>
      <c r="EP78" s="59">
        <f t="shared" si="100"/>
        <v>190.72163407919857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4.9753729420164223</v>
      </c>
      <c r="EW78" s="21">
        <f>EXP(-LN(2)/25)*EW77+(1-EXP(-LN(2)/25))/(LN(2)/25)*Calculateur!ER78*Calculateur!ET78*VLOOKUP('Données projet'!$B$15,Paramètres!$A$1:$I$89,3,0)*0.475*44/12</f>
        <v>22.380683365534718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27.356056307551142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274.81</v>
      </c>
      <c r="FC78" s="12">
        <f>VLOOKUP(A78,'Données projet'!$A$217:$I$237,9,0)</f>
        <v>10.812222222222223</v>
      </c>
      <c r="FD78" s="12">
        <f t="array" ref="FD78">INDEX(FC:FC,MIN(IF(ISNUMBER(FC78:FC274),ROW(FC78:FC274),"")))</f>
        <v>10.812222222222223</v>
      </c>
      <c r="FE78" s="12">
        <f>IF('Données projet'!$A$218&gt;35,FE77+FD78-FM77,IF(A78&lt;'Données projet'!$A$218,$FB$205^A78,IF(A78='Données projet'!$A$218,'Données projet'!$B$218,FE77+FD78-FM77)))</f>
        <v>274.8100000000004</v>
      </c>
      <c r="FF78" s="17">
        <f>FE78*VLOOKUP('Données projet'!$B$16,Paramètres!$A$1:$I$89,3,0)*VLOOKUP('Données projet'!$B$16,Paramètres!$A$1:$I$89,5,0)</f>
        <v>235.78698000000037</v>
      </c>
      <c r="FG78" s="13">
        <f t="shared" si="101"/>
        <v>57.532146516353762</v>
      </c>
      <c r="FH78" s="20">
        <f t="shared" si="76"/>
        <v>510.86414534931674</v>
      </c>
      <c r="FI78" s="59">
        <f t="shared" si="77"/>
        <v>804.19747868265006</v>
      </c>
      <c r="FJ78" s="59">
        <f ca="1">AVERAGE(OFFSET($FI$3,0,0,'Données projet'!$E$16+1,1))-AVERAGE(OFFSET($H$3,0,0,'Données projet'!$E$16+1,1))</f>
        <v>337.15023592377008</v>
      </c>
      <c r="FK78" s="59">
        <f t="shared" si="102"/>
        <v>286.60608582587099</v>
      </c>
      <c r="FL78" s="15">
        <f>IF(ISNA(VLOOKUP(A78,'Données projet'!$A$217:$I$237,3,0)),0,VLOOKUP(A78,'Données projet'!$A$217:$I$237,3,0))</f>
        <v>3</v>
      </c>
      <c r="FM78" s="15">
        <f>IF(ISNA(VLOOKUP(A78,'Données projet'!$A$217:$I$237,4,0)),0,VLOOKUP(A78,'Données projet'!$A$217:$I$237,4,0))</f>
        <v>72.47999999999999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0.26500000000000001</v>
      </c>
      <c r="FP78" s="16">
        <f>IF(ISNA(VLOOKUP(A78,'Données projet'!$A$217:$I$237,7,0)),0%,VLOOKUP(A78,'Données projet'!$A$217:$I$237,7,0))</f>
        <v>0.5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55.662853999609325</v>
      </c>
      <c r="FS78" s="21">
        <f>EXP(-LN(2)/2)*FS77+(1-EXP(-LN(2)/2))/(LN(2)/2)*FM78*FP78*VLOOKUP('Données projet'!$B$16,Paramètres!$A$1:$I$89,3,0)*0.475*44/12</f>
        <v>30.834577135595428</v>
      </c>
      <c r="FT78" s="22">
        <f t="shared" si="78"/>
        <v>86.497431135204749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9.546999999999997</v>
      </c>
      <c r="FZ78" s="12">
        <f>IF('Données projet'!$A$244&gt;35,FZ77+FY78-GH77,IF(A78&lt;'Données projet'!$A$244,$FW$205^A78,IF(A78='Données projet'!$A$244,'Données projet'!$B$244,FZ77+FY78-GH77)))</f>
        <v>269.16700000000031</v>
      </c>
      <c r="GA78" s="17">
        <f>FZ78*VLOOKUP('Données projet'!$B$17,Paramètres!$A$1:$I$89,3,0)*VLOOKUP('Données projet'!$B$17,Paramètres!$A$1:$I$89,5,0)</f>
        <v>243.54230160000029</v>
      </c>
      <c r="GB78" s="13">
        <f t="shared" si="103"/>
        <v>59.201022808040776</v>
      </c>
      <c r="GC78" s="20">
        <f t="shared" si="79"/>
        <v>527.27795667733812</v>
      </c>
      <c r="GD78" s="59">
        <f t="shared" si="80"/>
        <v>820.61129001067138</v>
      </c>
      <c r="GE78" s="59">
        <f ca="1">AVERAGE(OFFSET($GD$3,0,0,'Données projet'!$E$17+1,1))-AVERAGE(OFFSET($H$3,0,0,'Données projet'!$E$17+1,1))</f>
        <v>486.55344536255876</v>
      </c>
      <c r="GF78" s="59">
        <f t="shared" si="104"/>
        <v>231.14794884432229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14.338361953229031</v>
      </c>
      <c r="GM78" s="21">
        <f>EXP(-LN(2)/25)*GM77+(1-EXP(-LN(2)/25))/(LN(2)/25)*Calculateur!GH78*Calculateur!GJ78*VLOOKUP('Données projet'!$B$17,Paramètres!$A$1:$I$89,3,0)*0.475*44/12</f>
        <v>30.628263283791142</v>
      </c>
      <c r="GN78" s="21">
        <f>EXP(-LN(2)/2)*GN77+(1-EXP(-LN(2)/2))/(LN(2)/2)*GH78*GK78*VLOOKUP('Données projet'!$B$17,Paramètres!$A$1:$I$89,3,0)*0.475*44/12</f>
        <v>3.3254411714052541</v>
      </c>
      <c r="GO78" s="21">
        <f t="shared" si="81"/>
        <v>48.292066408425427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381.72800009659437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14.483750000000001</v>
      </c>
      <c r="N79" s="13">
        <f>IF('Données projet'!$A$36&gt;35,N78+M79-V78,IF(A79&lt;'Données projet'!$A$36,$K$205^A79,IF(A79='Données projet'!$A$36,'Données projet'!$B$36,N78+M79-V78)))</f>
        <v>414.70374999999996</v>
      </c>
      <c r="O79" s="13">
        <f>N79*VLOOKUP('Données projet'!$B$9,Paramètres!$A$1:$I$89,3,0)*VLOOKUP('Données projet'!$B$9,Paramètres!$A$1:$I$89,5,0)</f>
        <v>194.08135499999997</v>
      </c>
      <c r="P79" s="13">
        <f t="shared" si="87"/>
        <v>48.44116333257324</v>
      </c>
      <c r="Q79" s="20">
        <f t="shared" si="54"/>
        <v>422.39338609589839</v>
      </c>
      <c r="R79" s="59">
        <f t="shared" si="55"/>
        <v>715.72671942923171</v>
      </c>
      <c r="S79" s="59">
        <f ca="1">AVERAGE(OFFSET($R$3,0,0,'Données projet'!$E$9+1,1))-AVERAGE(OFFSET($H$3,0,0,'Données projet'!$E$9+1,1))</f>
        <v>252.08270526008477</v>
      </c>
      <c r="T79" s="59">
        <f t="shared" si="88"/>
        <v>239.77811108960179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63.44032405303993</v>
      </c>
      <c r="AA79" s="21">
        <f>EXP(-LN(2)/25)*AA78+(1-EXP(-LN(2)/25))/(LN(2)/25)*Calculateur!V79*Calculateur!X79*VLOOKUP('Données projet'!$B$9,Paramètres!$A$1:$I$89,3,0)*0.475*44/12</f>
        <v>22.962969129464057</v>
      </c>
      <c r="AB79" s="21">
        <f>EXP(-LN(2)/2)*AB78+(1-EXP(-LN(2)/2))/(LN(2)/2)*V79*Y79*VLOOKUP('Données projet'!$B$9,Paramètres!$A$1:$I$89,3,0)*0.475*44/12</f>
        <v>6.994941225795559</v>
      </c>
      <c r="AC79" s="22">
        <f t="shared" si="57"/>
        <v>93.398234408299544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251.64326096359997</v>
      </c>
      <c r="AO79" s="59">
        <f t="shared" si="90"/>
        <v>256.72142151189894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101.15606724824673</v>
      </c>
      <c r="AV79" s="21">
        <f>EXP(-LN(2)/25)*AV78+(1-EXP(-LN(2)/25))/(LN(2)/25)*Calculateur!AQ79*Calculateur!AS79*VLOOKUP('Données projet'!$B$10,Paramètres!$A$1:$I$89,3,0)*0.475*44/12</f>
        <v>31.084907494741906</v>
      </c>
      <c r="AW79" s="21">
        <f>EXP(-LN(2)/2)*AW78+(1-EXP(-LN(2)/2))/(LN(2)/2)*AQ79*AT79*VLOOKUP('Données projet'!$B$10,Paramètres!$A$1:$I$89,3,0)*0.475*44/12</f>
        <v>0.23422438602872436</v>
      </c>
      <c r="AX79" s="21">
        <f t="shared" si="60"/>
        <v>132.47519912901737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199.29783428981898</v>
      </c>
      <c r="BJ79" s="59">
        <f t="shared" si="92"/>
        <v>237.32002274562547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4.1995979758259789</v>
      </c>
      <c r="BQ79" s="21">
        <f>EXP(-LN(2)/25)*BQ78+(1-EXP(-LN(2)/25))/(LN(2)/25)*Calculateur!BL79*Calculateur!BN79*VLOOKUP('Données projet'!$B$11,Paramètres!$A$1:$I$89,3,0)*0.475*44/12</f>
        <v>18.741963077388434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22.941561053214414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9.4837500000000006</v>
      </c>
      <c r="BY79" s="12">
        <f>IF('Données projet'!$A$114&gt;35,BY78+BX79-CG78,IF(A79&lt;'Données projet'!$A$114,$BV$205^A79,IF(A79='Données projet'!$A$114,'Données projet'!$B$114,BY78+BX79-CG78)))</f>
        <v>239.72375</v>
      </c>
      <c r="BZ79" s="13">
        <f>BY79*VLOOKUP('Données projet'!$B$12,Paramètres!$A$1:$I$89,3,0)*VLOOKUP('Données projet'!$B$12,Paramètres!$A$1:$I$89,5,0)</f>
        <v>201.94328700000003</v>
      </c>
      <c r="CA79" s="13">
        <f t="shared" si="93"/>
        <v>50.171002749526302</v>
      </c>
      <c r="CB79" s="20">
        <f t="shared" si="64"/>
        <v>439.09905464709169</v>
      </c>
      <c r="CC79" s="59">
        <f t="shared" si="65"/>
        <v>732.43238798042501</v>
      </c>
      <c r="CD79" s="59">
        <f ca="1">AVERAGE(OFFSET($CC$3,0,0,'Données projet'!$E$12+1,1))-AVERAGE(OFFSET($H$3,0,0,'Données projet'!$E$12+1,1))</f>
        <v>295.59075210589327</v>
      </c>
      <c r="CE79" s="59">
        <f t="shared" si="94"/>
        <v>210.41181542059576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19.023193810965441</v>
      </c>
      <c r="CL79" s="21">
        <f>EXP(-LN(2)/25)*CL78+(1-EXP(-LN(2)/25))/(LN(2)/25)*Calculateur!CG79*Calculateur!CI79*VLOOKUP('Données projet'!$B$12,Paramètres!$A$1:$I$89,3,0)*0.475*44/12</f>
        <v>23.518967894206327</v>
      </c>
      <c r="CM79" s="21">
        <f>EXP(-LN(2)/2)*CM78+(1-EXP(-LN(2)/2))/(LN(2)/2)*CG79*CJ79*VLOOKUP('Données projet'!$B$12,Paramètres!$A$1:$I$89,3,0)*0.475*44/12</f>
        <v>2.6056137344586321</v>
      </c>
      <c r="CN79" s="22">
        <f t="shared" si="66"/>
        <v>45.147775439630394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14.6</v>
      </c>
      <c r="CT79" s="12">
        <f>IF('Données projet'!$A$140&gt;35,CT78+CS79-DB78,IF(A79&lt;'Données projet'!$A$140,$CQ$205^A79,IF(A79='Données projet'!$A$140,'Données projet'!$B$140,CT78+CS79-DB78)))</f>
        <v>717.6</v>
      </c>
      <c r="CU79" s="17">
        <f>CT79*VLOOKUP('Données projet'!$B$13,Paramètres!$A$1:$I$89,3,0)*VLOOKUP('Données projet'!$B$13,Paramètres!$A$1:$I$89,5,0)</f>
        <v>326.50799999999998</v>
      </c>
      <c r="CV79" s="13">
        <f t="shared" si="95"/>
        <v>76.705878841344258</v>
      </c>
      <c r="CW79" s="20">
        <f t="shared" si="67"/>
        <v>702.26417231534117</v>
      </c>
      <c r="CX79" s="59">
        <f t="shared" si="68"/>
        <v>995.59750564867454</v>
      </c>
      <c r="CY79" s="59">
        <f ca="1">AVERAGE(OFFSET($CX$3,0,0,'Données projet'!$E$13+1,1))-AVERAGE(OFFSET($H$3,0,0,'Données projet'!$E$13+1,1))</f>
        <v>338.22448697444298</v>
      </c>
      <c r="CZ79" s="59">
        <f t="shared" si="96"/>
        <v>293.3872365640849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62.937954888511221</v>
      </c>
      <c r="DG79" s="21">
        <f>EXP(-LN(2)/25)*DG78+(1-EXP(-LN(2)/25))/(LN(2)/25)*Calculateur!DB79*Calculateur!DD79*VLOOKUP('Données projet'!$B$13,Paramètres!$A$1:$I$89,3,0)*0.475*44/12</f>
        <v>25.352585163814854</v>
      </c>
      <c r="DH79" s="21">
        <f>EXP(-LN(2)/2)*DH78+(1-EXP(-LN(2)/2))/(LN(2)/2)*DB79*DE79*VLOOKUP('Données projet'!$B$13,Paramètres!$A$1:$I$89,3,0)*0.475*44/12</f>
        <v>3.8482175928238664</v>
      </c>
      <c r="DI79" s="22">
        <f t="shared" si="69"/>
        <v>92.138757645149951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5.6843418860808015E-13</v>
      </c>
      <c r="DP79" s="17">
        <f>DO79*VLOOKUP('Données projet'!$B$14,Paramètres!$A$1:$I$89,3,0)*VLOOKUP('Données projet'!$B$14,Paramètres!$A$1:$I$89,5,0)</f>
        <v>3.177547114319168E-13</v>
      </c>
      <c r="DQ79" s="13">
        <f t="shared" si="97"/>
        <v>4.1725404435445377E-12</v>
      </c>
      <c r="DR79" s="20">
        <f t="shared" si="70"/>
        <v>7.820597394917325E-12</v>
      </c>
      <c r="DS79" s="59">
        <f t="shared" si="71"/>
        <v>293.33333333334116</v>
      </c>
      <c r="DT79" s="59">
        <f ca="1">AVERAGE(OFFSET($DS$3,0,0,'Données projet'!$E$14+1,1))-AVERAGE(OFFSET($H$3,0,0,'Données projet'!$E$14+1,1))</f>
        <v>328.15217666639006</v>
      </c>
      <c r="DU79" s="59">
        <f t="shared" si="98"/>
        <v>305.59175773326308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204.89631802913516</v>
      </c>
      <c r="EB79" s="21">
        <f>EXP(-LN(2)/25)*EB78+(1-EXP(-LN(2)/25))/(LN(2)/25)*Calculateur!DW79*Calculateur!DY79*VLOOKUP('Données projet'!$B$14,Paramètres!$A$1:$I$89,3,0)*0.475*44/12</f>
        <v>64.993922262388907</v>
      </c>
      <c r="EC79" s="21">
        <f>EXP(-LN(2)/2)*EC78+(1-EXP(-LN(2)/2))/(LN(2)/2)*DW79*DZ79*VLOOKUP('Données projet'!$B$14,Paramètres!$A$1:$I$89,3,0)*0.475*44/12</f>
        <v>9.4381905403524833</v>
      </c>
      <c r="ED79" s="22">
        <f t="shared" si="72"/>
        <v>279.32843083187652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159.78276497127206</v>
      </c>
      <c r="EP79" s="59">
        <f t="shared" si="100"/>
        <v>190.72163407919857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4.8778089133013252</v>
      </c>
      <c r="EW79" s="21">
        <f>EXP(-LN(2)/25)*EW78+(1-EXP(-LN(2)/25))/(LN(2)/25)*Calculateur!ER79*Calculateur!ET79*VLOOKUP('Données projet'!$B$15,Paramètres!$A$1:$I$89,3,0)*0.475*44/12</f>
        <v>21.768682401955186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26.646491315256512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10.385555555555555</v>
      </c>
      <c r="FE79" s="12">
        <f>IF('Données projet'!$A$218&gt;35,FE78+FD79-FM78,IF(A79&lt;'Données projet'!$A$218,$FB$205^A79,IF(A79='Données projet'!$A$218,'Données projet'!$B$218,FE78+FD79-FM78)))</f>
        <v>212.71555555555599</v>
      </c>
      <c r="FF79" s="17">
        <f>FE79*VLOOKUP('Données projet'!$B$16,Paramètres!$A$1:$I$89,3,0)*VLOOKUP('Données projet'!$B$16,Paramètres!$A$1:$I$89,5,0)</f>
        <v>182.50994666666705</v>
      </c>
      <c r="FG79" s="13">
        <f t="shared" si="101"/>
        <v>45.880152208372287</v>
      </c>
      <c r="FH79" s="20">
        <f t="shared" si="76"/>
        <v>397.77942220736014</v>
      </c>
      <c r="FI79" s="59">
        <f t="shared" si="77"/>
        <v>691.11275554069346</v>
      </c>
      <c r="FJ79" s="59">
        <f ca="1">AVERAGE(OFFSET($FI$3,0,0,'Données projet'!$E$16+1,1))-AVERAGE(OFFSET($H$3,0,0,'Données projet'!$E$16+1,1))</f>
        <v>337.15023592377008</v>
      </c>
      <c r="FK79" s="59">
        <f t="shared" si="102"/>
        <v>286.60608582587099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54.140750329807737</v>
      </c>
      <c r="FS79" s="21">
        <f>EXP(-LN(2)/2)*FS78+(1-EXP(-LN(2)/2))/(LN(2)/2)*FM79*FP79*VLOOKUP('Données projet'!$B$16,Paramètres!$A$1:$I$89,3,0)*0.475*44/12</f>
        <v>21.8033385875992</v>
      </c>
      <c r="FT79" s="22">
        <f t="shared" si="78"/>
        <v>75.94408891740693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9.546999999999997</v>
      </c>
      <c r="FZ79" s="12">
        <f>IF('Données projet'!$A$244&gt;35,FZ78+FY79-GH78,IF(A79&lt;'Données projet'!$A$244,$FW$205^A79,IF(A79='Données projet'!$A$244,'Données projet'!$B$244,FZ78+FY79-GH78)))</f>
        <v>278.71400000000028</v>
      </c>
      <c r="GA79" s="17">
        <f>FZ79*VLOOKUP('Données projet'!$B$17,Paramètres!$A$1:$I$89,3,0)*VLOOKUP('Données projet'!$B$17,Paramètres!$A$1:$I$89,5,0)</f>
        <v>252.18042720000025</v>
      </c>
      <c r="GB79" s="13">
        <f t="shared" si="103"/>
        <v>61.052610283141384</v>
      </c>
      <c r="GC79" s="20">
        <f t="shared" si="79"/>
        <v>545.54754028313835</v>
      </c>
      <c r="GD79" s="59">
        <f t="shared" si="80"/>
        <v>838.88087361647172</v>
      </c>
      <c r="GE79" s="59">
        <f ca="1">AVERAGE(OFFSET($GD$3,0,0,'Données projet'!$E$17+1,1))-AVERAGE(OFFSET($H$3,0,0,'Données projet'!$E$17+1,1))</f>
        <v>486.55344536255876</v>
      </c>
      <c r="GF79" s="59">
        <f t="shared" si="104"/>
        <v>231.14794884432229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14.057195420863451</v>
      </c>
      <c r="GM79" s="21">
        <f>EXP(-LN(2)/25)*GM78+(1-EXP(-LN(2)/25))/(LN(2)/25)*Calculateur!GH79*Calculateur!GJ79*VLOOKUP('Données projet'!$B$17,Paramètres!$A$1:$I$89,3,0)*0.475*44/12</f>
        <v>29.790731813625509</v>
      </c>
      <c r="GN79" s="21">
        <f>EXP(-LN(2)/2)*GN78+(1-EXP(-LN(2)/2))/(LN(2)/2)*GH79*GK79*VLOOKUP('Données projet'!$B$17,Paramètres!$A$1:$I$89,3,0)*0.475*44/12</f>
        <v>2.3514420027375915</v>
      </c>
      <c r="GO79" s="21">
        <f t="shared" si="81"/>
        <v>46.199369237226556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383.33039611821886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14.483750000000001</v>
      </c>
      <c r="N80" s="13">
        <f>IF('Données projet'!$A$36&gt;35,N79+M80-V79,IF(A80&lt;'Données projet'!$A$36,$K$205^A80,IF(A80='Données projet'!$A$36,'Données projet'!$B$36,N79+M80-V79)))</f>
        <v>429.18749999999994</v>
      </c>
      <c r="O80" s="13">
        <f>N80*VLOOKUP('Données projet'!$B$9,Paramètres!$A$1:$I$89,3,0)*VLOOKUP('Données projet'!$B$9,Paramètres!$A$1:$I$89,5,0)</f>
        <v>200.85974999999996</v>
      </c>
      <c r="P80" s="13">
        <f t="shared" si="87"/>
        <v>49.93306755665192</v>
      </c>
      <c r="Q80" s="20">
        <f t="shared" si="54"/>
        <v>436.79749057783533</v>
      </c>
      <c r="R80" s="59">
        <f t="shared" si="55"/>
        <v>730.13082391116859</v>
      </c>
      <c r="S80" s="59">
        <f ca="1">AVERAGE(OFFSET($R$3,0,0,'Données projet'!$E$9+1,1))-AVERAGE(OFFSET($H$3,0,0,'Données projet'!$E$9+1,1))</f>
        <v>252.08270526008477</v>
      </c>
      <c r="T80" s="59">
        <f t="shared" si="88"/>
        <v>239.77811108960179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62.196297993136696</v>
      </c>
      <c r="AA80" s="21">
        <f>EXP(-LN(2)/25)*AA79+(1-EXP(-LN(2)/25))/(LN(2)/25)*Calculateur!V80*Calculateur!X80*VLOOKUP('Données projet'!$B$9,Paramètres!$A$1:$I$89,3,0)*0.475*44/12</f>
        <v>22.335045531048799</v>
      </c>
      <c r="AB80" s="21">
        <f>EXP(-LN(2)/2)*AB79+(1-EXP(-LN(2)/2))/(LN(2)/2)*V80*Y80*VLOOKUP('Données projet'!$B$9,Paramètres!$A$1:$I$89,3,0)*0.475*44/12</f>
        <v>4.9461703747613814</v>
      </c>
      <c r="AC80" s="22">
        <f t="shared" si="57"/>
        <v>89.477513898946881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251.64326096359997</v>
      </c>
      <c r="AO80" s="59">
        <f t="shared" si="90"/>
        <v>256.72142151189894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99.17245846861735</v>
      </c>
      <c r="AV80" s="21">
        <f>EXP(-LN(2)/25)*AV79+(1-EXP(-LN(2)/25))/(LN(2)/25)*Calculateur!AQ80*Calculateur!AS80*VLOOKUP('Données projet'!$B$10,Paramètres!$A$1:$I$89,3,0)*0.475*44/12</f>
        <v>30.234889064613949</v>
      </c>
      <c r="AW80" s="21">
        <f>EXP(-LN(2)/2)*AW79+(1-EXP(-LN(2)/2))/(LN(2)/2)*AQ80*AT80*VLOOKUP('Données projet'!$B$10,Paramètres!$A$1:$I$89,3,0)*0.475*44/12</f>
        <v>0.16562165168016665</v>
      </c>
      <c r="AX80" s="21">
        <f t="shared" si="60"/>
        <v>129.57296918491147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199.29783428981898</v>
      </c>
      <c r="BJ80" s="59">
        <f t="shared" si="92"/>
        <v>237.32002274562547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4.1172464210218696</v>
      </c>
      <c r="BQ80" s="21">
        <f>EXP(-LN(2)/25)*BQ79+(1-EXP(-LN(2)/25))/(LN(2)/25)*Calculateur!BL80*Calculateur!BN80*VLOOKUP('Données projet'!$B$11,Paramètres!$A$1:$I$89,3,0)*0.475*44/12</f>
        <v>18.229463111440243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22.346709532462114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9.4837500000000006</v>
      </c>
      <c r="BY80" s="12">
        <f>IF('Données projet'!$A$114&gt;35,BY79+BX80-CG79,IF(A80&lt;'Données projet'!$A$114,$BV$205^A80,IF(A80='Données projet'!$A$114,'Données projet'!$B$114,BY79+BX80-CG79)))</f>
        <v>249.20749999999998</v>
      </c>
      <c r="BZ80" s="13">
        <f>BY80*VLOOKUP('Données projet'!$B$12,Paramètres!$A$1:$I$89,3,0)*VLOOKUP('Données projet'!$B$12,Paramètres!$A$1:$I$89,5,0)</f>
        <v>209.93239799999998</v>
      </c>
      <c r="CA80" s="13">
        <f t="shared" si="93"/>
        <v>51.920812683652912</v>
      </c>
      <c r="CB80" s="20">
        <f t="shared" si="64"/>
        <v>456.06100860736206</v>
      </c>
      <c r="CC80" s="59">
        <f t="shared" si="65"/>
        <v>749.39434194069531</v>
      </c>
      <c r="CD80" s="59">
        <f ca="1">AVERAGE(OFFSET($CC$3,0,0,'Données projet'!$E$12+1,1))-AVERAGE(OFFSET($H$3,0,0,'Données projet'!$E$12+1,1))</f>
        <v>295.59075210589327</v>
      </c>
      <c r="CE80" s="59">
        <f t="shared" si="94"/>
        <v>210.41181542059576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18.650160583334934</v>
      </c>
      <c r="CL80" s="21">
        <f>EXP(-LN(2)/25)*CL79+(1-EXP(-LN(2)/25))/(LN(2)/25)*Calculateur!CG80*Calculateur!CI80*VLOOKUP('Données projet'!$B$12,Paramètres!$A$1:$I$89,3,0)*0.475*44/12</f>
        <v>22.875840480330485</v>
      </c>
      <c r="CM80" s="21">
        <f>EXP(-LN(2)/2)*CM79+(1-EXP(-LN(2)/2))/(LN(2)/2)*CG80*CJ80*VLOOKUP('Données projet'!$B$12,Paramètres!$A$1:$I$89,3,0)*0.475*44/12</f>
        <v>1.842447140788503</v>
      </c>
      <c r="CN80" s="22">
        <f t="shared" si="66"/>
        <v>43.368448204453919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14.6</v>
      </c>
      <c r="CT80" s="12">
        <f>IF('Données projet'!$A$140&gt;35,CT79+CS80-DB79,IF(A80&lt;'Données projet'!$A$140,$CQ$205^A80,IF(A80='Données projet'!$A$140,'Données projet'!$B$140,CT79+CS80-DB79)))</f>
        <v>732.2</v>
      </c>
      <c r="CU80" s="17">
        <f>CT80*VLOOKUP('Données projet'!$B$13,Paramètres!$A$1:$I$89,3,0)*VLOOKUP('Données projet'!$B$13,Paramètres!$A$1:$I$89,5,0)</f>
        <v>333.15100000000001</v>
      </c>
      <c r="CV80" s="13">
        <f t="shared" si="95"/>
        <v>78.083228104579049</v>
      </c>
      <c r="CW80" s="20">
        <f t="shared" si="67"/>
        <v>716.23294728214194</v>
      </c>
      <c r="CX80" s="59">
        <f t="shared" si="68"/>
        <v>1009.5662806154753</v>
      </c>
      <c r="CY80" s="59">
        <f ca="1">AVERAGE(OFFSET($CX$3,0,0,'Données projet'!$E$13+1,1))-AVERAGE(OFFSET($H$3,0,0,'Données projet'!$E$13+1,1))</f>
        <v>338.22448697444298</v>
      </c>
      <c r="CZ80" s="59">
        <f t="shared" si="96"/>
        <v>293.3872365640849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61.703779981509463</v>
      </c>
      <c r="DG80" s="21">
        <f>EXP(-LN(2)/25)*DG79+(1-EXP(-LN(2)/25))/(LN(2)/25)*Calculateur!DB80*Calculateur!DD80*VLOOKUP('Données projet'!$B$13,Paramètres!$A$1:$I$89,3,0)*0.475*44/12</f>
        <v>24.659317389275827</v>
      </c>
      <c r="DH80" s="21">
        <f>EXP(-LN(2)/2)*DH79+(1-EXP(-LN(2)/2))/(LN(2)/2)*DB80*DE80*VLOOKUP('Données projet'!$B$13,Paramètres!$A$1:$I$89,3,0)*0.475*44/12</f>
        <v>2.7211007553671287</v>
      </c>
      <c r="DI80" s="22">
        <f t="shared" si="69"/>
        <v>89.084198126152415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5.6843418860808015E-13</v>
      </c>
      <c r="DP80" s="17">
        <f>DO80*VLOOKUP('Données projet'!$B$14,Paramètres!$A$1:$I$89,3,0)*VLOOKUP('Données projet'!$B$14,Paramètres!$A$1:$I$89,5,0)</f>
        <v>3.177547114319168E-13</v>
      </c>
      <c r="DQ80" s="13">
        <f t="shared" si="97"/>
        <v>4.1725404435445377E-12</v>
      </c>
      <c r="DR80" s="20">
        <f t="shared" si="70"/>
        <v>7.820597394917325E-12</v>
      </c>
      <c r="DS80" s="59">
        <f t="shared" si="71"/>
        <v>293.33333333334116</v>
      </c>
      <c r="DT80" s="59">
        <f ca="1">AVERAGE(OFFSET($DS$3,0,0,'Données projet'!$E$14+1,1))-AVERAGE(OFFSET($H$3,0,0,'Données projet'!$E$14+1,1))</f>
        <v>328.15217666639006</v>
      </c>
      <c r="DU80" s="59">
        <f t="shared" si="98"/>
        <v>305.59175773326308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200.87842620699763</v>
      </c>
      <c r="EB80" s="21">
        <f>EXP(-LN(2)/25)*EB79+(1-EXP(-LN(2)/25))/(LN(2)/25)*Calculateur!DW80*Calculateur!DY80*VLOOKUP('Données projet'!$B$14,Paramètres!$A$1:$I$89,3,0)*0.475*44/12</f>
        <v>63.216660040242054</v>
      </c>
      <c r="EC80" s="21">
        <f>EXP(-LN(2)/2)*EC79+(1-EXP(-LN(2)/2))/(LN(2)/2)*DW80*DZ80*VLOOKUP('Données projet'!$B$14,Paramètres!$A$1:$I$89,3,0)*0.475*44/12</f>
        <v>6.6738085332139665</v>
      </c>
      <c r="ED80" s="22">
        <f t="shared" si="72"/>
        <v>270.76889478045365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159.78276497127206</v>
      </c>
      <c r="EP80" s="59">
        <f t="shared" si="100"/>
        <v>190.72163407919857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4.7821580556811494</v>
      </c>
      <c r="EW80" s="21">
        <f>EXP(-LN(2)/25)*EW79+(1-EXP(-LN(2)/25))/(LN(2)/25)*Calculateur!ER80*Calculateur!ET80*VLOOKUP('Données projet'!$B$15,Paramètres!$A$1:$I$89,3,0)*0.475*44/12</f>
        <v>21.173416636908467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25.955574692589614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10.385555555555555</v>
      </c>
      <c r="FE80" s="12">
        <f>IF('Données projet'!$A$218&gt;35,FE79+FD80-FM79,IF(A80&lt;'Données projet'!$A$218,$FB$205^A80,IF(A80='Données projet'!$A$218,'Données projet'!$B$218,FE79+FD80-FM79)))</f>
        <v>223.10111111111155</v>
      </c>
      <c r="FF80" s="17">
        <f>FE80*VLOOKUP('Données projet'!$B$16,Paramètres!$A$1:$I$89,3,0)*VLOOKUP('Données projet'!$B$16,Paramètres!$A$1:$I$89,5,0)</f>
        <v>191.42075333333375</v>
      </c>
      <c r="FG80" s="13">
        <f t="shared" si="101"/>
        <v>47.853924920248829</v>
      </c>
      <c r="FH80" s="20">
        <f t="shared" si="76"/>
        <v>416.73673129165627</v>
      </c>
      <c r="FI80" s="59">
        <f t="shared" si="77"/>
        <v>710.07006462498953</v>
      </c>
      <c r="FJ80" s="59">
        <f ca="1">AVERAGE(OFFSET($FI$3,0,0,'Données projet'!$E$16+1,1))-AVERAGE(OFFSET($H$3,0,0,'Données projet'!$E$16+1,1))</f>
        <v>337.15023592377008</v>
      </c>
      <c r="FK80" s="59">
        <f t="shared" si="102"/>
        <v>286.60608582587099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52.660268664900826</v>
      </c>
      <c r="FS80" s="21">
        <f>EXP(-LN(2)/2)*FS79+(1-EXP(-LN(2)/2))/(LN(2)/2)*FM80*FP80*VLOOKUP('Données projet'!$B$16,Paramètres!$A$1:$I$89,3,0)*0.475*44/12</f>
        <v>15.417288567797716</v>
      </c>
      <c r="FT80" s="22">
        <f t="shared" si="78"/>
        <v>68.077557232698538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9.546999999999997</v>
      </c>
      <c r="FZ80" s="12">
        <f>IF('Données projet'!$A$244&gt;35,FZ79+FY80-GH79,IF(A80&lt;'Données projet'!$A$244,$FW$205^A80,IF(A80='Données projet'!$A$244,'Données projet'!$B$244,FZ79+FY80-GH79)))</f>
        <v>288.26100000000031</v>
      </c>
      <c r="GA80" s="17">
        <f>FZ80*VLOOKUP('Données projet'!$B$17,Paramètres!$A$1:$I$89,3,0)*VLOOKUP('Données projet'!$B$17,Paramètres!$A$1:$I$89,5,0)</f>
        <v>260.8185528000003</v>
      </c>
      <c r="GB80" s="13">
        <f t="shared" si="103"/>
        <v>62.896828401660521</v>
      </c>
      <c r="GC80" s="20">
        <f t="shared" si="79"/>
        <v>563.80428892622592</v>
      </c>
      <c r="GD80" s="59">
        <f t="shared" si="80"/>
        <v>857.13762225955929</v>
      </c>
      <c r="GE80" s="59">
        <f ca="1">AVERAGE(OFFSET($GD$3,0,0,'Données projet'!$E$17+1,1))-AVERAGE(OFFSET($H$3,0,0,'Données projet'!$E$17+1,1))</f>
        <v>486.55344536255876</v>
      </c>
      <c r="GF80" s="59">
        <f t="shared" si="104"/>
        <v>231.14794884432229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13.781542392702908</v>
      </c>
      <c r="GM80" s="21">
        <f>EXP(-LN(2)/25)*GM79+(1-EXP(-LN(2)/25))/(LN(2)/25)*Calculateur!GH80*Calculateur!GJ80*VLOOKUP('Données projet'!$B$17,Paramètres!$A$1:$I$89,3,0)*0.475*44/12</f>
        <v>28.976102685555421</v>
      </c>
      <c r="GN80" s="21">
        <f>EXP(-LN(2)/2)*GN79+(1-EXP(-LN(2)/2))/(LN(2)/2)*GH80*GK80*VLOOKUP('Données projet'!$B$17,Paramètres!$A$1:$I$89,3,0)*0.475*44/12</f>
        <v>1.6627205857026273</v>
      </c>
      <c r="GO80" s="21">
        <f t="shared" si="81"/>
        <v>44.420365663960958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384.93230058437427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14.483750000000001</v>
      </c>
      <c r="N81" s="13">
        <f>IF('Données projet'!$A$36&gt;35,N80+M81-V80,IF(A81&lt;'Données projet'!$A$36,$K$205^A81,IF(A81='Données projet'!$A$36,'Données projet'!$B$36,N80+M81-V80)))</f>
        <v>443.67124999999993</v>
      </c>
      <c r="O81" s="13">
        <f>N81*VLOOKUP('Données projet'!$B$9,Paramètres!$A$1:$I$89,3,0)*VLOOKUP('Données projet'!$B$9,Paramètres!$A$1:$I$89,5,0)</f>
        <v>207.63814499999998</v>
      </c>
      <c r="P81" s="13">
        <f t="shared" si="87"/>
        <v>51.41912169452538</v>
      </c>
      <c r="Q81" s="20">
        <f t="shared" si="54"/>
        <v>451.19140615963164</v>
      </c>
      <c r="R81" s="59">
        <f t="shared" si="55"/>
        <v>744.52473949296495</v>
      </c>
      <c r="S81" s="59">
        <f ca="1">AVERAGE(OFFSET($R$3,0,0,'Données projet'!$E$9+1,1))-AVERAGE(OFFSET($H$3,0,0,'Données projet'!$E$9+1,1))</f>
        <v>252.08270526008477</v>
      </c>
      <c r="T81" s="59">
        <f t="shared" si="88"/>
        <v>239.77811108960179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60.97666652548719</v>
      </c>
      <c r="AA81" s="21">
        <f>EXP(-LN(2)/25)*AA80+(1-EXP(-LN(2)/25))/(LN(2)/25)*Calculateur!V81*Calculateur!X81*VLOOKUP('Données projet'!$B$9,Paramètres!$A$1:$I$89,3,0)*0.475*44/12</f>
        <v>21.724292536453273</v>
      </c>
      <c r="AB81" s="21">
        <f>EXP(-LN(2)/2)*AB80+(1-EXP(-LN(2)/2))/(LN(2)/2)*V81*Y81*VLOOKUP('Données projet'!$B$9,Paramètres!$A$1:$I$89,3,0)*0.475*44/12</f>
        <v>3.4974706128977799</v>
      </c>
      <c r="AC81" s="22">
        <f t="shared" si="57"/>
        <v>86.198429674838252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251.64326096359997</v>
      </c>
      <c r="AO81" s="59">
        <f t="shared" si="90"/>
        <v>256.72142151189894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97.227747047274619</v>
      </c>
      <c r="AV81" s="21">
        <f>EXP(-LN(2)/25)*AV80+(1-EXP(-LN(2)/25))/(LN(2)/25)*Calculateur!AQ81*Calculateur!AS81*VLOOKUP('Données projet'!$B$10,Paramètres!$A$1:$I$89,3,0)*0.475*44/12</f>
        <v>29.408114433158367</v>
      </c>
      <c r="AW81" s="21">
        <f>EXP(-LN(2)/2)*AW80+(1-EXP(-LN(2)/2))/(LN(2)/2)*AQ81*AT81*VLOOKUP('Données projet'!$B$10,Paramètres!$A$1:$I$89,3,0)*0.475*44/12</f>
        <v>0.1171121930143622</v>
      </c>
      <c r="AX81" s="21">
        <f t="shared" si="60"/>
        <v>126.75297367344736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199.29783428981898</v>
      </c>
      <c r="BJ81" s="59">
        <f t="shared" si="92"/>
        <v>237.32002274562547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4.03650972997798</v>
      </c>
      <c r="BQ81" s="21">
        <f>EXP(-LN(2)/25)*BQ80+(1-EXP(-LN(2)/25))/(LN(2)/25)*Calculateur!BL81*Calculateur!BN81*VLOOKUP('Données projet'!$B$11,Paramètres!$A$1:$I$89,3,0)*0.475*44/12</f>
        <v>17.730977484012108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21.767487213990087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9.4837500000000006</v>
      </c>
      <c r="BY81" s="12">
        <f>IF('Données projet'!$A$114&gt;35,BY80+BX81-CG80,IF(A81&lt;'Données projet'!$A$114,$BV$205^A81,IF(A81='Données projet'!$A$114,'Données projet'!$B$114,BY80+BX81-CG80)))</f>
        <v>258.69124999999997</v>
      </c>
      <c r="BZ81" s="13">
        <f>BY81*VLOOKUP('Données projet'!$B$12,Paramètres!$A$1:$I$89,3,0)*VLOOKUP('Données projet'!$B$12,Paramètres!$A$1:$I$89,5,0)</f>
        <v>217.92150900000001</v>
      </c>
      <c r="CA81" s="13">
        <f t="shared" si="93"/>
        <v>53.66288669644613</v>
      </c>
      <c r="CB81" s="20">
        <f t="shared" si="64"/>
        <v>473.00948917131035</v>
      </c>
      <c r="CC81" s="59">
        <f t="shared" si="65"/>
        <v>766.34282250464366</v>
      </c>
      <c r="CD81" s="59">
        <f ca="1">AVERAGE(OFFSET($CC$3,0,0,'Données projet'!$E$12+1,1))-AVERAGE(OFFSET($H$3,0,0,'Données projet'!$E$12+1,1))</f>
        <v>295.59075210589327</v>
      </c>
      <c r="CE81" s="59">
        <f t="shared" si="94"/>
        <v>210.41181542059576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18.284442309770458</v>
      </c>
      <c r="CL81" s="21">
        <f>EXP(-LN(2)/25)*CL80+(1-EXP(-LN(2)/25))/(LN(2)/25)*Calculateur!CG81*Calculateur!CI81*VLOOKUP('Données projet'!$B$12,Paramètres!$A$1:$I$89,3,0)*0.475*44/12</f>
        <v>22.250299419407682</v>
      </c>
      <c r="CM81" s="21">
        <f>EXP(-LN(2)/2)*CM80+(1-EXP(-LN(2)/2))/(LN(2)/2)*CG81*CJ81*VLOOKUP('Données projet'!$B$12,Paramètres!$A$1:$I$89,3,0)*0.475*44/12</f>
        <v>1.3028068672293163</v>
      </c>
      <c r="CN81" s="22">
        <f t="shared" si="66"/>
        <v>41.837548596407451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14.6</v>
      </c>
      <c r="CT81" s="12">
        <f>IF('Données projet'!$A$140&gt;35,CT80+CS81-DB80,IF(A81&lt;'Données projet'!$A$140,$CQ$205^A81,IF(A81='Données projet'!$A$140,'Données projet'!$B$140,CT80+CS81-DB80)))</f>
        <v>746.80000000000007</v>
      </c>
      <c r="CU81" s="17">
        <f>CT81*VLOOKUP('Données projet'!$B$13,Paramètres!$A$1:$I$89,3,0)*VLOOKUP('Données projet'!$B$13,Paramètres!$A$1:$I$89,5,0)</f>
        <v>339.79399999999998</v>
      </c>
      <c r="CV81" s="13">
        <f t="shared" si="95"/>
        <v>79.457384016401633</v>
      </c>
      <c r="CW81" s="20">
        <f t="shared" si="67"/>
        <v>730.1961604952329</v>
      </c>
      <c r="CX81" s="59">
        <f t="shared" si="68"/>
        <v>1023.5294938285663</v>
      </c>
      <c r="CY81" s="59">
        <f ca="1">AVERAGE(OFFSET($CX$3,0,0,'Données projet'!$E$13+1,1))-AVERAGE(OFFSET($H$3,0,0,'Données projet'!$E$13+1,1))</f>
        <v>338.22448697444298</v>
      </c>
      <c r="CZ81" s="59">
        <f t="shared" si="96"/>
        <v>293.3872365640849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60.493806491661644</v>
      </c>
      <c r="DG81" s="21">
        <f>EXP(-LN(2)/25)*DG80+(1-EXP(-LN(2)/25))/(LN(2)/25)*Calculateur!DB81*Calculateur!DD81*VLOOKUP('Données projet'!$B$13,Paramètres!$A$1:$I$89,3,0)*0.475*44/12</f>
        <v>23.985007058488939</v>
      </c>
      <c r="DH81" s="21">
        <f>EXP(-LN(2)/2)*DH80+(1-EXP(-LN(2)/2))/(LN(2)/2)*DB81*DE81*VLOOKUP('Données projet'!$B$13,Paramètres!$A$1:$I$89,3,0)*0.475*44/12</f>
        <v>1.9241087964119337</v>
      </c>
      <c r="DI81" s="22">
        <f t="shared" si="69"/>
        <v>86.402922346562519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5.6843418860808015E-13</v>
      </c>
      <c r="DP81" s="17">
        <f>DO81*VLOOKUP('Données projet'!$B$14,Paramètres!$A$1:$I$89,3,0)*VLOOKUP('Données projet'!$B$14,Paramètres!$A$1:$I$89,5,0)</f>
        <v>3.177547114319168E-13</v>
      </c>
      <c r="DQ81" s="13">
        <f t="shared" si="97"/>
        <v>4.1725404435445377E-12</v>
      </c>
      <c r="DR81" s="20">
        <f t="shared" si="70"/>
        <v>7.820597394917325E-12</v>
      </c>
      <c r="DS81" s="59">
        <f t="shared" si="71"/>
        <v>293.33333333334116</v>
      </c>
      <c r="DT81" s="59">
        <f ca="1">AVERAGE(OFFSET($DS$3,0,0,'Données projet'!$E$14+1,1))-AVERAGE(OFFSET($H$3,0,0,'Données projet'!$E$14+1,1))</f>
        <v>328.15217666639006</v>
      </c>
      <c r="DU81" s="59">
        <f t="shared" si="98"/>
        <v>305.59175773326308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196.93932279282018</v>
      </c>
      <c r="EB81" s="21">
        <f>EXP(-LN(2)/25)*EB80+(1-EXP(-LN(2)/25))/(LN(2)/25)*Calculateur!DW81*Calculateur!DY81*VLOOKUP('Données projet'!$B$14,Paramètres!$A$1:$I$89,3,0)*0.475*44/12</f>
        <v>61.487997147021964</v>
      </c>
      <c r="EC81" s="21">
        <f>EXP(-LN(2)/2)*EC80+(1-EXP(-LN(2)/2))/(LN(2)/2)*DW81*DZ81*VLOOKUP('Données projet'!$B$14,Paramètres!$A$1:$I$89,3,0)*0.475*44/12</f>
        <v>4.7190952701762425</v>
      </c>
      <c r="ED81" s="22">
        <f t="shared" si="72"/>
        <v>263.1464152100184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159.78276497127206</v>
      </c>
      <c r="EP81" s="59">
        <f t="shared" si="100"/>
        <v>190.72163407919857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4.688382853037643</v>
      </c>
      <c r="EW81" s="21">
        <f>EXP(-LN(2)/25)*EW80+(1-EXP(-LN(2)/25))/(LN(2)/25)*Calculateur!ER81*Calculateur!ET81*VLOOKUP('Données projet'!$B$15,Paramètres!$A$1:$I$89,3,0)*0.475*44/12</f>
        <v>20.594428445510616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25.28281129854826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10.385555555555555</v>
      </c>
      <c r="FE81" s="12">
        <f>IF('Données projet'!$A$218&gt;35,FE80+FD81-FM80,IF(A81&lt;'Données projet'!$A$218,$FB$205^A81,IF(A81='Données projet'!$A$218,'Données projet'!$B$218,FE80+FD81-FM80)))</f>
        <v>233.48666666666711</v>
      </c>
      <c r="FF81" s="17">
        <f>FE81*VLOOKUP('Données projet'!$B$16,Paramètres!$A$1:$I$89,3,0)*VLOOKUP('Données projet'!$B$16,Paramètres!$A$1:$I$89,5,0)</f>
        <v>200.33156000000039</v>
      </c>
      <c r="FG81" s="13">
        <f t="shared" si="101"/>
        <v>49.817027551911288</v>
      </c>
      <c r="FH81" s="20">
        <f t="shared" si="76"/>
        <v>435.67545665291277</v>
      </c>
      <c r="FI81" s="59">
        <f t="shared" si="77"/>
        <v>729.00878998624603</v>
      </c>
      <c r="FJ81" s="59">
        <f ca="1">AVERAGE(OFFSET($FI$3,0,0,'Données projet'!$E$16+1,1))-AVERAGE(OFFSET($H$3,0,0,'Données projet'!$E$16+1,1))</f>
        <v>337.15023592377008</v>
      </c>
      <c r="FK81" s="59">
        <f t="shared" si="102"/>
        <v>286.60608582587099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51.220270848975943</v>
      </c>
      <c r="FS81" s="21">
        <f>EXP(-LN(2)/2)*FS80+(1-EXP(-LN(2)/2))/(LN(2)/2)*FM81*FP81*VLOOKUP('Données projet'!$B$16,Paramètres!$A$1:$I$89,3,0)*0.475*44/12</f>
        <v>10.901669293799602</v>
      </c>
      <c r="FT81" s="22">
        <f t="shared" si="78"/>
        <v>62.121940142775543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9.546999999999997</v>
      </c>
      <c r="FZ81" s="12">
        <f>IF('Données projet'!$A$244&gt;35,FZ80+FY81-GH80,IF(A81&lt;'Données projet'!$A$244,$FW$205^A81,IF(A81='Données projet'!$A$244,'Données projet'!$B$244,FZ80+FY81-GH80)))</f>
        <v>297.80800000000033</v>
      </c>
      <c r="GA81" s="17">
        <f>FZ81*VLOOKUP('Données projet'!$B$17,Paramètres!$A$1:$I$89,3,0)*VLOOKUP('Données projet'!$B$17,Paramètres!$A$1:$I$89,5,0)</f>
        <v>269.45667840000027</v>
      </c>
      <c r="GB81" s="13">
        <f t="shared" si="103"/>
        <v>64.733949217436958</v>
      </c>
      <c r="GC81" s="20">
        <f t="shared" si="79"/>
        <v>582.04867643370324</v>
      </c>
      <c r="GD81" s="59">
        <f t="shared" si="80"/>
        <v>875.38200976703661</v>
      </c>
      <c r="GE81" s="59">
        <f ca="1">AVERAGE(OFFSET($GD$3,0,0,'Données projet'!$E$17+1,1))-AVERAGE(OFFSET($H$3,0,0,'Données projet'!$E$17+1,1))</f>
        <v>486.55344536255876</v>
      </c>
      <c r="GF81" s="59">
        <f t="shared" si="104"/>
        <v>231.14794884432229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13.51129475229285</v>
      </c>
      <c r="GM81" s="21">
        <f>EXP(-LN(2)/25)*GM80+(1-EXP(-LN(2)/25))/(LN(2)/25)*Calculateur!GH81*Calculateur!GJ81*VLOOKUP('Données projet'!$B$17,Paramètres!$A$1:$I$89,3,0)*0.475*44/12</f>
        <v>28.183749633831894</v>
      </c>
      <c r="GN81" s="21">
        <f>EXP(-LN(2)/2)*GN80+(1-EXP(-LN(2)/2))/(LN(2)/2)*GH81*GK81*VLOOKUP('Données projet'!$B$17,Paramètres!$A$1:$I$89,3,0)*0.475*44/12</f>
        <v>1.175721001368796</v>
      </c>
      <c r="GO81" s="21">
        <f t="shared" si="81"/>
        <v>42.870765387493535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386.53372052574628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14.483750000000001</v>
      </c>
      <c r="N82" s="13">
        <f>IF('Données projet'!$A$36&gt;35,N81+M82-V81,IF(A82&lt;'Données projet'!$A$36,$K$205^A82,IF(A82='Données projet'!$A$36,'Données projet'!$B$36,N81+M82-V81)))</f>
        <v>458.15499999999992</v>
      </c>
      <c r="O82" s="13">
        <f>N82*VLOOKUP('Données projet'!$B$9,Paramètres!$A$1:$I$89,3,0)*VLOOKUP('Données projet'!$B$9,Paramètres!$A$1:$I$89,5,0)</f>
        <v>214.41653999999997</v>
      </c>
      <c r="P82" s="13">
        <f t="shared" si="87"/>
        <v>52.89953862557789</v>
      </c>
      <c r="Q82" s="20">
        <f t="shared" si="54"/>
        <v>465.57550360621468</v>
      </c>
      <c r="R82" s="59">
        <f t="shared" si="55"/>
        <v>758.908836939548</v>
      </c>
      <c r="S82" s="59">
        <f ca="1">AVERAGE(OFFSET($R$3,0,0,'Données projet'!$E$9+1,1))-AVERAGE(OFFSET($H$3,0,0,'Données projet'!$E$9+1,1))</f>
        <v>252.08270526008477</v>
      </c>
      <c r="T82" s="59">
        <f t="shared" si="88"/>
        <v>239.77811108960179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59.780951287016549</v>
      </c>
      <c r="AA82" s="21">
        <f>EXP(-LN(2)/25)*AA81+(1-EXP(-LN(2)/25))/(LN(2)/25)*Calculateur!V82*Calculateur!X82*VLOOKUP('Données projet'!$B$9,Paramètres!$A$1:$I$89,3,0)*0.475*44/12</f>
        <v>21.130240614613065</v>
      </c>
      <c r="AB82" s="21">
        <f>EXP(-LN(2)/2)*AB81+(1-EXP(-LN(2)/2))/(LN(2)/2)*V82*Y82*VLOOKUP('Données projet'!$B$9,Paramètres!$A$1:$I$89,3,0)*0.475*44/12</f>
        <v>2.4730851873806907</v>
      </c>
      <c r="AC82" s="22">
        <f t="shared" si="57"/>
        <v>83.384277089010311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251.64326096359997</v>
      </c>
      <c r="AO82" s="59">
        <f t="shared" si="90"/>
        <v>256.72142151189894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95.321170230747569</v>
      </c>
      <c r="AV82" s="21">
        <f>EXP(-LN(2)/25)*AV81+(1-EXP(-LN(2)/25))/(LN(2)/25)*Calculateur!AQ82*Calculateur!AS82*VLOOKUP('Données projet'!$B$10,Paramètres!$A$1:$I$89,3,0)*0.475*44/12</f>
        <v>28.603947997478127</v>
      </c>
      <c r="AW82" s="21">
        <f>EXP(-LN(2)/2)*AW81+(1-EXP(-LN(2)/2))/(LN(2)/2)*AQ82*AT82*VLOOKUP('Données projet'!$B$10,Paramètres!$A$1:$I$89,3,0)*0.475*44/12</f>
        <v>8.2810825840083341E-2</v>
      </c>
      <c r="AX82" s="21">
        <f t="shared" si="60"/>
        <v>124.00792905406578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199.29783428981898</v>
      </c>
      <c r="BJ82" s="59">
        <f t="shared" si="92"/>
        <v>237.32002274562547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3.9573562362009418</v>
      </c>
      <c r="BQ82" s="21">
        <f>EXP(-LN(2)/25)*BQ81+(1-EXP(-LN(2)/25))/(LN(2)/25)*Calculateur!BL82*Calculateur!BN82*VLOOKUP('Données projet'!$B$11,Paramètres!$A$1:$I$89,3,0)*0.475*44/12</f>
        <v>17.246122972280215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21.203479208481156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9.4837500000000006</v>
      </c>
      <c r="BY82" s="12">
        <f>IF('Données projet'!$A$114&gt;35,BY81+BX82-CG81,IF(A82&lt;'Données projet'!$A$114,$BV$205^A82,IF(A82='Données projet'!$A$114,'Données projet'!$B$114,BY81+BX82-CG81)))</f>
        <v>268.17499999999995</v>
      </c>
      <c r="BZ82" s="13">
        <f>BY82*VLOOKUP('Données projet'!$B$12,Paramètres!$A$1:$I$89,3,0)*VLOOKUP('Données projet'!$B$12,Paramètres!$A$1:$I$89,5,0)</f>
        <v>225.91061999999997</v>
      </c>
      <c r="CA82" s="13">
        <f t="shared" si="93"/>
        <v>55.397540871455185</v>
      </c>
      <c r="CB82" s="20">
        <f t="shared" si="64"/>
        <v>489.9450468511177</v>
      </c>
      <c r="CC82" s="59">
        <f t="shared" si="65"/>
        <v>783.27838018445095</v>
      </c>
      <c r="CD82" s="59">
        <f ca="1">AVERAGE(OFFSET($CC$3,0,0,'Données projet'!$E$12+1,1))-AVERAGE(OFFSET($H$3,0,0,'Données projet'!$E$12+1,1))</f>
        <v>295.59075210589327</v>
      </c>
      <c r="CE82" s="59">
        <f t="shared" si="94"/>
        <v>210.41181542059576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17.925895548484458</v>
      </c>
      <c r="CL82" s="21">
        <f>EXP(-LN(2)/25)*CL81+(1-EXP(-LN(2)/25))/(LN(2)/25)*Calculateur!CG82*Calculateur!CI82*VLOOKUP('Données projet'!$B$12,Paramètres!$A$1:$I$89,3,0)*0.475*44/12</f>
        <v>21.641863811691586</v>
      </c>
      <c r="CM82" s="21">
        <f>EXP(-LN(2)/2)*CM81+(1-EXP(-LN(2)/2))/(LN(2)/2)*CG82*CJ82*VLOOKUP('Données projet'!$B$12,Paramètres!$A$1:$I$89,3,0)*0.475*44/12</f>
        <v>0.92122357039425162</v>
      </c>
      <c r="CN82" s="22">
        <f t="shared" si="66"/>
        <v>40.488982930570295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14.6</v>
      </c>
      <c r="CT82" s="12">
        <f>IF('Données projet'!$A$140&gt;35,CT81+CS82-DB81,IF(A82&lt;'Données projet'!$A$140,$CQ$205^A82,IF(A82='Données projet'!$A$140,'Données projet'!$B$140,CT81+CS82-DB81)))</f>
        <v>761.40000000000009</v>
      </c>
      <c r="CU82" s="17">
        <f>CT82*VLOOKUP('Données projet'!$B$13,Paramètres!$A$1:$I$89,3,0)*VLOOKUP('Données projet'!$B$13,Paramètres!$A$1:$I$89,5,0)</f>
        <v>346.43700000000001</v>
      </c>
      <c r="CV82" s="13">
        <f t="shared" si="95"/>
        <v>80.828416203680462</v>
      </c>
      <c r="CW82" s="20">
        <f t="shared" si="67"/>
        <v>744.15393322141017</v>
      </c>
      <c r="CX82" s="59">
        <f t="shared" si="68"/>
        <v>1037.4872665547434</v>
      </c>
      <c r="CY82" s="59">
        <f ca="1">AVERAGE(OFFSET($CX$3,0,0,'Données projet'!$E$13+1,1))-AVERAGE(OFFSET($H$3,0,0,'Données projet'!$E$13+1,1))</f>
        <v>338.22448697444298</v>
      </c>
      <c r="CZ82" s="59">
        <f t="shared" si="96"/>
        <v>293.3872365640849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59.307559843938783</v>
      </c>
      <c r="DG82" s="21">
        <f>EXP(-LN(2)/25)*DG81+(1-EXP(-LN(2)/25))/(LN(2)/25)*Calculateur!DB82*Calculateur!DD82*VLOOKUP('Données projet'!$B$13,Paramètres!$A$1:$I$89,3,0)*0.475*44/12</f>
        <v>23.329135779157856</v>
      </c>
      <c r="DH82" s="21">
        <f>EXP(-LN(2)/2)*DH81+(1-EXP(-LN(2)/2))/(LN(2)/2)*DB82*DE82*VLOOKUP('Données projet'!$B$13,Paramètres!$A$1:$I$89,3,0)*0.475*44/12</f>
        <v>1.3605503776835646</v>
      </c>
      <c r="DI82" s="22">
        <f t="shared" si="69"/>
        <v>83.997246000780208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5.6843418860808015E-13</v>
      </c>
      <c r="DP82" s="17">
        <f>DO82*VLOOKUP('Données projet'!$B$14,Paramètres!$A$1:$I$89,3,0)*VLOOKUP('Données projet'!$B$14,Paramètres!$A$1:$I$89,5,0)</f>
        <v>3.177547114319168E-13</v>
      </c>
      <c r="DQ82" s="13">
        <f t="shared" si="97"/>
        <v>4.1725404435445377E-12</v>
      </c>
      <c r="DR82" s="20">
        <f t="shared" si="70"/>
        <v>7.820597394917325E-12</v>
      </c>
      <c r="DS82" s="59">
        <f t="shared" si="71"/>
        <v>293.33333333334116</v>
      </c>
      <c r="DT82" s="59">
        <f ca="1">AVERAGE(OFFSET($DS$3,0,0,'Données projet'!$E$14+1,1))-AVERAGE(OFFSET($H$3,0,0,'Données projet'!$E$14+1,1))</f>
        <v>328.15217666639006</v>
      </c>
      <c r="DU82" s="59">
        <f t="shared" si="98"/>
        <v>305.59175773326308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193.0774627939789</v>
      </c>
      <c r="EB82" s="21">
        <f>EXP(-LN(2)/25)*EB81+(1-EXP(-LN(2)/25))/(LN(2)/25)*Calculateur!DW82*Calculateur!DY82*VLOOKUP('Données projet'!$B$14,Paramètres!$A$1:$I$89,3,0)*0.475*44/12</f>
        <v>59.806604631523413</v>
      </c>
      <c r="EC82" s="21">
        <f>EXP(-LN(2)/2)*EC81+(1-EXP(-LN(2)/2))/(LN(2)/2)*DW82*DZ82*VLOOKUP('Données projet'!$B$14,Paramètres!$A$1:$I$89,3,0)*0.475*44/12</f>
        <v>3.3369042666069841</v>
      </c>
      <c r="ED82" s="22">
        <f t="shared" si="72"/>
        <v>256.22097169210929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159.78276497127206</v>
      </c>
      <c r="EP82" s="59">
        <f t="shared" si="100"/>
        <v>190.72163407919857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4.5964465249207498</v>
      </c>
      <c r="EW82" s="21">
        <f>EXP(-LN(2)/25)*EW81+(1-EXP(-LN(2)/25))/(LN(2)/25)*Calculateur!ER82*Calculateur!ET82*VLOOKUP('Données projet'!$B$15,Paramètres!$A$1:$I$89,3,0)*0.475*44/12</f>
        <v>20.031272716654204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24.627719241574955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10.385555555555555</v>
      </c>
      <c r="FE82" s="12">
        <f>IF('Données projet'!$A$218&gt;35,FE81+FD82-FM81,IF(A82&lt;'Données projet'!$A$218,$FB$205^A82,IF(A82='Données projet'!$A$218,'Données projet'!$B$218,FE81+FD82-FM81)))</f>
        <v>243.87222222222266</v>
      </c>
      <c r="FF82" s="17">
        <f>FE82*VLOOKUP('Données projet'!$B$16,Paramètres!$A$1:$I$89,3,0)*VLOOKUP('Données projet'!$B$16,Paramètres!$A$1:$I$89,5,0)</f>
        <v>209.24236666666707</v>
      </c>
      <c r="FG82" s="13">
        <f t="shared" si="101"/>
        <v>51.769988942945773</v>
      </c>
      <c r="FH82" s="20">
        <f t="shared" si="76"/>
        <v>454.59651935340895</v>
      </c>
      <c r="FI82" s="59">
        <f t="shared" si="77"/>
        <v>747.92985268674227</v>
      </c>
      <c r="FJ82" s="59">
        <f ca="1">AVERAGE(OFFSET($FI$3,0,0,'Données projet'!$E$16+1,1))-AVERAGE(OFFSET($H$3,0,0,'Données projet'!$E$16+1,1))</f>
        <v>337.15023592377008</v>
      </c>
      <c r="FK82" s="59">
        <f t="shared" si="102"/>
        <v>286.60608582587099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49.819649849053718</v>
      </c>
      <c r="FS82" s="21">
        <f>EXP(-LN(2)/2)*FS81+(1-EXP(-LN(2)/2))/(LN(2)/2)*FM82*FP82*VLOOKUP('Données projet'!$B$16,Paramètres!$A$1:$I$89,3,0)*0.475*44/12</f>
        <v>7.7086442838988596</v>
      </c>
      <c r="FT82" s="22">
        <f t="shared" si="78"/>
        <v>57.528294132952581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9.546999999999997</v>
      </c>
      <c r="FZ82" s="12">
        <f>IF('Données projet'!$A$244&gt;35,FZ81+FY82-GH81,IF(A82&lt;'Données projet'!$A$244,$FW$205^A82,IF(A82='Données projet'!$A$244,'Données projet'!$B$244,FZ81+FY82-GH81)))</f>
        <v>307.35500000000036</v>
      </c>
      <c r="GA82" s="17">
        <f>FZ82*VLOOKUP('Données projet'!$B$17,Paramètres!$A$1:$I$89,3,0)*VLOOKUP('Données projet'!$B$17,Paramètres!$A$1:$I$89,5,0)</f>
        <v>278.09480400000029</v>
      </c>
      <c r="GB82" s="13">
        <f t="shared" si="103"/>
        <v>66.564226351179173</v>
      </c>
      <c r="GC82" s="20">
        <f t="shared" si="79"/>
        <v>600.28114452830425</v>
      </c>
      <c r="GD82" s="59">
        <f t="shared" si="80"/>
        <v>893.61447786163762</v>
      </c>
      <c r="GE82" s="59">
        <f ca="1">AVERAGE(OFFSET($GD$3,0,0,'Données projet'!$E$17+1,1))-AVERAGE(OFFSET($H$3,0,0,'Données projet'!$E$17+1,1))</f>
        <v>486.55344536255876</v>
      </c>
      <c r="GF82" s="59">
        <f t="shared" si="104"/>
        <v>231.14794884432229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13.246346503276447</v>
      </c>
      <c r="GM82" s="21">
        <f>EXP(-LN(2)/25)*GM81+(1-EXP(-LN(2)/25))/(LN(2)/25)*Calculateur!GH82*Calculateur!GJ82*VLOOKUP('Données projet'!$B$17,Paramètres!$A$1:$I$89,3,0)*0.475*44/12</f>
        <v>27.413063517975782</v>
      </c>
      <c r="GN82" s="21">
        <f>EXP(-LN(2)/2)*GN81+(1-EXP(-LN(2)/2))/(LN(2)/2)*GH82*GK82*VLOOKUP('Données projet'!$B$17,Paramètres!$A$1:$I$89,3,0)*0.475*44/12</f>
        <v>0.83136029285131385</v>
      </c>
      <c r="GO82" s="21">
        <f t="shared" si="81"/>
        <v>41.490770314103543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388.13466278479279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14.483750000000001</v>
      </c>
      <c r="N83" s="13">
        <f>IF('Données projet'!$A$36&gt;35,N82+M83-V82,IF(A83&lt;'Données projet'!$A$36,$K$205^A83,IF(A83='Données projet'!$A$36,'Données projet'!$B$36,N82+M83-V82)))</f>
        <v>472.6387499999999</v>
      </c>
      <c r="O83" s="13">
        <f>N83*VLOOKUP('Données projet'!$B$9,Paramètres!$A$1:$I$89,3,0)*VLOOKUP('Données projet'!$B$9,Paramètres!$A$1:$I$89,5,0)</f>
        <v>221.19493499999996</v>
      </c>
      <c r="P83" s="13">
        <f t="shared" si="87"/>
        <v>54.37451700522584</v>
      </c>
      <c r="Q83" s="20">
        <f t="shared" si="54"/>
        <v>479.95012890910158</v>
      </c>
      <c r="R83" s="59">
        <f t="shared" si="55"/>
        <v>773.28346224243489</v>
      </c>
      <c r="S83" s="59">
        <f ca="1">AVERAGE(OFFSET($R$3,0,0,'Données projet'!$E$9+1,1))-AVERAGE(OFFSET($H$3,0,0,'Données projet'!$E$9+1,1))</f>
        <v>252.08270526008477</v>
      </c>
      <c r="T83" s="59">
        <f t="shared" si="88"/>
        <v>239.77811108960179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58.608683295058036</v>
      </c>
      <c r="AA83" s="21">
        <f>EXP(-LN(2)/25)*AA82+(1-EXP(-LN(2)/25))/(LN(2)/25)*Calculateur!V83*Calculateur!X83*VLOOKUP('Données projet'!$B$9,Paramètres!$A$1:$I$89,3,0)*0.475*44/12</f>
        <v>20.552433073815411</v>
      </c>
      <c r="AB83" s="21">
        <f>EXP(-LN(2)/2)*AB82+(1-EXP(-LN(2)/2))/(LN(2)/2)*V83*Y83*VLOOKUP('Données projet'!$B$9,Paramètres!$A$1:$I$89,3,0)*0.475*44/12</f>
        <v>1.74873530644889</v>
      </c>
      <c r="AC83" s="22">
        <f t="shared" si="57"/>
        <v>80.909851675322344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251.64326096359997</v>
      </c>
      <c r="AO83" s="59">
        <f t="shared" si="90"/>
        <v>256.72142151189894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93.451980222695582</v>
      </c>
      <c r="AV83" s="21">
        <f>EXP(-LN(2)/25)*AV82+(1-EXP(-LN(2)/25))/(LN(2)/25)*Calculateur!AQ83*Calculateur!AS83*VLOOKUP('Données projet'!$B$10,Paramètres!$A$1:$I$89,3,0)*0.475*44/12</f>
        <v>27.821771535270837</v>
      </c>
      <c r="AW83" s="21">
        <f>EXP(-LN(2)/2)*AW82+(1-EXP(-LN(2)/2))/(LN(2)/2)*AQ83*AT83*VLOOKUP('Données projet'!$B$10,Paramètres!$A$1:$I$89,3,0)*0.475*44/12</f>
        <v>5.8556096507181112E-2</v>
      </c>
      <c r="AX83" s="21">
        <f t="shared" si="60"/>
        <v>121.3323078544736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199.29783428981898</v>
      </c>
      <c r="BJ83" s="59">
        <f t="shared" si="92"/>
        <v>237.32002274562547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3.8797548941580073</v>
      </c>
      <c r="BQ83" s="21">
        <f>EXP(-LN(2)/25)*BQ82+(1-EXP(-LN(2)/25))/(LN(2)/25)*Calculateur!BL83*Calculateur!BN83*VLOOKUP('Données projet'!$B$11,Paramètres!$A$1:$I$89,3,0)*0.475*44/12</f>
        <v>16.774526832669022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20.65428172682703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9.4837500000000006</v>
      </c>
      <c r="BY83" s="12">
        <f>IF('Données projet'!$A$114&gt;35,BY82+BX83-CG82,IF(A83&lt;'Données projet'!$A$114,$BV$205^A83,IF(A83='Données projet'!$A$114,'Données projet'!$B$114,BY82+BX83-CG82)))</f>
        <v>277.65874999999994</v>
      </c>
      <c r="BZ83" s="13">
        <f>BY83*VLOOKUP('Données projet'!$B$12,Paramètres!$A$1:$I$89,3,0)*VLOOKUP('Données projet'!$B$12,Paramètres!$A$1:$I$89,5,0)</f>
        <v>233.899731</v>
      </c>
      <c r="CA83" s="13">
        <f t="shared" si="93"/>
        <v>57.125067668751235</v>
      </c>
      <c r="CB83" s="20">
        <f t="shared" si="64"/>
        <v>506.8681910147418</v>
      </c>
      <c r="CC83" s="59">
        <f t="shared" si="65"/>
        <v>800.20152434807505</v>
      </c>
      <c r="CD83" s="59">
        <f ca="1">AVERAGE(OFFSET($CC$3,0,0,'Données projet'!$E$12+1,1))-AVERAGE(OFFSET($H$3,0,0,'Données projet'!$E$12+1,1))</f>
        <v>295.59075210589327</v>
      </c>
      <c r="CE83" s="59">
        <f t="shared" si="94"/>
        <v>210.41181542059576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17.574379670495347</v>
      </c>
      <c r="CL83" s="21">
        <f>EXP(-LN(2)/25)*CL82+(1-EXP(-LN(2)/25))/(LN(2)/25)*Calculateur!CG83*Calculateur!CI83*VLOOKUP('Données projet'!$B$12,Paramètres!$A$1:$I$89,3,0)*0.475*44/12</f>
        <v>21.050065907664724</v>
      </c>
      <c r="CM83" s="21">
        <f>EXP(-LN(2)/2)*CM82+(1-EXP(-LN(2)/2))/(LN(2)/2)*CG83*CJ83*VLOOKUP('Données projet'!$B$12,Paramètres!$A$1:$I$89,3,0)*0.475*44/12</f>
        <v>0.65140343361465813</v>
      </c>
      <c r="CN83" s="22">
        <f t="shared" si="66"/>
        <v>39.275849011774731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776</v>
      </c>
      <c r="CR83" s="12">
        <f>VLOOKUP(A83,'Données projet'!$A$139:$I$159,9,0)</f>
        <v>14.6</v>
      </c>
      <c r="CS83" s="12">
        <f t="array" ref="CS83">INDEX(CR:CR,MIN(IF(ISNUMBER(CR83:CR279),ROW(CR83:CR279),"")))</f>
        <v>14.6</v>
      </c>
      <c r="CT83" s="12">
        <f>IF('Données projet'!$A$140&gt;35,CT82+CS83-DB82,IF(A83&lt;'Données projet'!$A$140,$CQ$205^A83,IF(A83='Données projet'!$A$140,'Données projet'!$B$140,CT82+CS83-DB82)))</f>
        <v>776.00000000000011</v>
      </c>
      <c r="CU83" s="17">
        <f>CT83*VLOOKUP('Données projet'!$B$13,Paramètres!$A$1:$I$89,3,0)*VLOOKUP('Données projet'!$B$13,Paramètres!$A$1:$I$89,5,0)</f>
        <v>353.08000000000004</v>
      </c>
      <c r="CV83" s="13">
        <f t="shared" si="95"/>
        <v>82.196391470290649</v>
      </c>
      <c r="CW83" s="20">
        <f t="shared" si="67"/>
        <v>758.10638181075626</v>
      </c>
      <c r="CX83" s="59">
        <f t="shared" si="68"/>
        <v>1051.4397151440896</v>
      </c>
      <c r="CY83" s="59">
        <f ca="1">AVERAGE(OFFSET($CX$3,0,0,'Données projet'!$E$13+1,1))-AVERAGE(OFFSET($H$3,0,0,'Données projet'!$E$13+1,1))</f>
        <v>338.22448697444298</v>
      </c>
      <c r="CZ83" s="59">
        <f t="shared" si="96"/>
        <v>293.3872365640849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776</v>
      </c>
      <c r="DC83" s="16">
        <f>IF(ISNA(VLOOKUP(A83,'Données projet'!$A$139:$I$159,5,0)),0%,VLOOKUP(A83,'Données projet'!$A$139:$I$159,5,0)*VLOOKUP('Données projet'!$B$13,Paramètres!$A$1:$I$89,7,0))</f>
        <v>0.33</v>
      </c>
      <c r="DD83" s="16">
        <f>IF(ISNA(VLOOKUP(A83,'Données projet'!$A$139:$I$159,6,0)),0%,VLOOKUP(A83,'Données projet'!$A$139:$I$159,6,0)*VLOOKUP('Données projet'!$B$13,Paramètres!$A$1:$I$89,7,0))</f>
        <v>0.11000000000000001</v>
      </c>
      <c r="DE83" s="16">
        <f>IF(ISNA(VLOOKUP(A83,'Données projet'!$A$139:$I$159,7,0)),0%,VLOOKUP(A83,'Données projet'!$A$139:$I$159,7,0))</f>
        <v>0.2</v>
      </c>
      <c r="DF83" s="21">
        <f>EXP(-LN(2)/35)*DF82+(1-EXP(-LN(2)/35))/(LN(2)/35)*DB83*DC83*VLOOKUP('Données projet'!$B$13,Paramètres!$A$1:$I$89,3,0)*0.475*44/12</f>
        <v>212.71108948521442</v>
      </c>
      <c r="DG83" s="21">
        <f>EXP(-LN(2)/25)*DG82+(1-EXP(-LN(2)/25))/(LN(2)/25)*Calculateur!DB83*Calculateur!DD83*VLOOKUP('Données projet'!$B$13,Paramètres!$A$1:$I$89,3,0)*0.475*44/12</f>
        <v>74.010508485410952</v>
      </c>
      <c r="DH83" s="21">
        <f>EXP(-LN(2)/2)*DH82+(1-EXP(-LN(2)/2))/(LN(2)/2)*DB83*DE83*VLOOKUP('Données projet'!$B$13,Paramètres!$A$1:$I$89,3,0)*0.475*44/12</f>
        <v>80.915770320334886</v>
      </c>
      <c r="DI83" s="22">
        <f t="shared" si="69"/>
        <v>367.63736829096024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5.6843418860808015E-13</v>
      </c>
      <c r="DP83" s="17">
        <f>DO83*VLOOKUP('Données projet'!$B$14,Paramètres!$A$1:$I$89,3,0)*VLOOKUP('Données projet'!$B$14,Paramètres!$A$1:$I$89,5,0)</f>
        <v>3.177547114319168E-13</v>
      </c>
      <c r="DQ83" s="13">
        <f t="shared" si="97"/>
        <v>4.1725404435445377E-12</v>
      </c>
      <c r="DR83" s="20">
        <f t="shared" si="70"/>
        <v>7.820597394917325E-12</v>
      </c>
      <c r="DS83" s="59">
        <f t="shared" si="71"/>
        <v>293.33333333334116</v>
      </c>
      <c r="DT83" s="59">
        <f ca="1">AVERAGE(OFFSET($DS$3,0,0,'Données projet'!$E$14+1,1))-AVERAGE(OFFSET($H$3,0,0,'Données projet'!$E$14+1,1))</f>
        <v>328.15217666639006</v>
      </c>
      <c r="DU83" s="59">
        <f t="shared" si="98"/>
        <v>305.59175773326308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189.29133151421289</v>
      </c>
      <c r="EB83" s="21">
        <f>EXP(-LN(2)/25)*EB82+(1-EXP(-LN(2)/25))/(LN(2)/25)*Calculateur!DW83*Calculateur!DY83*VLOOKUP('Données projet'!$B$14,Paramètres!$A$1:$I$89,3,0)*0.475*44/12</f>
        <v>58.171189882781761</v>
      </c>
      <c r="EC83" s="21">
        <f>EXP(-LN(2)/2)*EC82+(1-EXP(-LN(2)/2))/(LN(2)/2)*DW83*DZ83*VLOOKUP('Données projet'!$B$14,Paramètres!$A$1:$I$89,3,0)*0.475*44/12</f>
        <v>2.3595476350881217</v>
      </c>
      <c r="ED83" s="22">
        <f t="shared" si="72"/>
        <v>249.82206903208277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159.78276497127206</v>
      </c>
      <c r="EP83" s="59">
        <f t="shared" si="100"/>
        <v>190.72163407919857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4.5063130121226056</v>
      </c>
      <c r="EW83" s="21">
        <f>EXP(-LN(2)/25)*EW82+(1-EXP(-LN(2)/25))/(LN(2)/25)*Calculateur!ER83*Calculateur!ET83*VLOOKUP('Données projet'!$B$15,Paramètres!$A$1:$I$89,3,0)*0.475*44/12</f>
        <v>19.483516510818443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23.989829522941051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10.385555555555555</v>
      </c>
      <c r="FE83" s="12">
        <f>IF('Données projet'!$A$218&gt;35,FE82+FD83-FM82,IF(A83&lt;'Données projet'!$A$218,$FB$205^A83,IF(A83='Données projet'!$A$218,'Données projet'!$B$218,FE82+FD83-FM82)))</f>
        <v>254.25777777777822</v>
      </c>
      <c r="FF83" s="17">
        <f>FE83*VLOOKUP('Données projet'!$B$16,Paramètres!$A$1:$I$89,3,0)*VLOOKUP('Données projet'!$B$16,Paramètres!$A$1:$I$89,5,0)</f>
        <v>218.15317333333371</v>
      </c>
      <c r="FG83" s="13">
        <f t="shared" si="101"/>
        <v>53.713290342855551</v>
      </c>
      <c r="FH83" s="20">
        <f t="shared" si="76"/>
        <v>473.50075756936286</v>
      </c>
      <c r="FI83" s="59">
        <f t="shared" si="77"/>
        <v>766.83409090269618</v>
      </c>
      <c r="FJ83" s="59">
        <f ca="1">AVERAGE(OFFSET($FI$3,0,0,'Données projet'!$E$16+1,1))-AVERAGE(OFFSET($H$3,0,0,'Données projet'!$E$16+1,1))</f>
        <v>337.15023592377008</v>
      </c>
      <c r="FK83" s="59">
        <f t="shared" si="102"/>
        <v>286.60608582587099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48.457328904029822</v>
      </c>
      <c r="FS83" s="21">
        <f>EXP(-LN(2)/2)*FS82+(1-EXP(-LN(2)/2))/(LN(2)/2)*FM83*FP83*VLOOKUP('Données projet'!$B$16,Paramètres!$A$1:$I$89,3,0)*0.475*44/12</f>
        <v>5.4508346468998017</v>
      </c>
      <c r="FT83" s="22">
        <f t="shared" si="78"/>
        <v>53.908163550929622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9.546999999999997</v>
      </c>
      <c r="FZ83" s="12">
        <f>IF('Données projet'!$A$244&gt;35,FZ82+FY83-GH82,IF(A83&lt;'Données projet'!$A$244,$FW$205^A83,IF(A83='Données projet'!$A$244,'Données projet'!$B$244,FZ82+FY83-GH82)))</f>
        <v>316.90200000000038</v>
      </c>
      <c r="GA83" s="17">
        <f>FZ83*VLOOKUP('Données projet'!$B$17,Paramètres!$A$1:$I$89,3,0)*VLOOKUP('Données projet'!$B$17,Paramètres!$A$1:$I$89,5,0)</f>
        <v>286.73292960000038</v>
      </c>
      <c r="GB83" s="13">
        <f t="shared" si="103"/>
        <v>68.387896772756079</v>
      </c>
      <c r="GC83" s="20">
        <f t="shared" si="79"/>
        <v>618.50210593255088</v>
      </c>
      <c r="GD83" s="59">
        <f t="shared" si="80"/>
        <v>911.83543926588413</v>
      </c>
      <c r="GE83" s="59">
        <f ca="1">AVERAGE(OFFSET($GD$3,0,0,'Données projet'!$E$17+1,1))-AVERAGE(OFFSET($H$3,0,0,'Données projet'!$E$17+1,1))</f>
        <v>486.55344536255876</v>
      </c>
      <c r="GF83" s="59">
        <f t="shared" si="104"/>
        <v>231.14794884432229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12.986593727820781</v>
      </c>
      <c r="GM83" s="21">
        <f>EXP(-LN(2)/25)*GM82+(1-EXP(-LN(2)/25))/(LN(2)/25)*Calculateur!GH83*Calculateur!GJ83*VLOOKUP('Données projet'!$B$17,Paramètres!$A$1:$I$89,3,0)*0.475*44/12</f>
        <v>26.663451854486379</v>
      </c>
      <c r="GN83" s="21">
        <f>EXP(-LN(2)/2)*GN82+(1-EXP(-LN(2)/2))/(LN(2)/2)*GH83*GK83*VLOOKUP('Données projet'!$B$17,Paramètres!$A$1:$I$89,3,0)*0.475*44/12</f>
        <v>0.5878605006843981</v>
      </c>
      <c r="GO83" s="21">
        <f t="shared" si="81"/>
        <v>40.237906082991557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389.73513402307276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14.483750000000001</v>
      </c>
      <c r="N84" s="13">
        <f>IF('Données projet'!$A$36&gt;35,N83+M84-V83,IF(A84&lt;'Données projet'!$A$36,$K$205^A84,IF(A84='Données projet'!$A$36,'Données projet'!$B$36,N83+M84-V83)))</f>
        <v>487.12249999999989</v>
      </c>
      <c r="O84" s="13">
        <f>N84*VLOOKUP('Données projet'!$B$9,Paramètres!$A$1:$I$89,3,0)*VLOOKUP('Données projet'!$B$9,Paramètres!$A$1:$I$89,5,0)</f>
        <v>227.97332999999995</v>
      </c>
      <c r="P84" s="13">
        <f t="shared" si="87"/>
        <v>55.844242621755619</v>
      </c>
      <c r="Q84" s="20">
        <f t="shared" si="54"/>
        <v>494.31560564955754</v>
      </c>
      <c r="R84" s="59">
        <f t="shared" si="55"/>
        <v>787.64893898289085</v>
      </c>
      <c r="S84" s="59">
        <f ca="1">AVERAGE(OFFSET($R$3,0,0,'Données projet'!$E$9+1,1))-AVERAGE(OFFSET($H$3,0,0,'Données projet'!$E$9+1,1))</f>
        <v>252.08270526008477</v>
      </c>
      <c r="T84" s="59">
        <f t="shared" si="88"/>
        <v>239.77811108960179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57.45940276340896</v>
      </c>
      <c r="AA84" s="21">
        <f>EXP(-LN(2)/25)*AA83+(1-EXP(-LN(2)/25))/(LN(2)/25)*Calculateur!V84*Calculateur!X84*VLOOKUP('Données projet'!$B$9,Paramètres!$A$1:$I$89,3,0)*0.475*44/12</f>
        <v>19.990425710606448</v>
      </c>
      <c r="AB84" s="21">
        <f>EXP(-LN(2)/2)*AB83+(1-EXP(-LN(2)/2))/(LN(2)/2)*V84*Y84*VLOOKUP('Données projet'!$B$9,Paramètres!$A$1:$I$89,3,0)*0.475*44/12</f>
        <v>1.2365425936903454</v>
      </c>
      <c r="AC84" s="22">
        <f t="shared" si="57"/>
        <v>78.68637106770575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251.64326096359997</v>
      </c>
      <c r="AO84" s="59">
        <f t="shared" si="90"/>
        <v>256.72142151189894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91.619443890608167</v>
      </c>
      <c r="AV84" s="21">
        <f>EXP(-LN(2)/25)*AV83+(1-EXP(-LN(2)/25))/(LN(2)/25)*Calculateur!AQ84*Calculateur!AS84*VLOOKUP('Données projet'!$B$10,Paramètres!$A$1:$I$89,3,0)*0.475*44/12</f>
        <v>27.060983729555478</v>
      </c>
      <c r="AW84" s="21">
        <f>EXP(-LN(2)/2)*AW83+(1-EXP(-LN(2)/2))/(LN(2)/2)*AQ84*AT84*VLOOKUP('Données projet'!$B$10,Paramètres!$A$1:$I$89,3,0)*0.475*44/12</f>
        <v>4.1405412920041677E-2</v>
      </c>
      <c r="AX84" s="21">
        <f t="shared" si="60"/>
        <v>118.72183303308368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199.29783428981898</v>
      </c>
      <c r="BJ84" s="59">
        <f t="shared" si="92"/>
        <v>237.32002274562547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3.8036752671003899</v>
      </c>
      <c r="BQ84" s="21">
        <f>EXP(-LN(2)/25)*BQ83+(1-EXP(-LN(2)/25))/(LN(2)/25)*Calculateur!BL84*Calculateur!BN84*VLOOKUP('Données projet'!$B$11,Paramètres!$A$1:$I$89,3,0)*0.475*44/12</f>
        <v>16.315826514295658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20.119501781396046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9.4837500000000006</v>
      </c>
      <c r="BY84" s="12">
        <f>IF('Données projet'!$A$114&gt;35,BY83+BX84-CG83,IF(A84&lt;'Données projet'!$A$114,$BV$205^A84,IF(A84='Données projet'!$A$114,'Données projet'!$B$114,BY83+BX84-CG83)))</f>
        <v>287.14249999999993</v>
      </c>
      <c r="BZ84" s="13">
        <f>BY84*VLOOKUP('Données projet'!$B$12,Paramètres!$A$1:$I$89,3,0)*VLOOKUP('Données projet'!$B$12,Paramètres!$A$1:$I$89,5,0)</f>
        <v>241.88884199999995</v>
      </c>
      <c r="CA84" s="13">
        <f t="shared" si="93"/>
        <v>58.845738436515923</v>
      </c>
      <c r="CB84" s="20">
        <f t="shared" si="64"/>
        <v>523.77939426026512</v>
      </c>
      <c r="CC84" s="59">
        <f t="shared" si="65"/>
        <v>817.11272759359849</v>
      </c>
      <c r="CD84" s="59">
        <f ca="1">AVERAGE(OFFSET($CC$3,0,0,'Données projet'!$E$12+1,1))-AVERAGE(OFFSET($H$3,0,0,'Données projet'!$E$12+1,1))</f>
        <v>295.59075210589327</v>
      </c>
      <c r="CE84" s="59">
        <f t="shared" si="94"/>
        <v>210.41181542059576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17.229756804470089</v>
      </c>
      <c r="CL84" s="21">
        <f>EXP(-LN(2)/25)*CL83+(1-EXP(-LN(2)/25))/(LN(2)/25)*Calculateur!CG84*Calculateur!CI84*VLOOKUP('Données projet'!$B$12,Paramètres!$A$1:$I$89,3,0)*0.475*44/12</f>
        <v>20.474450748444777</v>
      </c>
      <c r="CM84" s="21">
        <f>EXP(-LN(2)/2)*CM83+(1-EXP(-LN(2)/2))/(LN(2)/2)*CG84*CJ84*VLOOKUP('Données projet'!$B$12,Paramètres!$A$1:$I$89,3,0)*0.475*44/12</f>
        <v>0.46061178519712581</v>
      </c>
      <c r="CN84" s="22">
        <f t="shared" si="66"/>
        <v>38.16481933811199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1.1368683772161603E-13</v>
      </c>
      <c r="CU84" s="17">
        <f>CT84*VLOOKUP('Données projet'!$B$13,Paramètres!$A$1:$I$89,3,0)*VLOOKUP('Données projet'!$B$13,Paramètres!$A$1:$I$89,5,0)</f>
        <v>5.1727511163335289E-14</v>
      </c>
      <c r="CV84" s="13">
        <f t="shared" si="95"/>
        <v>8.3906664221915895E-13</v>
      </c>
      <c r="CW84" s="20">
        <f t="shared" si="67"/>
        <v>1.551466483807844E-12</v>
      </c>
      <c r="CX84" s="59">
        <f t="shared" si="68"/>
        <v>293.33333333333485</v>
      </c>
      <c r="CY84" s="59">
        <f ca="1">AVERAGE(OFFSET($CX$3,0,0,'Données projet'!$E$13+1,1))-AVERAGE(OFFSET($H$3,0,0,'Données projet'!$E$13+1,1))</f>
        <v>338.22448697444298</v>
      </c>
      <c r="CZ84" s="59">
        <f t="shared" si="96"/>
        <v>293.3872365640849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208.53995476136311</v>
      </c>
      <c r="DG84" s="21">
        <f>EXP(-LN(2)/25)*DG83+(1-EXP(-LN(2)/25))/(LN(2)/25)*Calculateur!DB84*Calculateur!DD84*VLOOKUP('Données projet'!$B$13,Paramètres!$A$1:$I$89,3,0)*0.475*44/12</f>
        <v>71.986687238833895</v>
      </c>
      <c r="DH84" s="21">
        <f>EXP(-LN(2)/2)*DH83+(1-EXP(-LN(2)/2))/(LN(2)/2)*DB84*DE84*VLOOKUP('Données projet'!$B$13,Paramètres!$A$1:$I$89,3,0)*0.475*44/12</f>
        <v>57.216089898441979</v>
      </c>
      <c r="DI84" s="22">
        <f t="shared" si="69"/>
        <v>337.74273189863897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5.6843418860808015E-13</v>
      </c>
      <c r="DP84" s="17">
        <f>DO84*VLOOKUP('Données projet'!$B$14,Paramètres!$A$1:$I$89,3,0)*VLOOKUP('Données projet'!$B$14,Paramètres!$A$1:$I$89,5,0)</f>
        <v>3.177547114319168E-13</v>
      </c>
      <c r="DQ84" s="13">
        <f t="shared" si="97"/>
        <v>4.1725404435445377E-12</v>
      </c>
      <c r="DR84" s="20">
        <f t="shared" si="70"/>
        <v>7.820597394917325E-12</v>
      </c>
      <c r="DS84" s="59">
        <f t="shared" si="71"/>
        <v>293.33333333334116</v>
      </c>
      <c r="DT84" s="59">
        <f ca="1">AVERAGE(OFFSET($DS$3,0,0,'Données projet'!$E$14+1,1))-AVERAGE(OFFSET($H$3,0,0,'Données projet'!$E$14+1,1))</f>
        <v>328.15217666639006</v>
      </c>
      <c r="DU84" s="59">
        <f t="shared" si="98"/>
        <v>305.59175773326308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185.57944395953103</v>
      </c>
      <c r="EB84" s="21">
        <f>EXP(-LN(2)/25)*EB83+(1-EXP(-LN(2)/25))/(LN(2)/25)*Calculateur!DW84*Calculateur!DY84*VLOOKUP('Données projet'!$B$14,Paramètres!$A$1:$I$89,3,0)*0.475*44/12</f>
        <v>56.580495636347166</v>
      </c>
      <c r="EC84" s="21">
        <f>EXP(-LN(2)/2)*EC83+(1-EXP(-LN(2)/2))/(LN(2)/2)*DW84*DZ84*VLOOKUP('Données projet'!$B$14,Paramètres!$A$1:$I$89,3,0)*0.475*44/12</f>
        <v>1.6684521333034923</v>
      </c>
      <c r="ED84" s="22">
        <f t="shared" si="72"/>
        <v>243.8283917291817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159.78276497127206</v>
      </c>
      <c r="EP84" s="59">
        <f t="shared" si="100"/>
        <v>190.72163407919857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4.417946962534419</v>
      </c>
      <c r="EW84" s="21">
        <f>EXP(-LN(2)/25)*EW83+(1-EXP(-LN(2)/25))/(LN(2)/25)*Calculateur!ER84*Calculateur!ET84*VLOOKUP('Données projet'!$B$15,Paramètres!$A$1:$I$89,3,0)*0.475*44/12</f>
        <v>18.950738727236509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23.368685689770928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10.385555555555555</v>
      </c>
      <c r="FE84" s="12">
        <f>IF('Données projet'!$A$218&gt;35,FE83+FD84-FM83,IF(A84&lt;'Données projet'!$A$218,$FB$205^A84,IF(A84='Données projet'!$A$218,'Données projet'!$B$218,FE83+FD84-FM83)))</f>
        <v>264.64333333333377</v>
      </c>
      <c r="FF84" s="17">
        <f>FE84*VLOOKUP('Données projet'!$B$16,Paramètres!$A$1:$I$89,3,0)*VLOOKUP('Données projet'!$B$16,Paramètres!$A$1:$I$89,5,0)</f>
        <v>227.06398000000041</v>
      </c>
      <c r="FG84" s="13">
        <f t="shared" si="101"/>
        <v>55.647371461589081</v>
      </c>
      <c r="FH84" s="20">
        <f t="shared" si="76"/>
        <v>492.38893712893508</v>
      </c>
      <c r="FI84" s="59">
        <f t="shared" si="77"/>
        <v>785.7222704622684</v>
      </c>
      <c r="FJ84" s="59">
        <f ca="1">AVERAGE(OFFSET($FI$3,0,0,'Données projet'!$E$16+1,1))-AVERAGE(OFFSET($H$3,0,0,'Données projet'!$E$16+1,1))</f>
        <v>337.15023592377008</v>
      </c>
      <c r="FK84" s="59">
        <f t="shared" si="102"/>
        <v>286.60608582587099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47.132260696888949</v>
      </c>
      <c r="FS84" s="21">
        <f>EXP(-LN(2)/2)*FS83+(1-EXP(-LN(2)/2))/(LN(2)/2)*FM84*FP84*VLOOKUP('Données projet'!$B$16,Paramètres!$A$1:$I$89,3,0)*0.475*44/12</f>
        <v>3.8543221419494302</v>
      </c>
      <c r="FT84" s="22">
        <f t="shared" si="78"/>
        <v>50.98658283883838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9.546999999999997</v>
      </c>
      <c r="FZ84" s="12">
        <f>IF('Données projet'!$A$244&gt;35,FZ83+FY84-GH83,IF(A84&lt;'Données projet'!$A$244,$FW$205^A84,IF(A84='Données projet'!$A$244,'Données projet'!$B$244,FZ83+FY84-GH83)))</f>
        <v>326.44900000000041</v>
      </c>
      <c r="GA84" s="17">
        <f>FZ84*VLOOKUP('Données projet'!$B$17,Paramètres!$A$1:$I$89,3,0)*VLOOKUP('Données projet'!$B$17,Paramètres!$A$1:$I$89,5,0)</f>
        <v>295.37105520000034</v>
      </c>
      <c r="GB84" s="13">
        <f t="shared" si="103"/>
        <v>70.205182362680091</v>
      </c>
      <c r="GC84" s="20">
        <f t="shared" si="79"/>
        <v>636.71194708833502</v>
      </c>
      <c r="GD84" s="59">
        <f t="shared" si="80"/>
        <v>930.04528042166839</v>
      </c>
      <c r="GE84" s="59">
        <f ca="1">AVERAGE(OFFSET($GD$3,0,0,'Données projet'!$E$17+1,1))-AVERAGE(OFFSET($H$3,0,0,'Données projet'!$E$17+1,1))</f>
        <v>486.55344536255876</v>
      </c>
      <c r="GF84" s="59">
        <f t="shared" si="104"/>
        <v>231.14794884432229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12.731934545858252</v>
      </c>
      <c r="GM84" s="21">
        <f>EXP(-LN(2)/25)*GM83+(1-EXP(-LN(2)/25))/(LN(2)/25)*Calculateur!GH84*Calculateur!GJ84*VLOOKUP('Données projet'!$B$17,Paramètres!$A$1:$I$89,3,0)*0.475*44/12</f>
        <v>25.934338361355454</v>
      </c>
      <c r="GN84" s="21">
        <f>EXP(-LN(2)/2)*GN83+(1-EXP(-LN(2)/2))/(LN(2)/2)*GH84*GK84*VLOOKUP('Données projet'!$B$17,Paramètres!$A$1:$I$89,3,0)*0.475*44/12</f>
        <v>0.41568014642565698</v>
      </c>
      <c r="GO84" s="21">
        <f t="shared" si="81"/>
        <v>39.081953053639367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391.33514072820037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14.483750000000001</v>
      </c>
      <c r="N85" s="13">
        <f>IF('Données projet'!$A$36&gt;35,N84+M85-V84,IF(A85&lt;'Données projet'!$A$36,$K$205^A85,IF(A85='Données projet'!$A$36,'Données projet'!$B$36,N84+M85-V84)))</f>
        <v>501.60624999999987</v>
      </c>
      <c r="O85" s="13">
        <f>N85*VLOOKUP('Données projet'!$B$9,Paramètres!$A$1:$I$89,3,0)*VLOOKUP('Données projet'!$B$9,Paramètres!$A$1:$I$89,5,0)</f>
        <v>234.75172499999994</v>
      </c>
      <c r="P85" s="13">
        <f t="shared" si="87"/>
        <v>57.308889587254775</v>
      </c>
      <c r="Q85" s="20">
        <f t="shared" si="54"/>
        <v>508.67223707280192</v>
      </c>
      <c r="R85" s="59">
        <f t="shared" si="55"/>
        <v>802.00557040613523</v>
      </c>
      <c r="S85" s="59">
        <f ca="1">AVERAGE(OFFSET($R$3,0,0,'Données projet'!$E$9+1,1))-AVERAGE(OFFSET($H$3,0,0,'Données projet'!$E$9+1,1))</f>
        <v>252.08270526008477</v>
      </c>
      <c r="T85" s="59">
        <f t="shared" si="88"/>
        <v>239.77811108960179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56.332658921993612</v>
      </c>
      <c r="AA85" s="21">
        <f>EXP(-LN(2)/25)*AA84+(1-EXP(-LN(2)/25))/(LN(2)/25)*Calculateur!V85*Calculateur!X85*VLOOKUP('Données projet'!$B$9,Paramètres!$A$1:$I$89,3,0)*0.475*44/12</f>
        <v>19.443786468299116</v>
      </c>
      <c r="AB85" s="21">
        <f>EXP(-LN(2)/2)*AB84+(1-EXP(-LN(2)/2))/(LN(2)/2)*V85*Y85*VLOOKUP('Données projet'!$B$9,Paramètres!$A$1:$I$89,3,0)*0.475*44/12</f>
        <v>0.87436765322444499</v>
      </c>
      <c r="AC85" s="22">
        <f t="shared" si="57"/>
        <v>76.650813043517175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251.64326096359997</v>
      </c>
      <c r="AO85" s="59">
        <f t="shared" si="90"/>
        <v>256.72142151189894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89.822842478256192</v>
      </c>
      <c r="AV85" s="21">
        <f>EXP(-LN(2)/25)*AV84+(1-EXP(-LN(2)/25))/(LN(2)/25)*Calculateur!AQ85*Calculateur!AS85*VLOOKUP('Données projet'!$B$10,Paramètres!$A$1:$I$89,3,0)*0.475*44/12</f>
        <v>26.320999706395497</v>
      </c>
      <c r="AW85" s="21">
        <f>EXP(-LN(2)/2)*AW84+(1-EXP(-LN(2)/2))/(LN(2)/2)*AQ85*AT85*VLOOKUP('Données projet'!$B$10,Paramètres!$A$1:$I$89,3,0)*0.475*44/12</f>
        <v>2.9278048253590559E-2</v>
      </c>
      <c r="AX85" s="21">
        <f t="shared" si="60"/>
        <v>116.17312023290528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199.29783428981898</v>
      </c>
      <c r="BJ85" s="59">
        <f t="shared" si="92"/>
        <v>237.32002274562547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3.7290875151253822</v>
      </c>
      <c r="BQ85" s="21">
        <f>EXP(-LN(2)/25)*BQ84+(1-EXP(-LN(2)/25))/(LN(2)/25)*Calculateur!BL85*Calculateur!BN85*VLOOKUP('Données projet'!$B$11,Paramètres!$A$1:$I$89,3,0)*0.475*44/12</f>
        <v>15.869669380250217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19.598756895375601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9.4837500000000006</v>
      </c>
      <c r="BY85" s="12">
        <f>IF('Données projet'!$A$114&gt;35,BY84+BX85-CG84,IF(A85&lt;'Données projet'!$A$114,$BV$205^A85,IF(A85='Données projet'!$A$114,'Données projet'!$B$114,BY84+BX85-CG84)))</f>
        <v>296.62624999999991</v>
      </c>
      <c r="BZ85" s="13">
        <f>BY85*VLOOKUP('Données projet'!$B$12,Paramètres!$A$1:$I$89,3,0)*VLOOKUP('Données projet'!$B$12,Paramètres!$A$1:$I$89,5,0)</f>
        <v>249.87795299999993</v>
      </c>
      <c r="CA85" s="13">
        <f t="shared" si="93"/>
        <v>60.559805581498345</v>
      </c>
      <c r="CB85" s="20">
        <f t="shared" si="64"/>
        <v>540.67909619610953</v>
      </c>
      <c r="CC85" s="59">
        <f t="shared" si="65"/>
        <v>834.0124295294429</v>
      </c>
      <c r="CD85" s="59">
        <f ca="1">AVERAGE(OFFSET($CC$3,0,0,'Données projet'!$E$12+1,1))-AVERAGE(OFFSET($H$3,0,0,'Données projet'!$E$12+1,1))</f>
        <v>295.59075210589327</v>
      </c>
      <c r="CE85" s="59">
        <f t="shared" si="94"/>
        <v>210.41181542059576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16.891891782648393</v>
      </c>
      <c r="CL85" s="21">
        <f>EXP(-LN(2)/25)*CL84+(1-EXP(-LN(2)/25))/(LN(2)/25)*Calculateur!CG85*Calculateur!CI85*VLOOKUP('Données projet'!$B$12,Paramètres!$A$1:$I$89,3,0)*0.475*44/12</f>
        <v>19.914575816023984</v>
      </c>
      <c r="CM85" s="21">
        <f>EXP(-LN(2)/2)*CM84+(1-EXP(-LN(2)/2))/(LN(2)/2)*CG85*CJ85*VLOOKUP('Données projet'!$B$12,Paramètres!$A$1:$I$89,3,0)*0.475*44/12</f>
        <v>0.32570171680732907</v>
      </c>
      <c r="CN85" s="22">
        <f t="shared" si="66"/>
        <v>37.132169315479707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1.1368683772161603E-13</v>
      </c>
      <c r="CU85" s="17">
        <f>CT85*VLOOKUP('Données projet'!$B$13,Paramètres!$A$1:$I$89,3,0)*VLOOKUP('Données projet'!$B$13,Paramètres!$A$1:$I$89,5,0)</f>
        <v>5.1727511163335289E-14</v>
      </c>
      <c r="CV85" s="13">
        <f t="shared" si="95"/>
        <v>8.3906664221915895E-13</v>
      </c>
      <c r="CW85" s="20">
        <f t="shared" si="67"/>
        <v>1.551466483807844E-12</v>
      </c>
      <c r="CX85" s="59">
        <f t="shared" si="68"/>
        <v>293.33333333333485</v>
      </c>
      <c r="CY85" s="59">
        <f ca="1">AVERAGE(OFFSET($CX$3,0,0,'Données projet'!$E$13+1,1))-AVERAGE(OFFSET($H$3,0,0,'Données projet'!$E$13+1,1))</f>
        <v>338.22448697444298</v>
      </c>
      <c r="CZ85" s="59">
        <f t="shared" si="96"/>
        <v>293.3872365640849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204.45061344530555</v>
      </c>
      <c r="DG85" s="21">
        <f>EXP(-LN(2)/25)*DG84+(1-EXP(-LN(2)/25))/(LN(2)/25)*Calculateur!DB85*Calculateur!DD85*VLOOKUP('Données projet'!$B$13,Paramètres!$A$1:$I$89,3,0)*0.475*44/12</f>
        <v>70.018207490672623</v>
      </c>
      <c r="DH85" s="21">
        <f>EXP(-LN(2)/2)*DH84+(1-EXP(-LN(2)/2))/(LN(2)/2)*DB85*DE85*VLOOKUP('Données projet'!$B$13,Paramètres!$A$1:$I$89,3,0)*0.475*44/12</f>
        <v>40.45788516016745</v>
      </c>
      <c r="DI85" s="22">
        <f t="shared" si="69"/>
        <v>314.92670609614561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5.6843418860808015E-13</v>
      </c>
      <c r="DP85" s="17">
        <f>DO85*VLOOKUP('Données projet'!$B$14,Paramètres!$A$1:$I$89,3,0)*VLOOKUP('Données projet'!$B$14,Paramètres!$A$1:$I$89,5,0)</f>
        <v>3.177547114319168E-13</v>
      </c>
      <c r="DQ85" s="13">
        <f t="shared" si="97"/>
        <v>4.1725404435445377E-12</v>
      </c>
      <c r="DR85" s="20">
        <f t="shared" si="70"/>
        <v>7.820597394917325E-12</v>
      </c>
      <c r="DS85" s="59">
        <f t="shared" si="71"/>
        <v>293.33333333334116</v>
      </c>
      <c r="DT85" s="59">
        <f ca="1">AVERAGE(OFFSET($DS$3,0,0,'Données projet'!$E$14+1,1))-AVERAGE(OFFSET($H$3,0,0,'Données projet'!$E$14+1,1))</f>
        <v>328.15217666639006</v>
      </c>
      <c r="DU85" s="59">
        <f t="shared" si="98"/>
        <v>305.59175773326308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181.94034425576862</v>
      </c>
      <c r="EB85" s="21">
        <f>EXP(-LN(2)/25)*EB84+(1-EXP(-LN(2)/25))/(LN(2)/25)*Calculateur!DW85*Calculateur!DY85*VLOOKUP('Données projet'!$B$14,Paramètres!$A$1:$I$89,3,0)*0.475*44/12</f>
        <v>55.033299007732303</v>
      </c>
      <c r="EC85" s="21">
        <f>EXP(-LN(2)/2)*EC84+(1-EXP(-LN(2)/2))/(LN(2)/2)*DW85*DZ85*VLOOKUP('Données projet'!$B$14,Paramètres!$A$1:$I$89,3,0)*0.475*44/12</f>
        <v>1.1797738175440611</v>
      </c>
      <c r="ED85" s="22">
        <f t="shared" si="72"/>
        <v>238.15341708104498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159.78276497127206</v>
      </c>
      <c r="EP85" s="59">
        <f t="shared" si="100"/>
        <v>190.72163407919857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4.3313137172806888</v>
      </c>
      <c r="EW85" s="21">
        <f>EXP(-LN(2)/25)*EW84+(1-EXP(-LN(2)/25))/(LN(2)/25)*Calculateur!ER85*Calculateur!ET85*VLOOKUP('Données projet'!$B$15,Paramètres!$A$1:$I$89,3,0)*0.475*44/12</f>
        <v>18.432529780164188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22.763843497444878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10.385555555555555</v>
      </c>
      <c r="FE85" s="12">
        <f>IF('Données projet'!$A$218&gt;35,FE84+FD85-FM84,IF(A85&lt;'Données projet'!$A$218,$FB$205^A85,IF(A85='Données projet'!$A$218,'Données projet'!$B$218,FE84+FD85-FM84)))</f>
        <v>275.02888888888936</v>
      </c>
      <c r="FF85" s="17">
        <f>FE85*VLOOKUP('Données projet'!$B$16,Paramètres!$A$1:$I$89,3,0)*VLOOKUP('Données projet'!$B$16,Paramètres!$A$1:$I$89,5,0)</f>
        <v>235.97478666666709</v>
      </c>
      <c r="FG85" s="13">
        <f t="shared" si="101"/>
        <v>57.572635543566641</v>
      </c>
      <c r="FH85" s="20">
        <f t="shared" si="76"/>
        <v>511.26176034949043</v>
      </c>
      <c r="FI85" s="59">
        <f t="shared" si="77"/>
        <v>804.59509368282374</v>
      </c>
      <c r="FJ85" s="59">
        <f ca="1">AVERAGE(OFFSET($FI$3,0,0,'Données projet'!$E$16+1,1))-AVERAGE(OFFSET($H$3,0,0,'Données projet'!$E$16+1,1))</f>
        <v>337.15023592377008</v>
      </c>
      <c r="FK85" s="59">
        <f t="shared" si="102"/>
        <v>286.60608582587099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45.84342654955465</v>
      </c>
      <c r="FS85" s="21">
        <f>EXP(-LN(2)/2)*FS84+(1-EXP(-LN(2)/2))/(LN(2)/2)*FM85*FP85*VLOOKUP('Données projet'!$B$16,Paramètres!$A$1:$I$89,3,0)*0.475*44/12</f>
        <v>2.7254173234499013</v>
      </c>
      <c r="FT85" s="22">
        <f t="shared" si="78"/>
        <v>48.568843873004553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9.546999999999997</v>
      </c>
      <c r="FZ85" s="12">
        <f>IF('Données projet'!$A$244&gt;35,FZ84+FY85-GH84,IF(A85&lt;'Données projet'!$A$244,$FW$205^A85,IF(A85='Données projet'!$A$244,'Données projet'!$B$244,FZ84+FY85-GH84)))</f>
        <v>335.99600000000044</v>
      </c>
      <c r="GA85" s="17">
        <f>FZ85*VLOOKUP('Données projet'!$B$17,Paramètres!$A$1:$I$89,3,0)*VLOOKUP('Données projet'!$B$17,Paramètres!$A$1:$I$89,5,0)</f>
        <v>304.00918080000037</v>
      </c>
      <c r="GB85" s="13">
        <f t="shared" si="103"/>
        <v>72.016291285794935</v>
      </c>
      <c r="GC85" s="20">
        <f t="shared" si="79"/>
        <v>654.91103054942675</v>
      </c>
      <c r="GD85" s="59">
        <f t="shared" si="80"/>
        <v>948.24436388276013</v>
      </c>
      <c r="GE85" s="59">
        <f ca="1">AVERAGE(OFFSET($GD$3,0,0,'Données projet'!$E$17+1,1))-AVERAGE(OFFSET($H$3,0,0,'Données projet'!$E$17+1,1))</f>
        <v>486.55344536255876</v>
      </c>
      <c r="GF85" s="59">
        <f t="shared" si="104"/>
        <v>231.14794884432229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12.482269075127244</v>
      </c>
      <c r="GM85" s="21">
        <f>EXP(-LN(2)/25)*GM84+(1-EXP(-LN(2)/25))/(LN(2)/25)*Calculateur!GH85*Calculateur!GJ85*VLOOKUP('Données projet'!$B$17,Paramètres!$A$1:$I$89,3,0)*0.475*44/12</f>
        <v>25.225162515036608</v>
      </c>
      <c r="GN85" s="21">
        <f>EXP(-LN(2)/2)*GN84+(1-EXP(-LN(2)/2))/(LN(2)/2)*GH85*GK85*VLOOKUP('Données projet'!$B$17,Paramètres!$A$1:$I$89,3,0)*0.475*44/12</f>
        <v>0.29393025034219911</v>
      </c>
      <c r="GO85" s="21">
        <f t="shared" si="81"/>
        <v>38.00136184050605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392.93468922045315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516.09</v>
      </c>
      <c r="L86" s="12">
        <f>VLOOKUP(A86,'Données projet'!$A$35:$I$55,9,0)</f>
        <v>14.483750000000001</v>
      </c>
      <c r="M86" s="12">
        <f t="array" ref="M86">INDEX(L:L,MIN(IF(ISNUMBER(L86:L282),ROW(L86:L282),"")))</f>
        <v>14.483750000000001</v>
      </c>
      <c r="N86" s="13">
        <f>IF('Données projet'!$A$36&gt;35,N85+M86-V85,IF(A86&lt;'Données projet'!$A$36,$K$205^A86,IF(A86='Données projet'!$A$36,'Données projet'!$B$36,N85+M86-V85)))</f>
        <v>516.08999999999992</v>
      </c>
      <c r="O86" s="13">
        <f>N86*VLOOKUP('Données projet'!$B$9,Paramètres!$A$1:$I$89,3,0)*VLOOKUP('Données projet'!$B$9,Paramètres!$A$1:$I$89,5,0)</f>
        <v>241.53011999999995</v>
      </c>
      <c r="P86" s="13">
        <f t="shared" si="87"/>
        <v>58.768621387125265</v>
      </c>
      <c r="Q86" s="20">
        <f t="shared" si="54"/>
        <v>523.02030791590971</v>
      </c>
      <c r="R86" s="59">
        <f t="shared" si="55"/>
        <v>816.35364124924308</v>
      </c>
      <c r="S86" s="59">
        <f ca="1">AVERAGE(OFFSET($R$3,0,0,'Données projet'!$E$9+1,1))-AVERAGE(OFFSET($H$3,0,0,'Données projet'!$E$9+1,1))</f>
        <v>252.08270526008477</v>
      </c>
      <c r="T86" s="59">
        <f t="shared" si="88"/>
        <v>239.77811108960179</v>
      </c>
      <c r="U86" s="15">
        <f>IF(ISNA(VLOOKUP(A86,'Données projet'!$A$35:$I$55,3,0)),0,VLOOKUP(A86,'Données projet'!$A$35:$I$55,3,0))</f>
        <v>6</v>
      </c>
      <c r="V86" s="15">
        <f>IF(ISNA(VLOOKUP(A86,'Données projet'!$A$35:$I$55,4,0)),0,VLOOKUP(A86,'Données projet'!$A$35:$I$55,4,0))</f>
        <v>91.480000000000018</v>
      </c>
      <c r="W86" s="16">
        <f>IF(ISNA(VLOOKUP(A86,'Données projet'!$A$35:$I$55,5,0)),0%,VLOOKUP(A86,'Données projet'!$A$35:$I$55,5,0)*VLOOKUP('Données projet'!$B$9,Paramètres!$A$1:$I$89,7,0))</f>
        <v>0.33</v>
      </c>
      <c r="X86" s="16">
        <f>IF(ISNA(VLOOKUP(A86,'Données projet'!$A$35:$I$55,6,0)),0%,VLOOKUP(A86,'Données projet'!$A$35:$I$55,6,0)*VLOOKUP('Données projet'!$B$9,Paramètres!$A$1:$I$89,7,0))</f>
        <v>0.11000000000000001</v>
      </c>
      <c r="Y86" s="16">
        <f>IF(ISNA(VLOOKUP(A86,'Données projet'!$A$35:$I$55,7,0)),0%,VLOOKUP(A86,'Données projet'!$A$35:$I$55,7,0))</f>
        <v>0.2</v>
      </c>
      <c r="Z86" s="21">
        <f>EXP(-LN(2)/35)*Z85+(1-EXP(-LN(2)/35))/(LN(2)/35)*V86*W86*VLOOKUP('Données projet'!$B$9,Paramètres!$A$1:$I$89,3,0)*0.475*44/12</f>
        <v>73.969939574347137</v>
      </c>
      <c r="AA86" s="21">
        <f>EXP(-LN(2)/25)*AA85+(1-EXP(-LN(2)/25))/(LN(2)/25)*Calculateur!V86*Calculateur!X86*VLOOKUP('Données projet'!$B$9,Paramètres!$A$1:$I$89,3,0)*0.475*44/12</f>
        <v>25.134806976714398</v>
      </c>
      <c r="AB86" s="21">
        <f>EXP(-LN(2)/2)*AB85+(1-EXP(-LN(2)/2))/(LN(2)/2)*V86*Y86*VLOOKUP('Données projet'!$B$9,Paramètres!$A$1:$I$89,3,0)*0.475*44/12</f>
        <v>10.31304204691987</v>
      </c>
      <c r="AC86" s="22">
        <f t="shared" si="57"/>
        <v>109.41778859798141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251.64326096359997</v>
      </c>
      <c r="AO86" s="59">
        <f t="shared" si="90"/>
        <v>256.72142151189894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88.061471323781774</v>
      </c>
      <c r="AV86" s="21">
        <f>EXP(-LN(2)/25)*AV85+(1-EXP(-LN(2)/25))/(LN(2)/25)*Calculateur!AQ86*Calculateur!AS86*VLOOKUP('Données projet'!$B$10,Paramètres!$A$1:$I$89,3,0)*0.475*44/12</f>
        <v>25.601250585262896</v>
      </c>
      <c r="AW86" s="21">
        <f>EXP(-LN(2)/2)*AW85+(1-EXP(-LN(2)/2))/(LN(2)/2)*AQ86*AT86*VLOOKUP('Données projet'!$B$10,Paramètres!$A$1:$I$89,3,0)*0.475*44/12</f>
        <v>2.0702706460020842E-2</v>
      </c>
      <c r="AX86" s="21">
        <f t="shared" si="60"/>
        <v>113.68342461550469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199.29783428981898</v>
      </c>
      <c r="BJ86" s="59">
        <f t="shared" si="92"/>
        <v>237.32002274562547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3.6559623834725676</v>
      </c>
      <c r="BQ86" s="21">
        <f>EXP(-LN(2)/25)*BQ85+(1-EXP(-LN(2)/25))/(LN(2)/25)*Calculateur!BL86*Calculateur!BN86*VLOOKUP('Données projet'!$B$11,Paramètres!$A$1:$I$89,3,0)*0.475*44/12</f>
        <v>15.435712436497633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19.091674819970201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306.11</v>
      </c>
      <c r="BW86" s="12">
        <f>VLOOKUP(A86,'Données projet'!$A$113:$I$133,9,0)</f>
        <v>9.4837500000000006</v>
      </c>
      <c r="BX86" s="12">
        <f t="array" ref="BX86">INDEX(BW:BW,MIN(IF(ISNUMBER(BW86:BW282),ROW(BW86:BW282),"")))</f>
        <v>9.4837500000000006</v>
      </c>
      <c r="BY86" s="12">
        <f>IF('Données projet'!$A$114&gt;35,BY85+BX86-CG85,IF(A86&lt;'Données projet'!$A$114,$BV$205^A86,IF(A86='Données projet'!$A$114,'Données projet'!$B$114,BY85+BX86-CG85)))</f>
        <v>306.1099999999999</v>
      </c>
      <c r="BZ86" s="13">
        <f>BY86*VLOOKUP('Données projet'!$B$12,Paramètres!$A$1:$I$89,3,0)*VLOOKUP('Données projet'!$B$12,Paramètres!$A$1:$I$89,5,0)</f>
        <v>257.86706399999997</v>
      </c>
      <c r="CA86" s="13">
        <f t="shared" si="93"/>
        <v>62.267504454097896</v>
      </c>
      <c r="CB86" s="20">
        <f t="shared" si="64"/>
        <v>557.56770672422044</v>
      </c>
      <c r="CC86" s="59">
        <f t="shared" si="65"/>
        <v>850.9010400575537</v>
      </c>
      <c r="CD86" s="59">
        <f ca="1">AVERAGE(OFFSET($CC$3,0,0,'Données projet'!$E$12+1,1))-AVERAGE(OFFSET($H$3,0,0,'Données projet'!$E$12+1,1))</f>
        <v>295.59075210589327</v>
      </c>
      <c r="CE86" s="59">
        <f t="shared" si="94"/>
        <v>210.41181542059576</v>
      </c>
      <c r="CF86" s="15">
        <f>IF(ISNA(VLOOKUP(A86,'Données projet'!$A$113:$I$133,3,0)),0,VLOOKUP(A86,'Données projet'!$A$113:$I$133,3,0))</f>
        <v>7</v>
      </c>
      <c r="CG86" s="15">
        <f>IF(ISNA(VLOOKUP(A86,'Données projet'!$A$113:$I$133,4,0)),0,VLOOKUP(A86,'Données projet'!$A$113:$I$133,4,0))</f>
        <v>49.980000000000018</v>
      </c>
      <c r="CH86" s="16">
        <f>IF(ISNA(VLOOKUP(A86,'Données projet'!$A$113:$I$133,5,0)),0%,VLOOKUP(A86,'Données projet'!$A$113:$I$133,5,0)*VLOOKUP('Données projet'!$B$12,Paramètres!$A$1:$I$89,7,0))</f>
        <v>0.15049999999999999</v>
      </c>
      <c r="CI86" s="16">
        <f>IF(ISNA(VLOOKUP(A86,'Données projet'!$A$113:$I$133,6,0)),0%,VLOOKUP(A86,'Données projet'!$A$113:$I$133,6,0)*VLOOKUP('Données projet'!$B$12,Paramètres!$A$1:$I$89,7,0))</f>
        <v>8.6000000000000007E-2</v>
      </c>
      <c r="CJ86" s="16">
        <f>IF(ISNA(VLOOKUP(A86,'Données projet'!$A$113:$I$133,7,0)),0%,VLOOKUP(A86,'Données projet'!$A$113:$I$133,7,0))</f>
        <v>0.1</v>
      </c>
      <c r="CK86" s="21">
        <f>EXP(-LN(2)/35)*CK85+(1-EXP(-LN(2)/35))/(LN(2)/35)*CG86*CH86*VLOOKUP('Données projet'!$B$12,Paramètres!$A$1:$I$89,3,0)*0.475*44/12</f>
        <v>23.565492094683815</v>
      </c>
      <c r="CL86" s="21">
        <f>EXP(-LN(2)/25)*CL85+(1-EXP(-LN(2)/25))/(LN(2)/25)*Calculateur!CG86*Calculateur!CI86*VLOOKUP('Données projet'!$B$12,Paramètres!$A$1:$I$89,3,0)*0.475*44/12</f>
        <v>23.357015997470626</v>
      </c>
      <c r="CM86" s="21">
        <f>EXP(-LN(2)/2)*CM85+(1-EXP(-LN(2)/2))/(LN(2)/2)*CG86*CJ86*VLOOKUP('Données projet'!$B$12,Paramètres!$A$1:$I$89,3,0)*0.475*44/12</f>
        <v>4.2028516027707328</v>
      </c>
      <c r="CN86" s="22">
        <f t="shared" si="66"/>
        <v>51.12535969492518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1.1368683772161603E-13</v>
      </c>
      <c r="CU86" s="17">
        <f>CT86*VLOOKUP('Données projet'!$B$13,Paramètres!$A$1:$I$89,3,0)*VLOOKUP('Données projet'!$B$13,Paramètres!$A$1:$I$89,5,0)</f>
        <v>5.1727511163335289E-14</v>
      </c>
      <c r="CV86" s="13">
        <f t="shared" si="95"/>
        <v>8.3906664221915895E-13</v>
      </c>
      <c r="CW86" s="20">
        <f t="shared" si="67"/>
        <v>1.551466483807844E-12</v>
      </c>
      <c r="CX86" s="59">
        <f t="shared" si="68"/>
        <v>293.33333333333485</v>
      </c>
      <c r="CY86" s="59">
        <f ca="1">AVERAGE(OFFSET($CX$3,0,0,'Données projet'!$E$13+1,1))-AVERAGE(OFFSET($H$3,0,0,'Données projet'!$E$13+1,1))</f>
        <v>338.22448697444298</v>
      </c>
      <c r="CZ86" s="59">
        <f t="shared" si="96"/>
        <v>293.3872365640849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200.44146161820396</v>
      </c>
      <c r="DG86" s="21">
        <f>EXP(-LN(2)/25)*DG85+(1-EXP(-LN(2)/25))/(LN(2)/25)*Calculateur!DB86*Calculateur!DD86*VLOOKUP('Données projet'!$B$13,Paramètres!$A$1:$I$89,3,0)*0.475*44/12</f>
        <v>68.103555924742679</v>
      </c>
      <c r="DH86" s="21">
        <f>EXP(-LN(2)/2)*DH85+(1-EXP(-LN(2)/2))/(LN(2)/2)*DB86*DE86*VLOOKUP('Données projet'!$B$13,Paramètres!$A$1:$I$89,3,0)*0.475*44/12</f>
        <v>28.608044949220997</v>
      </c>
      <c r="DI86" s="22">
        <f t="shared" si="69"/>
        <v>297.15306249216763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5.6843418860808015E-13</v>
      </c>
      <c r="DP86" s="17">
        <f>DO86*VLOOKUP('Données projet'!$B$14,Paramètres!$A$1:$I$89,3,0)*VLOOKUP('Données projet'!$B$14,Paramètres!$A$1:$I$89,5,0)</f>
        <v>3.177547114319168E-13</v>
      </c>
      <c r="DQ86" s="13">
        <f t="shared" si="97"/>
        <v>4.1725404435445377E-12</v>
      </c>
      <c r="DR86" s="20">
        <f t="shared" si="70"/>
        <v>7.820597394917325E-12</v>
      </c>
      <c r="DS86" s="59">
        <f t="shared" si="71"/>
        <v>293.33333333334116</v>
      </c>
      <c r="DT86" s="59">
        <f ca="1">AVERAGE(OFFSET($DS$3,0,0,'Données projet'!$E$14+1,1))-AVERAGE(OFFSET($H$3,0,0,'Données projet'!$E$14+1,1))</f>
        <v>328.15217666639006</v>
      </c>
      <c r="DU86" s="59">
        <f t="shared" si="98"/>
        <v>305.59175773326308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178.37260507756537</v>
      </c>
      <c r="EB86" s="21">
        <f>EXP(-LN(2)/25)*EB85+(1-EXP(-LN(2)/25))/(LN(2)/25)*Calculateur!DW86*Calculateur!DY86*VLOOKUP('Données projet'!$B$14,Paramètres!$A$1:$I$89,3,0)*0.475*44/12</f>
        <v>53.528410552290445</v>
      </c>
      <c r="EC86" s="21">
        <f>EXP(-LN(2)/2)*EC85+(1-EXP(-LN(2)/2))/(LN(2)/2)*DW86*DZ86*VLOOKUP('Données projet'!$B$14,Paramètres!$A$1:$I$89,3,0)*0.475*44/12</f>
        <v>0.83422606665174626</v>
      </c>
      <c r="ED86" s="22">
        <f t="shared" si="72"/>
        <v>232.73524169650756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159.78276497127206</v>
      </c>
      <c r="EP86" s="59">
        <f t="shared" si="100"/>
        <v>190.72163407919857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4.2463792971253218</v>
      </c>
      <c r="EW86" s="21">
        <f>EXP(-LN(2)/25)*EW85+(1-EXP(-LN(2)/25))/(LN(2)/25)*Calculateur!ER86*Calculateur!ET86*VLOOKUP('Données projet'!$B$15,Paramètres!$A$1:$I$89,3,0)*0.475*44/12</f>
        <v>17.928491284000984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22.174870581126306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10.385555555555555</v>
      </c>
      <c r="FE86" s="12">
        <f>IF('Données projet'!$A$218&gt;35,FE85+FD86-FM85,IF(A86&lt;'Données projet'!$A$218,$FB$205^A86,IF(A86='Données projet'!$A$218,'Données projet'!$B$218,FE85+FD86-FM85)))</f>
        <v>285.41444444444494</v>
      </c>
      <c r="FF86" s="17">
        <f>FE86*VLOOKUP('Données projet'!$B$16,Paramètres!$A$1:$I$89,3,0)*VLOOKUP('Données projet'!$B$16,Paramètres!$A$1:$I$89,5,0)</f>
        <v>244.88559333333376</v>
      </c>
      <c r="FG86" s="13">
        <f t="shared" si="101"/>
        <v>59.489453653740007</v>
      </c>
      <c r="FH86" s="20">
        <f t="shared" si="76"/>
        <v>530.11987350248683</v>
      </c>
      <c r="FI86" s="59">
        <f t="shared" si="77"/>
        <v>823.45320683582008</v>
      </c>
      <c r="FJ86" s="59">
        <f ca="1">AVERAGE(OFFSET($FI$3,0,0,'Données projet'!$E$16+1,1))-AVERAGE(OFFSET($H$3,0,0,'Données projet'!$E$16+1,1))</f>
        <v>337.15023592377008</v>
      </c>
      <c r="FK86" s="59">
        <f t="shared" si="102"/>
        <v>286.60608582587099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44.589835639756053</v>
      </c>
      <c r="FS86" s="21">
        <f>EXP(-LN(2)/2)*FS85+(1-EXP(-LN(2)/2))/(LN(2)/2)*FM86*FP86*VLOOKUP('Données projet'!$B$16,Paramètres!$A$1:$I$89,3,0)*0.475*44/12</f>
        <v>1.9271610709747156</v>
      </c>
      <c r="FT86" s="22">
        <f t="shared" si="78"/>
        <v>46.516996710730766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9.546999999999997</v>
      </c>
      <c r="FZ86" s="12">
        <f>IF('Données projet'!$A$244&gt;35,FZ85+FY86-GH85,IF(A86&lt;'Données projet'!$A$244,$FW$205^A86,IF(A86='Données projet'!$A$244,'Données projet'!$B$244,FZ85+FY86-GH85)))</f>
        <v>345.54300000000046</v>
      </c>
      <c r="GA86" s="17">
        <f>FZ86*VLOOKUP('Données projet'!$B$17,Paramètres!$A$1:$I$89,3,0)*VLOOKUP('Données projet'!$B$17,Paramètres!$A$1:$I$89,5,0)</f>
        <v>312.64730640000039</v>
      </c>
      <c r="GB86" s="13">
        <f t="shared" si="103"/>
        <v>73.821419204446315</v>
      </c>
      <c r="GC86" s="20">
        <f t="shared" si="79"/>
        <v>673.09969709441123</v>
      </c>
      <c r="GD86" s="59">
        <f t="shared" si="80"/>
        <v>966.4330304277446</v>
      </c>
      <c r="GE86" s="59">
        <f ca="1">AVERAGE(OFFSET($GD$3,0,0,'Données projet'!$E$17+1,1))-AVERAGE(OFFSET($H$3,0,0,'Données projet'!$E$17+1,1))</f>
        <v>486.55344536255876</v>
      </c>
      <c r="GF86" s="59">
        <f t="shared" si="104"/>
        <v>231.14794884432229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12.237499391996371</v>
      </c>
      <c r="GM86" s="21">
        <f>EXP(-LN(2)/25)*GM85+(1-EXP(-LN(2)/25))/(LN(2)/25)*Calculateur!GH86*Calculateur!GJ86*VLOOKUP('Données projet'!$B$17,Paramètres!$A$1:$I$89,3,0)*0.475*44/12</f>
        <v>24.535379119529289</v>
      </c>
      <c r="GN86" s="21">
        <f>EXP(-LN(2)/2)*GN85+(1-EXP(-LN(2)/2))/(LN(2)/2)*GH86*GK86*VLOOKUP('Données projet'!$B$17,Paramètres!$A$1:$I$89,3,0)*0.475*44/12</f>
        <v>0.20784007321282855</v>
      </c>
      <c r="GO86" s="21">
        <f t="shared" si="81"/>
        <v>36.98071858473849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394.53378565905018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13.388750000000002</v>
      </c>
      <c r="N87" s="13">
        <f>IF('Données projet'!$A$36&gt;35,N86+M87-V86,IF(A87&lt;'Données projet'!$A$36,$K$205^A87,IF(A87='Données projet'!$A$36,'Données projet'!$B$36,N86+M87-V86)))</f>
        <v>437.99874999999986</v>
      </c>
      <c r="O87" s="13">
        <f>N87*VLOOKUP('Données projet'!$B$9,Paramètres!$A$1:$I$89,3,0)*VLOOKUP('Données projet'!$B$9,Paramètres!$A$1:$I$89,5,0)</f>
        <v>204.98341499999995</v>
      </c>
      <c r="P87" s="13">
        <f t="shared" si="87"/>
        <v>50.83779780930643</v>
      </c>
      <c r="Q87" s="20">
        <f t="shared" si="54"/>
        <v>445.55527897620863</v>
      </c>
      <c r="R87" s="59">
        <f t="shared" si="55"/>
        <v>738.88861230954194</v>
      </c>
      <c r="S87" s="59">
        <f ca="1">AVERAGE(OFFSET($R$3,0,0,'Données projet'!$E$9+1,1))-AVERAGE(OFFSET($H$3,0,0,'Données projet'!$E$9+1,1))</f>
        <v>252.08270526008477</v>
      </c>
      <c r="T87" s="59">
        <f t="shared" si="88"/>
        <v>239.77811108960179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72.519434176502372</v>
      </c>
      <c r="AA87" s="21">
        <f>EXP(-LN(2)/25)*AA86+(1-EXP(-LN(2)/25))/(LN(2)/25)*Calculateur!V87*Calculateur!X87*VLOOKUP('Données projet'!$B$9,Paramètres!$A$1:$I$89,3,0)*0.475*44/12</f>
        <v>24.447494358154088</v>
      </c>
      <c r="AB87" s="21">
        <f>EXP(-LN(2)/2)*AB86+(1-EXP(-LN(2)/2))/(LN(2)/2)*V87*Y87*VLOOKUP('Données projet'!$B$9,Paramètres!$A$1:$I$89,3,0)*0.475*44/12</f>
        <v>7.2924219660390328</v>
      </c>
      <c r="AC87" s="22">
        <f t="shared" si="57"/>
        <v>104.25935050069549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251.64326096359997</v>
      </c>
      <c r="AO87" s="59">
        <f t="shared" si="90"/>
        <v>256.72142151189894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86.334639583316289</v>
      </c>
      <c r="AV87" s="21">
        <f>EXP(-LN(2)/25)*AV86+(1-EXP(-LN(2)/25))/(LN(2)/25)*Calculateur!AQ87*Calculateur!AS87*VLOOKUP('Données projet'!$B$10,Paramètres!$A$1:$I$89,3,0)*0.475*44/12</f>
        <v>24.901183041697628</v>
      </c>
      <c r="AW87" s="21">
        <f>EXP(-LN(2)/2)*AW86+(1-EXP(-LN(2)/2))/(LN(2)/2)*AQ87*AT87*VLOOKUP('Données projet'!$B$10,Paramètres!$A$1:$I$89,3,0)*0.475*44/12</f>
        <v>1.4639024126795283E-2</v>
      </c>
      <c r="AX87" s="21">
        <f t="shared" si="60"/>
        <v>111.25046164914072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199.29783428981898</v>
      </c>
      <c r="BJ87" s="59">
        <f t="shared" si="92"/>
        <v>237.32002274562547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3.5842711910495386</v>
      </c>
      <c r="BQ87" s="21">
        <f>EXP(-LN(2)/25)*BQ86+(1-EXP(-LN(2)/25))/(LN(2)/25)*Calculateur!BL87*Calculateur!BN87*VLOOKUP('Données projet'!$B$11,Paramètres!$A$1:$I$89,3,0)*0.475*44/12</f>
        <v>15.013622068192767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18.597893259242305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9.2740000000000009</v>
      </c>
      <c r="BY87" s="12">
        <f>IF('Données projet'!$A$114&gt;35,BY86+BX87-CG86,IF(A87&lt;'Données projet'!$A$114,$BV$205^A87,IF(A87='Données projet'!$A$114,'Données projet'!$B$114,BY86+BX87-CG86)))</f>
        <v>265.40399999999988</v>
      </c>
      <c r="BZ87" s="13">
        <f>BY87*VLOOKUP('Données projet'!$B$12,Paramètres!$A$1:$I$89,3,0)*VLOOKUP('Données projet'!$B$12,Paramètres!$A$1:$I$89,5,0)</f>
        <v>223.57632959999992</v>
      </c>
      <c r="CA87" s="13">
        <f t="shared" si="93"/>
        <v>54.891452297499292</v>
      </c>
      <c r="CB87" s="20">
        <f t="shared" si="64"/>
        <v>484.99805347147782</v>
      </c>
      <c r="CC87" s="59">
        <f t="shared" si="65"/>
        <v>778.33138680481113</v>
      </c>
      <c r="CD87" s="59">
        <f ca="1">AVERAGE(OFFSET($CC$3,0,0,'Données projet'!$E$12+1,1))-AVERAGE(OFFSET($H$3,0,0,'Données projet'!$E$12+1,1))</f>
        <v>295.59075210589327</v>
      </c>
      <c r="CE87" s="59">
        <f t="shared" si="94"/>
        <v>210.41181542059576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23.103387168237976</v>
      </c>
      <c r="CL87" s="21">
        <f>EXP(-LN(2)/25)*CL86+(1-EXP(-LN(2)/25))/(LN(2)/25)*Calculateur!CG87*Calculateur!CI87*VLOOKUP('Données projet'!$B$12,Paramètres!$A$1:$I$89,3,0)*0.475*44/12</f>
        <v>22.718317166727704</v>
      </c>
      <c r="CM87" s="21">
        <f>EXP(-LN(2)/2)*CM86+(1-EXP(-LN(2)/2))/(LN(2)/2)*CG87*CJ87*VLOOKUP('Données projet'!$B$12,Paramètres!$A$1:$I$89,3,0)*0.475*44/12</f>
        <v>2.9718648686399352</v>
      </c>
      <c r="CN87" s="22">
        <f t="shared" si="66"/>
        <v>48.793569203605614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1.1368683772161603E-13</v>
      </c>
      <c r="CU87" s="17">
        <f>CT87*VLOOKUP('Données projet'!$B$13,Paramètres!$A$1:$I$89,3,0)*VLOOKUP('Données projet'!$B$13,Paramètres!$A$1:$I$89,5,0)</f>
        <v>5.1727511163335289E-14</v>
      </c>
      <c r="CV87" s="13">
        <f t="shared" si="95"/>
        <v>8.3906664221915895E-13</v>
      </c>
      <c r="CW87" s="20">
        <f t="shared" si="67"/>
        <v>1.551466483807844E-12</v>
      </c>
      <c r="CX87" s="59">
        <f t="shared" si="68"/>
        <v>293.33333333333485</v>
      </c>
      <c r="CY87" s="59">
        <f ca="1">AVERAGE(OFFSET($CX$3,0,0,'Données projet'!$E$13+1,1))-AVERAGE(OFFSET($H$3,0,0,'Données projet'!$E$13+1,1))</f>
        <v>338.22448697444298</v>
      </c>
      <c r="CZ87" s="59">
        <f t="shared" si="96"/>
        <v>293.3872365640849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196.51092681309066</v>
      </c>
      <c r="DG87" s="21">
        <f>EXP(-LN(2)/25)*DG86+(1-EXP(-LN(2)/25))/(LN(2)/25)*Calculateur!DB87*Calculateur!DD87*VLOOKUP('Données projet'!$B$13,Paramètres!$A$1:$I$89,3,0)*0.475*44/12</f>
        <v>66.241260606570236</v>
      </c>
      <c r="DH87" s="21">
        <f>EXP(-LN(2)/2)*DH86+(1-EXP(-LN(2)/2))/(LN(2)/2)*DB87*DE87*VLOOKUP('Données projet'!$B$13,Paramètres!$A$1:$I$89,3,0)*0.475*44/12</f>
        <v>20.228942580083729</v>
      </c>
      <c r="DI87" s="22">
        <f t="shared" si="69"/>
        <v>282.98112999974467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5.6843418860808015E-13</v>
      </c>
      <c r="DP87" s="17">
        <f>DO87*VLOOKUP('Données projet'!$B$14,Paramètres!$A$1:$I$89,3,0)*VLOOKUP('Données projet'!$B$14,Paramètres!$A$1:$I$89,5,0)</f>
        <v>3.177547114319168E-13</v>
      </c>
      <c r="DQ87" s="13">
        <f t="shared" si="97"/>
        <v>4.1725404435445377E-12</v>
      </c>
      <c r="DR87" s="20">
        <f t="shared" si="70"/>
        <v>7.820597394917325E-12</v>
      </c>
      <c r="DS87" s="59">
        <f t="shared" si="71"/>
        <v>293.33333333334116</v>
      </c>
      <c r="DT87" s="59">
        <f ca="1">AVERAGE(OFFSET($DS$3,0,0,'Données projet'!$E$14+1,1))-AVERAGE(OFFSET($H$3,0,0,'Données projet'!$E$14+1,1))</f>
        <v>328.15217666639006</v>
      </c>
      <c r="DU87" s="59">
        <f t="shared" si="98"/>
        <v>305.59175773326308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174.87482708854066</v>
      </c>
      <c r="EB87" s="21">
        <f>EXP(-LN(2)/25)*EB86+(1-EXP(-LN(2)/25))/(LN(2)/25)*Calculateur!DW87*Calculateur!DY87*VLOOKUP('Données projet'!$B$14,Paramètres!$A$1:$I$89,3,0)*0.475*44/12</f>
        <v>52.064673350801293</v>
      </c>
      <c r="EC87" s="21">
        <f>EXP(-LN(2)/2)*EC86+(1-EXP(-LN(2)/2))/(LN(2)/2)*DW87*DZ87*VLOOKUP('Données projet'!$B$14,Paramètres!$A$1:$I$89,3,0)*0.475*44/12</f>
        <v>0.58988690877203054</v>
      </c>
      <c r="ED87" s="22">
        <f t="shared" si="72"/>
        <v>227.52938734811397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159.78276497127206</v>
      </c>
      <c r="EP87" s="59">
        <f t="shared" si="100"/>
        <v>190.72163407919857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4.1631103891443209</v>
      </c>
      <c r="EW87" s="21">
        <f>EXP(-LN(2)/25)*EW86+(1-EXP(-LN(2)/25))/(LN(2)/25)*Calculateur!ER87*Calculateur!ET87*VLOOKUP('Données projet'!$B$15,Paramètres!$A$1:$I$89,3,0)*0.475*44/12</f>
        <v>17.438235747021597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21.601346136165919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295.8</v>
      </c>
      <c r="FC87" s="12">
        <f>VLOOKUP(A87,'Données projet'!$A$217:$I$237,9,0)</f>
        <v>10.385555555555555</v>
      </c>
      <c r="FD87" s="12">
        <f t="array" ref="FD87">INDEX(FC:FC,MIN(IF(ISNUMBER(FC87:FC283),ROW(FC87:FC283),"")))</f>
        <v>10.385555555555555</v>
      </c>
      <c r="FE87" s="12">
        <f>IF('Données projet'!$A$218&gt;35,FE86+FD87-FM86,IF(A87&lt;'Données projet'!$A$218,$FB$205^A87,IF(A87='Données projet'!$A$218,'Données projet'!$B$218,FE86+FD87-FM86)))</f>
        <v>295.80000000000052</v>
      </c>
      <c r="FF87" s="17">
        <f>FE87*VLOOKUP('Données projet'!$B$16,Paramètres!$A$1:$I$89,3,0)*VLOOKUP('Données projet'!$B$16,Paramètres!$A$1:$I$89,5,0)</f>
        <v>253.79640000000049</v>
      </c>
      <c r="FG87" s="13">
        <f t="shared" si="101"/>
        <v>61.398168322280867</v>
      </c>
      <c r="FH87" s="20">
        <f t="shared" si="76"/>
        <v>548.96387316130676</v>
      </c>
      <c r="FI87" s="59">
        <f t="shared" si="77"/>
        <v>842.29720649464002</v>
      </c>
      <c r="FJ87" s="59">
        <f ca="1">AVERAGE(OFFSET($FI$3,0,0,'Données projet'!$E$16+1,1))-AVERAGE(OFFSET($H$3,0,0,'Données projet'!$E$16+1,1))</f>
        <v>337.15023592377008</v>
      </c>
      <c r="FK87" s="59">
        <f t="shared" si="102"/>
        <v>286.60608582587099</v>
      </c>
      <c r="FL87" s="15">
        <f>IF(ISNA(VLOOKUP(A87,'Données projet'!$A$217:$I$237,3,0)),0,VLOOKUP(A87,'Données projet'!$A$217:$I$237,3,0))</f>
        <v>4</v>
      </c>
      <c r="FM87" s="15">
        <f>IF(ISNA(VLOOKUP(A87,'Données projet'!$A$217:$I$237,4,0)),0,VLOOKUP(A87,'Données projet'!$A$217:$I$237,4,0))</f>
        <v>64.950000000000017</v>
      </c>
      <c r="FN87" s="16">
        <f>IF(ISNA(VLOOKUP(A87,'Données projet'!$A$217:$I$237,5,0)),0%,VLOOKUP(A87,'Données projet'!$A$217:$I$237,5,0)*VLOOKUP('Données projet'!$B$16,Paramètres!$A$1:$I$89,7,0))</f>
        <v>0.159</v>
      </c>
      <c r="FO87" s="16">
        <f>IF(ISNA(VLOOKUP(A87,'Données projet'!$A$217:$I$237,6,0)),0%,VLOOKUP(A87,'Données projet'!$A$217:$I$237,6,0)*VLOOKUP('Données projet'!$B$16,Paramètres!$A$1:$I$89,7,0))</f>
        <v>0.10600000000000001</v>
      </c>
      <c r="FP87" s="16">
        <f>IF(ISNA(VLOOKUP(A87,'Données projet'!$A$217:$I$237,7,0)),0%,VLOOKUP(A87,'Données projet'!$A$217:$I$237,7,0))</f>
        <v>0.2</v>
      </c>
      <c r="FQ87" s="21">
        <f>EXP(-LN(2)/35)*FQ86+(1-EXP(-LN(2)/35))/(LN(2)/35)*FM87*FN87*VLOOKUP('Données projet'!$B$16,Paramètres!$A$1:$I$89,3,0)*0.475*44/12</f>
        <v>9.7951406835760384</v>
      </c>
      <c r="FR87" s="21">
        <f>EXP(-LN(2)/25)*FR86+(1-EXP(-LN(2)/25))/(LN(2)/25)*Calculateur!FM87*Calculateur!FO87*VLOOKUP('Données projet'!$B$16,Paramètres!$A$1:$I$89,3,0)*0.475*44/12</f>
        <v>49.874906560951779</v>
      </c>
      <c r="FS87" s="21">
        <f>EXP(-LN(2)/2)*FS86+(1-EXP(-LN(2)/2))/(LN(2)/2)*FM87*FP87*VLOOKUP('Données projet'!$B$16,Paramètres!$A$1:$I$89,3,0)*0.475*44/12</f>
        <v>11.878712406306143</v>
      </c>
      <c r="FT87" s="22">
        <f t="shared" si="78"/>
        <v>71.548759650833958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355.09</v>
      </c>
      <c r="FX87" s="12">
        <f>VLOOKUP(A87,'Données projet'!$A$243:$I$263,9,0)</f>
        <v>9.546999999999997</v>
      </c>
      <c r="FY87" s="12">
        <f t="array" ref="FY87">INDEX(FX:FX,MIN(IF(ISNUMBER(FX87:FX283),ROW(FX87:FX283),"")))</f>
        <v>9.546999999999997</v>
      </c>
      <c r="FZ87" s="12">
        <f>IF('Données projet'!$A$244&gt;35,FZ86+FY87-GH86,IF(A87&lt;'Données projet'!$A$244,$FW$205^A87,IF(A87='Données projet'!$A$244,'Données projet'!$B$244,FZ86+FY87-GH86)))</f>
        <v>355.09000000000049</v>
      </c>
      <c r="GA87" s="17">
        <f>FZ87*VLOOKUP('Données projet'!$B$17,Paramètres!$A$1:$I$89,3,0)*VLOOKUP('Données projet'!$B$17,Paramètres!$A$1:$I$89,5,0)</f>
        <v>321.28543200000041</v>
      </c>
      <c r="GB87" s="13">
        <f t="shared" si="103"/>
        <v>75.620750353808944</v>
      </c>
      <c r="GC87" s="20">
        <f t="shared" si="79"/>
        <v>691.27826759955133</v>
      </c>
      <c r="GD87" s="59">
        <f t="shared" si="80"/>
        <v>984.61160093288458</v>
      </c>
      <c r="GE87" s="59">
        <f ca="1">AVERAGE(OFFSET($GD$3,0,0,'Données projet'!$E$17+1,1))-AVERAGE(OFFSET($H$3,0,0,'Données projet'!$E$17+1,1))</f>
        <v>486.55344536255876</v>
      </c>
      <c r="GF87" s="59">
        <f t="shared" si="104"/>
        <v>231.14794884432229</v>
      </c>
      <c r="GG87" s="15">
        <f>IF(ISNA(VLOOKUP(A87,'Données projet'!$A$243:$I$263,3,0)),0,VLOOKUP(A87,'Données projet'!$A$243:$I$263,3,0))</f>
        <v>6</v>
      </c>
      <c r="GH87" s="15">
        <f>IF(ISNA(VLOOKUP(A87,'Données projet'!$A$243:$I$263,4,0)),0,VLOOKUP(A87,'Données projet'!$A$243:$I$263,4,0))</f>
        <v>66.69</v>
      </c>
      <c r="GI87" s="16">
        <f>IF(ISNA(VLOOKUP(A87,'Données projet'!$A$243:$I$263,5,0)),0%,VLOOKUP(A87,'Données projet'!$A$243:$I$263,5,0)*VLOOKUP('Données projet'!$B$17,Paramètres!$A$1:$I$89,7,0))</f>
        <v>0.15049999999999999</v>
      </c>
      <c r="GJ87" s="16">
        <f>IF(ISNA(VLOOKUP(A87,'Données projet'!$A$243:$I$263,6,0)),0%,VLOOKUP(A87,'Données projet'!$A$243:$I$263,6,0)*VLOOKUP('Données projet'!$B$17,Paramètres!$A$1:$I$89,7,0))</f>
        <v>8.6000000000000007E-2</v>
      </c>
      <c r="GK87" s="16">
        <f>IF(ISNA(VLOOKUP(A87,'Données projet'!$A$243:$I$263,7,0)),0%,VLOOKUP(A87,'Données projet'!$A$243:$I$263,7,0))</f>
        <v>0.1</v>
      </c>
      <c r="GL87" s="21">
        <f>EXP(-LN(2)/35)*GL86+(1-EXP(-LN(2)/35))/(LN(2)/35)*GH87*GI87*VLOOKUP('Données projet'!$B$17,Paramètres!$A$1:$I$89,3,0)*0.475*44/12</f>
        <v>22.036678946661006</v>
      </c>
      <c r="GM87" s="21">
        <f>EXP(-LN(2)/25)*GM86+(1-EXP(-LN(2)/25))/(LN(2)/25)*Calculateur!GH87*Calculateur!GJ87*VLOOKUP('Données projet'!$B$17,Paramètres!$A$1:$I$89,3,0)*0.475*44/12</f>
        <v>29.578527314097339</v>
      </c>
      <c r="GN87" s="21">
        <f>EXP(-LN(2)/2)*GN86+(1-EXP(-LN(2)/2))/(LN(2)/2)*GH87*GK87*VLOOKUP('Données projet'!$B$17,Paramètres!$A$1:$I$89,3,0)*0.475*44/12</f>
        <v>5.8403114480929164</v>
      </c>
      <c r="GO87" s="21">
        <f t="shared" si="81"/>
        <v>57.455517708851261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396.13243604812419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13.388750000000002</v>
      </c>
      <c r="N88" s="13">
        <f>IF('Données projet'!$A$36&gt;35,N87+M88-V87,IF(A88&lt;'Données projet'!$A$36,$K$205^A88,IF(A88='Données projet'!$A$36,'Données projet'!$B$36,N87+M88-V87)))</f>
        <v>451.38749999999987</v>
      </c>
      <c r="O88" s="13">
        <f>N88*VLOOKUP('Données projet'!$B$9,Paramètres!$A$1:$I$89,3,0)*VLOOKUP('Données projet'!$B$9,Paramètres!$A$1:$I$89,5,0)</f>
        <v>211.24934999999994</v>
      </c>
      <c r="P88" s="13">
        <f t="shared" si="87"/>
        <v>52.20850578430715</v>
      </c>
      <c r="Q88" s="20">
        <f t="shared" si="54"/>
        <v>458.85576549100148</v>
      </c>
      <c r="R88" s="59">
        <f t="shared" si="55"/>
        <v>752.18909882433479</v>
      </c>
      <c r="S88" s="59">
        <f ca="1">AVERAGE(OFFSET($R$3,0,0,'Données projet'!$E$9+1,1))-AVERAGE(OFFSET($H$3,0,0,'Données projet'!$E$9+1,1))</f>
        <v>252.08270526008477</v>
      </c>
      <c r="T88" s="59">
        <f t="shared" si="88"/>
        <v>239.77811108960179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71.097372304788408</v>
      </c>
      <c r="AA88" s="21">
        <f>EXP(-LN(2)/25)*AA87+(1-EXP(-LN(2)/25))/(LN(2)/25)*Calculateur!V88*Calculateur!X88*VLOOKUP('Données projet'!$B$9,Paramètres!$A$1:$I$89,3,0)*0.475*44/12</f>
        <v>23.778976339292512</v>
      </c>
      <c r="AB88" s="21">
        <f>EXP(-LN(2)/2)*AB87+(1-EXP(-LN(2)/2))/(LN(2)/2)*V88*Y88*VLOOKUP('Données projet'!$B$9,Paramètres!$A$1:$I$89,3,0)*0.475*44/12</f>
        <v>5.156521023459935</v>
      </c>
      <c r="AC88" s="22">
        <f t="shared" si="57"/>
        <v>100.03286966754085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251.64326096359997</v>
      </c>
      <c r="AO88" s="59">
        <f t="shared" si="90"/>
        <v>256.72142151189894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84.641669960017964</v>
      </c>
      <c r="AV88" s="21">
        <f>EXP(-LN(2)/25)*AV87+(1-EXP(-LN(2)/25))/(LN(2)/25)*Calculateur!AQ88*Calculateur!AS88*VLOOKUP('Données projet'!$B$10,Paramètres!$A$1:$I$89,3,0)*0.475*44/12</f>
        <v>24.220258881926103</v>
      </c>
      <c r="AW88" s="21">
        <f>EXP(-LN(2)/2)*AW87+(1-EXP(-LN(2)/2))/(LN(2)/2)*AQ88*AT88*VLOOKUP('Données projet'!$B$10,Paramètres!$A$1:$I$89,3,0)*0.475*44/12</f>
        <v>1.0351353230010423E-2</v>
      </c>
      <c r="AX88" s="21">
        <f t="shared" si="60"/>
        <v>108.87228019517407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199.29783428981898</v>
      </c>
      <c r="BJ88" s="59">
        <f t="shared" si="92"/>
        <v>237.32002274562547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3.5139858191826154</v>
      </c>
      <c r="BQ88" s="21">
        <f>EXP(-LN(2)/25)*BQ87+(1-EXP(-LN(2)/25))/(LN(2)/25)*Calculateur!BL88*Calculateur!BN88*VLOOKUP('Données projet'!$B$11,Paramètres!$A$1:$I$89,3,0)*0.475*44/12</f>
        <v>14.603073783205964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18.117059602388579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9.2740000000000009</v>
      </c>
      <c r="BY88" s="12">
        <f>IF('Données projet'!$A$114&gt;35,BY87+BX88-CG87,IF(A88&lt;'Données projet'!$A$114,$BV$205^A88,IF(A88='Données projet'!$A$114,'Données projet'!$B$114,BY87+BX88-CG87)))</f>
        <v>274.67799999999988</v>
      </c>
      <c r="BZ88" s="13">
        <f>BY88*VLOOKUP('Données projet'!$B$12,Paramètres!$A$1:$I$89,3,0)*VLOOKUP('Données projet'!$B$12,Paramètres!$A$1:$I$89,5,0)</f>
        <v>231.38874719999993</v>
      </c>
      <c r="CA88" s="13">
        <f t="shared" si="93"/>
        <v>56.582855858758478</v>
      </c>
      <c r="CB88" s="20">
        <f t="shared" si="64"/>
        <v>501.55054199400428</v>
      </c>
      <c r="CC88" s="59">
        <f t="shared" si="65"/>
        <v>794.88387532733759</v>
      </c>
      <c r="CD88" s="59">
        <f ca="1">AVERAGE(OFFSET($CC$3,0,0,'Données projet'!$E$12+1,1))-AVERAGE(OFFSET($H$3,0,0,'Données projet'!$E$12+1,1))</f>
        <v>295.59075210589327</v>
      </c>
      <c r="CE88" s="59">
        <f t="shared" si="94"/>
        <v>210.41181542059576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22.650343837543566</v>
      </c>
      <c r="CL88" s="21">
        <f>EXP(-LN(2)/25)*CL87+(1-EXP(-LN(2)/25))/(LN(2)/25)*Calculateur!CG88*Calculateur!CI88*VLOOKUP('Données projet'!$B$12,Paramètres!$A$1:$I$89,3,0)*0.475*44/12</f>
        <v>22.09708358909916</v>
      </c>
      <c r="CM88" s="21">
        <f>EXP(-LN(2)/2)*CM87+(1-EXP(-LN(2)/2))/(LN(2)/2)*CG88*CJ88*VLOOKUP('Données projet'!$B$12,Paramètres!$A$1:$I$89,3,0)*0.475*44/12</f>
        <v>2.1014258013853664</v>
      </c>
      <c r="CN88" s="22">
        <f t="shared" si="66"/>
        <v>46.848853228028098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1.1368683772161603E-13</v>
      </c>
      <c r="CU88" s="17">
        <f>CT88*VLOOKUP('Données projet'!$B$13,Paramètres!$A$1:$I$89,3,0)*VLOOKUP('Données projet'!$B$13,Paramètres!$A$1:$I$89,5,0)</f>
        <v>5.1727511163335289E-14</v>
      </c>
      <c r="CV88" s="13">
        <f t="shared" si="95"/>
        <v>8.3906664221915895E-13</v>
      </c>
      <c r="CW88" s="20">
        <f t="shared" si="67"/>
        <v>1.551466483807844E-12</v>
      </c>
      <c r="CX88" s="59">
        <f t="shared" si="68"/>
        <v>293.33333333333485</v>
      </c>
      <c r="CY88" s="59">
        <f ca="1">AVERAGE(OFFSET($CX$3,0,0,'Données projet'!$E$13+1,1))-AVERAGE(OFFSET($H$3,0,0,'Données projet'!$E$13+1,1))</f>
        <v>338.22448697444298</v>
      </c>
      <c r="CZ88" s="59">
        <f t="shared" si="96"/>
        <v>293.3872365640849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192.65746739811613</v>
      </c>
      <c r="DG88" s="21">
        <f>EXP(-LN(2)/25)*DG87+(1-EXP(-LN(2)/25))/(LN(2)/25)*Calculateur!DB88*Calculateur!DD88*VLOOKUP('Données projet'!$B$13,Paramètres!$A$1:$I$89,3,0)*0.475*44/12</f>
        <v>64.429889851807076</v>
      </c>
      <c r="DH88" s="21">
        <f>EXP(-LN(2)/2)*DH87+(1-EXP(-LN(2)/2))/(LN(2)/2)*DB88*DE88*VLOOKUP('Données projet'!$B$13,Paramètres!$A$1:$I$89,3,0)*0.475*44/12</f>
        <v>14.3040224746105</v>
      </c>
      <c r="DI88" s="22">
        <f t="shared" si="69"/>
        <v>271.39137972453375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5.6843418860808015E-13</v>
      </c>
      <c r="DP88" s="17">
        <f>DO88*VLOOKUP('Données projet'!$B$14,Paramètres!$A$1:$I$89,3,0)*VLOOKUP('Données projet'!$B$14,Paramètres!$A$1:$I$89,5,0)</f>
        <v>3.177547114319168E-13</v>
      </c>
      <c r="DQ88" s="13">
        <f t="shared" si="97"/>
        <v>4.1725404435445377E-12</v>
      </c>
      <c r="DR88" s="20">
        <f t="shared" si="70"/>
        <v>7.820597394917325E-12</v>
      </c>
      <c r="DS88" s="59">
        <f t="shared" si="71"/>
        <v>293.33333333334116</v>
      </c>
      <c r="DT88" s="59">
        <f ca="1">AVERAGE(OFFSET($DS$3,0,0,'Données projet'!$E$14+1,1))-AVERAGE(OFFSET($H$3,0,0,'Données projet'!$E$14+1,1))</f>
        <v>328.15217666639006</v>
      </c>
      <c r="DU88" s="59">
        <f t="shared" si="98"/>
        <v>305.59175773326308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171.4456383924468</v>
      </c>
      <c r="EB88" s="21">
        <f>EXP(-LN(2)/25)*EB87+(1-EXP(-LN(2)/25))/(LN(2)/25)*Calculateur!DW88*Calculateur!DY88*VLOOKUP('Données projet'!$B$14,Paramètres!$A$1:$I$89,3,0)*0.475*44/12</f>
        <v>50.640962120061452</v>
      </c>
      <c r="EC88" s="21">
        <f>EXP(-LN(2)/2)*EC87+(1-EXP(-LN(2)/2))/(LN(2)/2)*DW88*DZ88*VLOOKUP('Données projet'!$B$14,Paramètres!$A$1:$I$89,3,0)*0.475*44/12</f>
        <v>0.41711303332587313</v>
      </c>
      <c r="ED88" s="22">
        <f t="shared" si="72"/>
        <v>222.50371354583413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159.78276497127206</v>
      </c>
      <c r="EP88" s="59">
        <f t="shared" si="100"/>
        <v>190.72163407919857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4.0814743336598083</v>
      </c>
      <c r="EW88" s="21">
        <f>EXP(-LN(2)/25)*EW87+(1-EXP(-LN(2)/25))/(LN(2)/25)*Calculateur!ER88*Calculateur!ET88*VLOOKUP('Données projet'!$B$15,Paramètres!$A$1:$I$89,3,0)*0.475*44/12</f>
        <v>16.961386273482329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21.042860607142138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9.92</v>
      </c>
      <c r="FE88" s="12">
        <f>IF('Données projet'!$A$218&gt;35,FE87+FD88-FM87,IF(A88&lt;'Données projet'!$A$218,$FB$205^A88,IF(A88='Données projet'!$A$218,'Données projet'!$B$218,FE87+FD88-FM87)))</f>
        <v>240.77000000000052</v>
      </c>
      <c r="FF88" s="17">
        <f>FE88*VLOOKUP('Données projet'!$B$16,Paramètres!$A$1:$I$89,3,0)*VLOOKUP('Données projet'!$B$16,Paramètres!$A$1:$I$89,5,0)</f>
        <v>206.58066000000048</v>
      </c>
      <c r="FG88" s="13">
        <f t="shared" si="101"/>
        <v>51.187661459048499</v>
      </c>
      <c r="FH88" s="20">
        <f t="shared" si="76"/>
        <v>448.94649320784362</v>
      </c>
      <c r="FI88" s="59">
        <f t="shared" si="77"/>
        <v>742.27982654117693</v>
      </c>
      <c r="FJ88" s="59">
        <f ca="1">AVERAGE(OFFSET($FI$3,0,0,'Données projet'!$E$16+1,1))-AVERAGE(OFFSET($H$3,0,0,'Données projet'!$E$16+1,1))</f>
        <v>337.15023592377008</v>
      </c>
      <c r="FK88" s="59">
        <f t="shared" si="102"/>
        <v>286.60608582587099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9.6030639492170025</v>
      </c>
      <c r="FR88" s="21">
        <f>EXP(-LN(2)/25)*FR87+(1-EXP(-LN(2)/25))/(LN(2)/25)*Calculateur!FM88*Calculateur!FO88*VLOOKUP('Données projet'!$B$16,Paramètres!$A$1:$I$89,3,0)*0.475*44/12</f>
        <v>48.511074618235206</v>
      </c>
      <c r="FS88" s="21">
        <f>EXP(-LN(2)/2)*FS87+(1-EXP(-LN(2)/2))/(LN(2)/2)*FM88*FP88*VLOOKUP('Données projet'!$B$16,Paramètres!$A$1:$I$89,3,0)*0.475*44/12</f>
        <v>8.3995180942638452</v>
      </c>
      <c r="FT88" s="22">
        <f t="shared" si="78"/>
        <v>66.513656661716055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9.1730000000000018</v>
      </c>
      <c r="FZ88" s="12">
        <f>IF('Données projet'!$A$244&gt;35,FZ87+FY88-GH87,IF(A88&lt;'Données projet'!$A$244,$FW$205^A88,IF(A88='Données projet'!$A$244,'Données projet'!$B$244,FZ87+FY88-GH87)))</f>
        <v>297.57300000000049</v>
      </c>
      <c r="GA88" s="17">
        <f>FZ88*VLOOKUP('Données projet'!$B$17,Paramètres!$A$1:$I$89,3,0)*VLOOKUP('Données projet'!$B$17,Paramètres!$A$1:$I$89,5,0)</f>
        <v>269.24405040000045</v>
      </c>
      <c r="GB88" s="13">
        <f t="shared" si="103"/>
        <v>64.688811534365087</v>
      </c>
      <c r="GC88" s="20">
        <f t="shared" si="79"/>
        <v>581.59973453568659</v>
      </c>
      <c r="GD88" s="59">
        <f t="shared" si="80"/>
        <v>874.93306786901985</v>
      </c>
      <c r="GE88" s="59">
        <f ca="1">AVERAGE(OFFSET($GD$3,0,0,'Données projet'!$E$17+1,1))-AVERAGE(OFFSET($H$3,0,0,'Données projet'!$E$17+1,1))</f>
        <v>486.55344536255876</v>
      </c>
      <c r="GF88" s="59">
        <f t="shared" si="104"/>
        <v>231.14794884432229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21.604553113563949</v>
      </c>
      <c r="GM88" s="21">
        <f>EXP(-LN(2)/25)*GM87+(1-EXP(-LN(2)/25))/(LN(2)/25)*Calculateur!GH88*Calculateur!GJ88*VLOOKUP('Données projet'!$B$17,Paramètres!$A$1:$I$89,3,0)*0.475*44/12</f>
        <v>28.7697009292262</v>
      </c>
      <c r="GN88" s="21">
        <f>EXP(-LN(2)/2)*GN87+(1-EXP(-LN(2)/2))/(LN(2)/2)*GH88*GK88*VLOOKUP('Données projet'!$B$17,Paramètres!$A$1:$I$89,3,0)*0.475*44/12</f>
        <v>4.1297238291879266</v>
      </c>
      <c r="GO88" s="21">
        <f t="shared" si="81"/>
        <v>54.503977871978073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397.73064624240408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13.388750000000002</v>
      </c>
      <c r="N89" s="13">
        <f>IF('Données projet'!$A$36&gt;35,N88+M89-V88,IF(A89&lt;'Données projet'!$A$36,$K$205^A89,IF(A89='Données projet'!$A$36,'Données projet'!$B$36,N88+M89-V88)))</f>
        <v>464.77624999999989</v>
      </c>
      <c r="O89" s="13">
        <f>N89*VLOOKUP('Données projet'!$B$9,Paramètres!$A$1:$I$89,3,0)*VLOOKUP('Données projet'!$B$9,Paramètres!$A$1:$I$89,5,0)</f>
        <v>217.51528499999995</v>
      </c>
      <c r="P89" s="13">
        <f t="shared" si="87"/>
        <v>53.57448871143432</v>
      </c>
      <c r="Q89" s="20">
        <f t="shared" si="54"/>
        <v>472.14802254741471</v>
      </c>
      <c r="R89" s="59">
        <f t="shared" si="55"/>
        <v>765.48135588074797</v>
      </c>
      <c r="S89" s="59">
        <f ca="1">AVERAGE(OFFSET($R$3,0,0,'Données projet'!$E$9+1,1))-AVERAGE(OFFSET($H$3,0,0,'Données projet'!$E$9+1,1))</f>
        <v>252.08270526008477</v>
      </c>
      <c r="T89" s="59">
        <f t="shared" si="88"/>
        <v>239.77811108960179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69.703196199006669</v>
      </c>
      <c r="AA89" s="21">
        <f>EXP(-LN(2)/25)*AA88+(1-EXP(-LN(2)/25))/(LN(2)/25)*Calculateur!V89*Calculateur!X89*VLOOKUP('Données projet'!$B$9,Paramètres!$A$1:$I$89,3,0)*0.475*44/12</f>
        <v>23.128738980812539</v>
      </c>
      <c r="AB89" s="21">
        <f>EXP(-LN(2)/2)*AB88+(1-EXP(-LN(2)/2))/(LN(2)/2)*V89*Y89*VLOOKUP('Données projet'!$B$9,Paramètres!$A$1:$I$89,3,0)*0.475*44/12</f>
        <v>3.6462109830195164</v>
      </c>
      <c r="AC89" s="22">
        <f t="shared" si="57"/>
        <v>96.478146162838726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251.64326096359997</v>
      </c>
      <c r="AO89" s="59">
        <f t="shared" si="90"/>
        <v>256.72142151189894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82.981898438423016</v>
      </c>
      <c r="AV89" s="21">
        <f>EXP(-LN(2)/25)*AV88+(1-EXP(-LN(2)/25))/(LN(2)/25)*Calculateur!AQ89*Calculateur!AS89*VLOOKUP('Données projet'!$B$10,Paramètres!$A$1:$I$89,3,0)*0.475*44/12</f>
        <v>23.557954629111777</v>
      </c>
      <c r="AW89" s="21">
        <f>EXP(-LN(2)/2)*AW88+(1-EXP(-LN(2)/2))/(LN(2)/2)*AQ89*AT89*VLOOKUP('Données projet'!$B$10,Paramètres!$A$1:$I$89,3,0)*0.475*44/12</f>
        <v>7.3195120633976424E-3</v>
      </c>
      <c r="AX89" s="21">
        <f t="shared" si="60"/>
        <v>106.5471725795982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199.29783428981898</v>
      </c>
      <c r="BJ89" s="59">
        <f t="shared" si="92"/>
        <v>237.32002274562547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3.4450787005881587</v>
      </c>
      <c r="BQ89" s="21">
        <f>EXP(-LN(2)/25)*BQ88+(1-EXP(-LN(2)/25))/(LN(2)/25)*Calculateur!BL89*Calculateur!BN89*VLOOKUP('Données projet'!$B$11,Paramètres!$A$1:$I$89,3,0)*0.475*44/12</f>
        <v>14.203751962661922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17.648830663250081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9.2740000000000009</v>
      </c>
      <c r="BY89" s="12">
        <f>IF('Données projet'!$A$114&gt;35,BY88+BX89-CG88,IF(A89&lt;'Données projet'!$A$114,$BV$205^A89,IF(A89='Données projet'!$A$114,'Données projet'!$B$114,BY88+BX89-CG88)))</f>
        <v>283.95199999999988</v>
      </c>
      <c r="BZ89" s="13">
        <f>BY89*VLOOKUP('Données projet'!$B$12,Paramètres!$A$1:$I$89,3,0)*VLOOKUP('Données projet'!$B$12,Paramètres!$A$1:$I$89,5,0)</f>
        <v>239.20116479999993</v>
      </c>
      <c r="CA89" s="13">
        <f t="shared" si="93"/>
        <v>58.267623861312792</v>
      </c>
      <c r="CB89" s="20">
        <f t="shared" si="64"/>
        <v>518.09147358511962</v>
      </c>
      <c r="CC89" s="59">
        <f t="shared" si="65"/>
        <v>811.42480691845299</v>
      </c>
      <c r="CD89" s="59">
        <f ca="1">AVERAGE(OFFSET($CC$3,0,0,'Données projet'!$E$12+1,1))-AVERAGE(OFFSET($H$3,0,0,'Données projet'!$E$12+1,1))</f>
        <v>295.59075210589327</v>
      </c>
      <c r="CE89" s="59">
        <f t="shared" si="94"/>
        <v>210.41181542059576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22.206184410234926</v>
      </c>
      <c r="CL89" s="21">
        <f>EXP(-LN(2)/25)*CL88+(1-EXP(-LN(2)/25))/(LN(2)/25)*Calculateur!CG89*Calculateur!CI89*VLOOKUP('Données projet'!$B$12,Paramètres!$A$1:$I$89,3,0)*0.475*44/12</f>
        <v>21.492837676320121</v>
      </c>
      <c r="CM89" s="21">
        <f>EXP(-LN(2)/2)*CM88+(1-EXP(-LN(2)/2))/(LN(2)/2)*CG89*CJ89*VLOOKUP('Données projet'!$B$12,Paramètres!$A$1:$I$89,3,0)*0.475*44/12</f>
        <v>1.4859324343199676</v>
      </c>
      <c r="CN89" s="22">
        <f t="shared" si="66"/>
        <v>45.184954520875017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1.1368683772161603E-13</v>
      </c>
      <c r="CU89" s="17">
        <f>CT89*VLOOKUP('Données projet'!$B$13,Paramètres!$A$1:$I$89,3,0)*VLOOKUP('Données projet'!$B$13,Paramètres!$A$1:$I$89,5,0)</f>
        <v>5.1727511163335289E-14</v>
      </c>
      <c r="CV89" s="13">
        <f t="shared" si="95"/>
        <v>8.3906664221915895E-13</v>
      </c>
      <c r="CW89" s="20">
        <f t="shared" si="67"/>
        <v>1.551466483807844E-12</v>
      </c>
      <c r="CX89" s="59">
        <f t="shared" si="68"/>
        <v>293.33333333333485</v>
      </c>
      <c r="CY89" s="59">
        <f ca="1">AVERAGE(OFFSET($CX$3,0,0,'Données projet'!$E$13+1,1))-AVERAGE(OFFSET($H$3,0,0,'Données projet'!$E$13+1,1))</f>
        <v>338.22448697444298</v>
      </c>
      <c r="CZ89" s="59">
        <f t="shared" si="96"/>
        <v>293.3872365640849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188.8795719718911</v>
      </c>
      <c r="DG89" s="21">
        <f>EXP(-LN(2)/25)*DG88+(1-EXP(-LN(2)/25))/(LN(2)/25)*Calculateur!DB89*Calculateur!DD89*VLOOKUP('Données projet'!$B$13,Paramètres!$A$1:$I$89,3,0)*0.475*44/12</f>
        <v>62.668051125588761</v>
      </c>
      <c r="DH89" s="21">
        <f>EXP(-LN(2)/2)*DH88+(1-EXP(-LN(2)/2))/(LN(2)/2)*DB89*DE89*VLOOKUP('Données projet'!$B$13,Paramètres!$A$1:$I$89,3,0)*0.475*44/12</f>
        <v>10.114471290041866</v>
      </c>
      <c r="DI89" s="22">
        <f t="shared" si="69"/>
        <v>261.66209438752173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5.6843418860808015E-13</v>
      </c>
      <c r="DP89" s="17">
        <f>DO89*VLOOKUP('Données projet'!$B$14,Paramètres!$A$1:$I$89,3,0)*VLOOKUP('Données projet'!$B$14,Paramètres!$A$1:$I$89,5,0)</f>
        <v>3.177547114319168E-13</v>
      </c>
      <c r="DQ89" s="13">
        <f t="shared" si="97"/>
        <v>4.1725404435445377E-12</v>
      </c>
      <c r="DR89" s="20">
        <f t="shared" si="70"/>
        <v>7.820597394917325E-12</v>
      </c>
      <c r="DS89" s="59">
        <f t="shared" si="71"/>
        <v>293.33333333334116</v>
      </c>
      <c r="DT89" s="59">
        <f ca="1">AVERAGE(OFFSET($DS$3,0,0,'Données projet'!$E$14+1,1))-AVERAGE(OFFSET($H$3,0,0,'Données projet'!$E$14+1,1))</f>
        <v>328.15217666639006</v>
      </c>
      <c r="DU89" s="59">
        <f t="shared" si="98"/>
        <v>305.59175773326308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168.08369399508476</v>
      </c>
      <c r="EB89" s="21">
        <f>EXP(-LN(2)/25)*EB88+(1-EXP(-LN(2)/25))/(LN(2)/25)*Calculateur!DW89*Calculateur!DY89*VLOOKUP('Données projet'!$B$14,Paramètres!$A$1:$I$89,3,0)*0.475*44/12</f>
        <v>49.256182347795914</v>
      </c>
      <c r="EC89" s="21">
        <f>EXP(-LN(2)/2)*EC88+(1-EXP(-LN(2)/2))/(LN(2)/2)*DW89*DZ89*VLOOKUP('Données projet'!$B$14,Paramètres!$A$1:$I$89,3,0)*0.475*44/12</f>
        <v>0.29494345438601527</v>
      </c>
      <c r="ED89" s="22">
        <f t="shared" si="72"/>
        <v>217.63481979726669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159.78276497127206</v>
      </c>
      <c r="EP89" s="59">
        <f t="shared" si="100"/>
        <v>190.72163407919857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4.0014391114302699</v>
      </c>
      <c r="EW89" s="21">
        <f>EXP(-LN(2)/25)*EW88+(1-EXP(-LN(2)/25))/(LN(2)/25)*Calculateur!ER89*Calculateur!ET89*VLOOKUP('Données projet'!$B$15,Paramètres!$A$1:$I$89,3,0)*0.475*44/12</f>
        <v>16.497576273873417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20.499015385303686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9.92</v>
      </c>
      <c r="FE89" s="12">
        <f>IF('Données projet'!$A$218&gt;35,FE88+FD89-FM88,IF(A89&lt;'Données projet'!$A$218,$FB$205^A89,IF(A89='Données projet'!$A$218,'Données projet'!$B$218,FE88+FD89-FM88)))</f>
        <v>250.69000000000051</v>
      </c>
      <c r="FF89" s="17">
        <f>FE89*VLOOKUP('Données projet'!$B$16,Paramètres!$A$1:$I$89,3,0)*VLOOKUP('Données projet'!$B$16,Paramètres!$A$1:$I$89,5,0)</f>
        <v>215.09202000000047</v>
      </c>
      <c r="FG89" s="13">
        <f t="shared" si="101"/>
        <v>53.04676386229152</v>
      </c>
      <c r="FH89" s="20">
        <f t="shared" si="76"/>
        <v>467.00838189349179</v>
      </c>
      <c r="FI89" s="59">
        <f t="shared" si="77"/>
        <v>760.34171522682504</v>
      </c>
      <c r="FJ89" s="59">
        <f ca="1">AVERAGE(OFFSET($FI$3,0,0,'Données projet'!$E$16+1,1))-AVERAGE(OFFSET($H$3,0,0,'Données projet'!$E$16+1,1))</f>
        <v>337.15023592377008</v>
      </c>
      <c r="FK89" s="59">
        <f t="shared" si="102"/>
        <v>286.60608582587099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9.4147537224635069</v>
      </c>
      <c r="FR89" s="21">
        <f>EXP(-LN(2)/25)*FR88+(1-EXP(-LN(2)/25))/(LN(2)/25)*Calculateur!FM89*Calculateur!FO89*VLOOKUP('Données projet'!$B$16,Paramètres!$A$1:$I$89,3,0)*0.475*44/12</f>
        <v>47.184536731713024</v>
      </c>
      <c r="FS89" s="21">
        <f>EXP(-LN(2)/2)*FS88+(1-EXP(-LN(2)/2))/(LN(2)/2)*FM89*FP89*VLOOKUP('Données projet'!$B$16,Paramètres!$A$1:$I$89,3,0)*0.475*44/12</f>
        <v>5.9393562031530722</v>
      </c>
      <c r="FT89" s="22">
        <f t="shared" si="78"/>
        <v>62.538646657329608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9.1730000000000018</v>
      </c>
      <c r="FZ89" s="12">
        <f>IF('Données projet'!$A$244&gt;35,FZ88+FY89-GH88,IF(A89&lt;'Données projet'!$A$244,$FW$205^A89,IF(A89='Données projet'!$A$244,'Données projet'!$B$244,FZ88+FY89-GH88)))</f>
        <v>306.74600000000049</v>
      </c>
      <c r="GA89" s="17">
        <f>FZ89*VLOOKUP('Données projet'!$B$17,Paramètres!$A$1:$I$89,3,0)*VLOOKUP('Données projet'!$B$17,Paramètres!$A$1:$I$89,5,0)</f>
        <v>277.54378080000043</v>
      </c>
      <c r="GB89" s="13">
        <f t="shared" si="103"/>
        <v>66.447673279805883</v>
      </c>
      <c r="GC89" s="20">
        <f t="shared" si="79"/>
        <v>599.11844918899601</v>
      </c>
      <c r="GD89" s="59">
        <f t="shared" si="80"/>
        <v>892.45178252232927</v>
      </c>
      <c r="GE89" s="59">
        <f ca="1">AVERAGE(OFFSET($GD$3,0,0,'Données projet'!$E$17+1,1))-AVERAGE(OFFSET($H$3,0,0,'Données projet'!$E$17+1,1))</f>
        <v>486.55344536255876</v>
      </c>
      <c r="GF89" s="59">
        <f t="shared" si="104"/>
        <v>231.14794884432229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21.180901004483189</v>
      </c>
      <c r="GM89" s="21">
        <f>EXP(-LN(2)/25)*GM88+(1-EXP(-LN(2)/25))/(LN(2)/25)*Calculateur!GH89*Calculateur!GJ89*VLOOKUP('Données projet'!$B$17,Paramètres!$A$1:$I$89,3,0)*0.475*44/12</f>
        <v>27.982991944383691</v>
      </c>
      <c r="GN89" s="21">
        <f>EXP(-LN(2)/2)*GN88+(1-EXP(-LN(2)/2))/(LN(2)/2)*GH89*GK89*VLOOKUP('Données projet'!$B$17,Paramètres!$A$1:$I$89,3,0)*0.475*44/12</f>
        <v>2.9201557240464586</v>
      </c>
      <c r="GO89" s="21">
        <f t="shared" si="81"/>
        <v>52.08404867291334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399.32842195262583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13.388750000000002</v>
      </c>
      <c r="N90" s="13">
        <f>IF('Données projet'!$A$36&gt;35,N89+M90-V89,IF(A90&lt;'Données projet'!$A$36,$K$205^A90,IF(A90='Données projet'!$A$36,'Données projet'!$B$36,N89+M90-V89)))</f>
        <v>478.16499999999991</v>
      </c>
      <c r="O90" s="13">
        <f>N90*VLOOKUP('Données projet'!$B$9,Paramètres!$A$1:$I$89,3,0)*VLOOKUP('Données projet'!$B$9,Paramètres!$A$1:$I$89,5,0)</f>
        <v>223.78121999999996</v>
      </c>
      <c r="P90" s="13">
        <f t="shared" si="87"/>
        <v>54.93589833624366</v>
      </c>
      <c r="Q90" s="20">
        <f t="shared" si="54"/>
        <v>485.43231443562428</v>
      </c>
      <c r="R90" s="59">
        <f t="shared" si="55"/>
        <v>778.76564776895759</v>
      </c>
      <c r="S90" s="59">
        <f ca="1">AVERAGE(OFFSET($R$3,0,0,'Données projet'!$E$9+1,1))-AVERAGE(OFFSET($H$3,0,0,'Données projet'!$E$9+1,1))</f>
        <v>252.08270526008477</v>
      </c>
      <c r="T90" s="59">
        <f t="shared" si="88"/>
        <v>239.77811108960179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68.336359036295846</v>
      </c>
      <c r="AA90" s="21">
        <f>EXP(-LN(2)/25)*AA89+(1-EXP(-LN(2)/25))/(LN(2)/25)*Calculateur!V90*Calculateur!X90*VLOOKUP('Données projet'!$B$9,Paramètres!$A$1:$I$89,3,0)*0.475*44/12</f>
        <v>22.496282397094699</v>
      </c>
      <c r="AB90" s="21">
        <f>EXP(-LN(2)/2)*AB89+(1-EXP(-LN(2)/2))/(LN(2)/2)*V90*Y90*VLOOKUP('Données projet'!$B$9,Paramètres!$A$1:$I$89,3,0)*0.475*44/12</f>
        <v>2.5782605117299675</v>
      </c>
      <c r="AC90" s="22">
        <f t="shared" si="57"/>
        <v>93.410901945120514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251.64326096359997</v>
      </c>
      <c r="AO90" s="59">
        <f t="shared" si="90"/>
        <v>256.72142151189894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81.354674024005874</v>
      </c>
      <c r="AV90" s="21">
        <f>EXP(-LN(2)/25)*AV89+(1-EXP(-LN(2)/25))/(LN(2)/25)*Calculateur!AQ90*Calculateur!AS90*VLOOKUP('Données projet'!$B$10,Paramètres!$A$1:$I$89,3,0)*0.475*44/12</f>
        <v>22.913761120919723</v>
      </c>
      <c r="AW90" s="21">
        <f>EXP(-LN(2)/2)*AW89+(1-EXP(-LN(2)/2))/(LN(2)/2)*AQ90*AT90*VLOOKUP('Données projet'!$B$10,Paramètres!$A$1:$I$89,3,0)*0.475*44/12</f>
        <v>5.1756766150052123E-3</v>
      </c>
      <c r="AX90" s="21">
        <f t="shared" si="60"/>
        <v>104.27361082154061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199.29783428981898</v>
      </c>
      <c r="BJ90" s="59">
        <f t="shared" si="92"/>
        <v>237.32002274562547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3.3775228085601472</v>
      </c>
      <c r="BQ90" s="21">
        <f>EXP(-LN(2)/25)*BQ89+(1-EXP(-LN(2)/25))/(LN(2)/25)*Calculateur!BL90*Calculateur!BN90*VLOOKUP('Données projet'!$B$11,Paramètres!$A$1:$I$89,3,0)*0.475*44/12</f>
        <v>13.815349618300079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17.192872426860227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9.2740000000000009</v>
      </c>
      <c r="BY90" s="12">
        <f>IF('Données projet'!$A$114&gt;35,BY89+BX90-CG89,IF(A90&lt;'Données projet'!$A$114,$BV$205^A90,IF(A90='Données projet'!$A$114,'Données projet'!$B$114,BY89+BX90-CG89)))</f>
        <v>293.22599999999989</v>
      </c>
      <c r="BZ90" s="13">
        <f>BY90*VLOOKUP('Données projet'!$B$12,Paramètres!$A$1:$I$89,3,0)*VLOOKUP('Données projet'!$B$12,Paramètres!$A$1:$I$89,5,0)</f>
        <v>247.0135823999999</v>
      </c>
      <c r="CA90" s="13">
        <f t="shared" si="93"/>
        <v>59.94599787962651</v>
      </c>
      <c r="CB90" s="20">
        <f t="shared" si="64"/>
        <v>534.62126898701604</v>
      </c>
      <c r="CC90" s="59">
        <f t="shared" si="65"/>
        <v>827.9546023203493</v>
      </c>
      <c r="CD90" s="59">
        <f ca="1">AVERAGE(OFFSET($CC$3,0,0,'Données projet'!$E$12+1,1))-AVERAGE(OFFSET($H$3,0,0,'Données projet'!$E$12+1,1))</f>
        <v>295.59075210589327</v>
      </c>
      <c r="CE90" s="59">
        <f t="shared" si="94"/>
        <v>210.41181542059576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21.770734678385306</v>
      </c>
      <c r="CL90" s="21">
        <f>EXP(-LN(2)/25)*CL89+(1-EXP(-LN(2)/25))/(LN(2)/25)*Calculateur!CG90*Calculateur!CI90*VLOOKUP('Données projet'!$B$12,Paramètres!$A$1:$I$89,3,0)*0.475*44/12</f>
        <v>20.905114899801937</v>
      </c>
      <c r="CM90" s="21">
        <f>EXP(-LN(2)/2)*CM89+(1-EXP(-LN(2)/2))/(LN(2)/2)*CG90*CJ90*VLOOKUP('Données projet'!$B$12,Paramètres!$A$1:$I$89,3,0)*0.475*44/12</f>
        <v>1.0507129006926832</v>
      </c>
      <c r="CN90" s="22">
        <f t="shared" si="66"/>
        <v>43.72656247887992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1.1368683772161603E-13</v>
      </c>
      <c r="CU90" s="17">
        <f>CT90*VLOOKUP('Données projet'!$B$13,Paramètres!$A$1:$I$89,3,0)*VLOOKUP('Données projet'!$B$13,Paramètres!$A$1:$I$89,5,0)</f>
        <v>5.1727511163335289E-14</v>
      </c>
      <c r="CV90" s="13">
        <f t="shared" si="95"/>
        <v>8.3906664221915895E-13</v>
      </c>
      <c r="CW90" s="20">
        <f t="shared" si="67"/>
        <v>1.551466483807844E-12</v>
      </c>
      <c r="CX90" s="59">
        <f t="shared" si="68"/>
        <v>293.33333333333485</v>
      </c>
      <c r="CY90" s="59">
        <f ca="1">AVERAGE(OFFSET($CX$3,0,0,'Données projet'!$E$13+1,1))-AVERAGE(OFFSET($H$3,0,0,'Données projet'!$E$13+1,1))</f>
        <v>338.22448697444298</v>
      </c>
      <c r="CZ90" s="59">
        <f t="shared" si="96"/>
        <v>293.3872365640849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185.17575877068566</v>
      </c>
      <c r="DG90" s="21">
        <f>EXP(-LN(2)/25)*DG89+(1-EXP(-LN(2)/25))/(LN(2)/25)*Calculateur!DB90*Calculateur!DD90*VLOOKUP('Données projet'!$B$13,Paramètres!$A$1:$I$89,3,0)*0.475*44/12</f>
        <v>60.954389971989954</v>
      </c>
      <c r="DH90" s="21">
        <f>EXP(-LN(2)/2)*DH89+(1-EXP(-LN(2)/2))/(LN(2)/2)*DB90*DE90*VLOOKUP('Données projet'!$B$13,Paramètres!$A$1:$I$89,3,0)*0.475*44/12</f>
        <v>7.1520112373052509</v>
      </c>
      <c r="DI90" s="22">
        <f t="shared" si="69"/>
        <v>253.28215997998086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5.6843418860808015E-13</v>
      </c>
      <c r="DP90" s="17">
        <f>DO90*VLOOKUP('Données projet'!$B$14,Paramètres!$A$1:$I$89,3,0)*VLOOKUP('Données projet'!$B$14,Paramètres!$A$1:$I$89,5,0)</f>
        <v>3.177547114319168E-13</v>
      </c>
      <c r="DQ90" s="13">
        <f t="shared" si="97"/>
        <v>4.1725404435445377E-12</v>
      </c>
      <c r="DR90" s="20">
        <f t="shared" si="70"/>
        <v>7.820597394917325E-12</v>
      </c>
      <c r="DS90" s="59">
        <f t="shared" si="71"/>
        <v>293.33333333334116</v>
      </c>
      <c r="DT90" s="59">
        <f ca="1">AVERAGE(OFFSET($DS$3,0,0,'Données projet'!$E$14+1,1))-AVERAGE(OFFSET($H$3,0,0,'Données projet'!$E$14+1,1))</f>
        <v>328.15217666639006</v>
      </c>
      <c r="DU90" s="59">
        <f t="shared" si="98"/>
        <v>305.59175773326308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164.78767527677138</v>
      </c>
      <c r="EB90" s="21">
        <f>EXP(-LN(2)/25)*EB89+(1-EXP(-LN(2)/25))/(LN(2)/25)*Calculateur!DW90*Calculateur!DY90*VLOOKUP('Données projet'!$B$14,Paramètres!$A$1:$I$89,3,0)*0.475*44/12</f>
        <v>47.909269451225384</v>
      </c>
      <c r="EC90" s="21">
        <f>EXP(-LN(2)/2)*EC89+(1-EXP(-LN(2)/2))/(LN(2)/2)*DW90*DZ90*VLOOKUP('Données projet'!$B$14,Paramètres!$A$1:$I$89,3,0)*0.475*44/12</f>
        <v>0.20855651666293656</v>
      </c>
      <c r="ED90" s="22">
        <f t="shared" si="72"/>
        <v>212.90550124465969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159.78276497127206</v>
      </c>
      <c r="EP90" s="59">
        <f t="shared" si="100"/>
        <v>190.72163407919857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3.9229733310919874</v>
      </c>
      <c r="EW90" s="21">
        <f>EXP(-LN(2)/25)*EW89+(1-EXP(-LN(2)/25))/(LN(2)/25)*Calculateur!ER90*Calculateur!ET90*VLOOKUP('Données projet'!$B$15,Paramètres!$A$1:$I$89,3,0)*0.475*44/12</f>
        <v>16.046449183094516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19.969422514186505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9.92</v>
      </c>
      <c r="FE90" s="12">
        <f>IF('Données projet'!$A$218&gt;35,FE89+FD90-FM89,IF(A90&lt;'Données projet'!$A$218,$FB$205^A90,IF(A90='Données projet'!$A$218,'Données projet'!$B$218,FE89+FD90-FM89)))</f>
        <v>260.61000000000053</v>
      </c>
      <c r="FF90" s="17">
        <f>FE90*VLOOKUP('Données projet'!$B$16,Paramètres!$A$1:$I$89,3,0)*VLOOKUP('Données projet'!$B$16,Paramètres!$A$1:$I$89,5,0)</f>
        <v>223.6033800000005</v>
      </c>
      <c r="FG90" s="13">
        <f t="shared" si="101"/>
        <v>54.897320501996425</v>
      </c>
      <c r="FH90" s="20">
        <f t="shared" si="76"/>
        <v>485.05538670764457</v>
      </c>
      <c r="FI90" s="59">
        <f t="shared" si="77"/>
        <v>778.38872004097789</v>
      </c>
      <c r="FJ90" s="59">
        <f ca="1">AVERAGE(OFFSET($FI$3,0,0,'Données projet'!$E$16+1,1))-AVERAGE(OFFSET($H$3,0,0,'Données projet'!$E$16+1,1))</f>
        <v>337.15023592377008</v>
      </c>
      <c r="FK90" s="59">
        <f t="shared" si="102"/>
        <v>286.60608582587099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9.2301361443987506</v>
      </c>
      <c r="FR90" s="21">
        <f>EXP(-LN(2)/25)*FR89+(1-EXP(-LN(2)/25))/(LN(2)/25)*Calculateur!FM90*Calculateur!FO90*VLOOKUP('Données projet'!$B$16,Paramètres!$A$1:$I$89,3,0)*0.475*44/12</f>
        <v>45.894273093457386</v>
      </c>
      <c r="FS90" s="21">
        <f>EXP(-LN(2)/2)*FS89+(1-EXP(-LN(2)/2))/(LN(2)/2)*FM90*FP90*VLOOKUP('Données projet'!$B$16,Paramètres!$A$1:$I$89,3,0)*0.475*44/12</f>
        <v>4.1997590471319235</v>
      </c>
      <c r="FT90" s="22">
        <f t="shared" si="78"/>
        <v>59.324168284988062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9.1730000000000018</v>
      </c>
      <c r="FZ90" s="12">
        <f>IF('Données projet'!$A$244&gt;35,FZ89+FY90-GH89,IF(A90&lt;'Données projet'!$A$244,$FW$205^A90,IF(A90='Données projet'!$A$244,'Données projet'!$B$244,FZ89+FY90-GH89)))</f>
        <v>315.91900000000049</v>
      </c>
      <c r="GA90" s="17">
        <f>FZ90*VLOOKUP('Données projet'!$B$17,Paramètres!$A$1:$I$89,3,0)*VLOOKUP('Données projet'!$B$17,Paramètres!$A$1:$I$89,5,0)</f>
        <v>285.84351120000042</v>
      </c>
      <c r="GB90" s="13">
        <f t="shared" si="103"/>
        <v>68.200422369637309</v>
      </c>
      <c r="GC90" s="20">
        <f t="shared" si="79"/>
        <v>616.62651763378562</v>
      </c>
      <c r="GD90" s="59">
        <f t="shared" si="80"/>
        <v>909.95985096711888</v>
      </c>
      <c r="GE90" s="59">
        <f ca="1">AVERAGE(OFFSET($GD$3,0,0,'Données projet'!$E$17+1,1))-AVERAGE(OFFSET($H$3,0,0,'Données projet'!$E$17+1,1))</f>
        <v>486.55344536255876</v>
      </c>
      <c r="GF90" s="59">
        <f t="shared" si="104"/>
        <v>231.14794884432229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20.765556454859233</v>
      </c>
      <c r="GM90" s="21">
        <f>EXP(-LN(2)/25)*GM89+(1-EXP(-LN(2)/25))/(LN(2)/25)*Calculateur!GH90*Calculateur!GJ90*VLOOKUP('Données projet'!$B$17,Paramètres!$A$1:$I$89,3,0)*0.475*44/12</f>
        <v>27.217795558102928</v>
      </c>
      <c r="GN90" s="21">
        <f>EXP(-LN(2)/2)*GN89+(1-EXP(-LN(2)/2))/(LN(2)/2)*GH90*GK90*VLOOKUP('Données projet'!$B$17,Paramètres!$A$1:$I$89,3,0)*0.475*44/12</f>
        <v>2.0648619145939637</v>
      </c>
      <c r="GO90" s="21">
        <f t="shared" si="81"/>
        <v>50.04821392755612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400.9257687506875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13.388750000000002</v>
      </c>
      <c r="N91" s="13">
        <f>IF('Données projet'!$A$36&gt;35,N90+M91-V90,IF(A91&lt;'Données projet'!$A$36,$K$205^A91,IF(A91='Données projet'!$A$36,'Données projet'!$B$36,N90+M91-V90)))</f>
        <v>491.55374999999992</v>
      </c>
      <c r="O91" s="13">
        <f>N91*VLOOKUP('Données projet'!$B$9,Paramètres!$A$1:$I$89,3,0)*VLOOKUP('Données projet'!$B$9,Paramètres!$A$1:$I$89,5,0)</f>
        <v>230.04715499999998</v>
      </c>
      <c r="P91" s="13">
        <f t="shared" si="87"/>
        <v>56.292877422972801</v>
      </c>
      <c r="Q91" s="20">
        <f t="shared" si="54"/>
        <v>498.70888980334422</v>
      </c>
      <c r="R91" s="59">
        <f t="shared" si="55"/>
        <v>792.04222313667753</v>
      </c>
      <c r="S91" s="59">
        <f ca="1">AVERAGE(OFFSET($R$3,0,0,'Données projet'!$E$9+1,1))-AVERAGE(OFFSET($H$3,0,0,'Données projet'!$E$9+1,1))</f>
        <v>252.08270526008477</v>
      </c>
      <c r="T91" s="59">
        <f t="shared" si="88"/>
        <v>239.77811108960179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66.99632471665744</v>
      </c>
      <c r="AA91" s="21">
        <f>EXP(-LN(2)/25)*AA90+(1-EXP(-LN(2)/25))/(LN(2)/25)*Calculateur!V91*Calculateur!X91*VLOOKUP('Données projet'!$B$9,Paramètres!$A$1:$I$89,3,0)*0.475*44/12</f>
        <v>21.881120371918069</v>
      </c>
      <c r="AB91" s="21">
        <f>EXP(-LN(2)/2)*AB90+(1-EXP(-LN(2)/2))/(LN(2)/2)*V91*Y91*VLOOKUP('Données projet'!$B$9,Paramètres!$A$1:$I$89,3,0)*0.475*44/12</f>
        <v>1.8231054915097582</v>
      </c>
      <c r="AC91" s="22">
        <f t="shared" si="57"/>
        <v>90.700550580085277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251.64326096359997</v>
      </c>
      <c r="AO91" s="59">
        <f t="shared" si="90"/>
        <v>256.72142151189894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79.759358487846555</v>
      </c>
      <c r="AV91" s="21">
        <f>EXP(-LN(2)/25)*AV90+(1-EXP(-LN(2)/25))/(LN(2)/25)*Calculateur!AQ91*Calculateur!AS91*VLOOKUP('Données projet'!$B$10,Paramètres!$A$1:$I$89,3,0)*0.475*44/12</f>
        <v>22.287183118085846</v>
      </c>
      <c r="AW91" s="21">
        <f>EXP(-LN(2)/2)*AW90+(1-EXP(-LN(2)/2))/(LN(2)/2)*AQ91*AT91*VLOOKUP('Données projet'!$B$10,Paramètres!$A$1:$I$89,3,0)*0.475*44/12</f>
        <v>3.6597560316988216E-3</v>
      </c>
      <c r="AX91" s="21">
        <f t="shared" si="60"/>
        <v>102.0502013619641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199.29783428981898</v>
      </c>
      <c r="BJ91" s="59">
        <f t="shared" si="92"/>
        <v>237.32002274562547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3.3112916463697792</v>
      </c>
      <c r="BQ91" s="21">
        <f>EXP(-LN(2)/25)*BQ90+(1-EXP(-LN(2)/25))/(LN(2)/25)*Calculateur!BL91*Calculateur!BN91*VLOOKUP('Données projet'!$B$11,Paramètres!$A$1:$I$89,3,0)*0.475*44/12</f>
        <v>13.437568156470002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16.748859802839782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9.2740000000000009</v>
      </c>
      <c r="BY91" s="12">
        <f>IF('Données projet'!$A$114&gt;35,BY90+BX91-CG90,IF(A91&lt;'Données projet'!$A$114,$BV$205^A91,IF(A91='Données projet'!$A$114,'Données projet'!$B$114,BY90+BX91-CG90)))</f>
        <v>302.49999999999989</v>
      </c>
      <c r="BZ91" s="13">
        <f>BY91*VLOOKUP('Données projet'!$B$12,Paramètres!$A$1:$I$89,3,0)*VLOOKUP('Données projet'!$B$12,Paramètres!$A$1:$I$89,5,0)</f>
        <v>254.82599999999991</v>
      </c>
      <c r="CA91" s="13">
        <f t="shared" si="93"/>
        <v>61.61820333959453</v>
      </c>
      <c r="CB91" s="20">
        <f t="shared" si="64"/>
        <v>551.1403208164603</v>
      </c>
      <c r="CC91" s="59">
        <f t="shared" si="65"/>
        <v>844.47365414979367</v>
      </c>
      <c r="CD91" s="59">
        <f ca="1">AVERAGE(OFFSET($CC$3,0,0,'Données projet'!$E$12+1,1))-AVERAGE(OFFSET($H$3,0,0,'Données projet'!$E$12+1,1))</f>
        <v>295.59075210589327</v>
      </c>
      <c r="CE91" s="59">
        <f t="shared" si="94"/>
        <v>210.41181542059576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21.343823850179149</v>
      </c>
      <c r="CL91" s="21">
        <f>EXP(-LN(2)/25)*CL90+(1-EXP(-LN(2)/25))/(LN(2)/25)*Calculateur!CG91*Calculateur!CI91*VLOOKUP('Données projet'!$B$12,Paramètres!$A$1:$I$89,3,0)*0.475*44/12</f>
        <v>20.333463433514641</v>
      </c>
      <c r="CM91" s="21">
        <f>EXP(-LN(2)/2)*CM90+(1-EXP(-LN(2)/2))/(LN(2)/2)*CG91*CJ91*VLOOKUP('Données projet'!$B$12,Paramètres!$A$1:$I$89,3,0)*0.475*44/12</f>
        <v>0.74296621715998379</v>
      </c>
      <c r="CN91" s="22">
        <f t="shared" si="66"/>
        <v>42.420253500853768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1.1368683772161603E-13</v>
      </c>
      <c r="CU91" s="17">
        <f>CT91*VLOOKUP('Données projet'!$B$13,Paramètres!$A$1:$I$89,3,0)*VLOOKUP('Données projet'!$B$13,Paramètres!$A$1:$I$89,5,0)</f>
        <v>5.1727511163335289E-14</v>
      </c>
      <c r="CV91" s="13">
        <f t="shared" si="95"/>
        <v>8.3906664221915895E-13</v>
      </c>
      <c r="CW91" s="20">
        <f t="shared" si="67"/>
        <v>1.551466483807844E-12</v>
      </c>
      <c r="CX91" s="59">
        <f t="shared" si="68"/>
        <v>293.33333333333485</v>
      </c>
      <c r="CY91" s="59">
        <f ca="1">AVERAGE(OFFSET($CX$3,0,0,'Données projet'!$E$13+1,1))-AVERAGE(OFFSET($H$3,0,0,'Données projet'!$E$13+1,1))</f>
        <v>338.22448697444298</v>
      </c>
      <c r="CZ91" s="59">
        <f t="shared" si="96"/>
        <v>293.3872365640849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181.54457508725287</v>
      </c>
      <c r="DG91" s="21">
        <f>EXP(-LN(2)/25)*DG90+(1-EXP(-LN(2)/25))/(LN(2)/25)*Calculateur!DB91*Calculateur!DD91*VLOOKUP('Données projet'!$B$13,Paramètres!$A$1:$I$89,3,0)*0.475*44/12</f>
        <v>59.287588972753831</v>
      </c>
      <c r="DH91" s="21">
        <f>EXP(-LN(2)/2)*DH90+(1-EXP(-LN(2)/2))/(LN(2)/2)*DB91*DE91*VLOOKUP('Données projet'!$B$13,Paramètres!$A$1:$I$89,3,0)*0.475*44/12</f>
        <v>5.057235645020933</v>
      </c>
      <c r="DI91" s="22">
        <f t="shared" si="69"/>
        <v>245.88939970502764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5.6843418860808015E-13</v>
      </c>
      <c r="DP91" s="17">
        <f>DO91*VLOOKUP('Données projet'!$B$14,Paramètres!$A$1:$I$89,3,0)*VLOOKUP('Données projet'!$B$14,Paramètres!$A$1:$I$89,5,0)</f>
        <v>3.177547114319168E-13</v>
      </c>
      <c r="DQ91" s="13">
        <f t="shared" si="97"/>
        <v>4.1725404435445377E-12</v>
      </c>
      <c r="DR91" s="20">
        <f t="shared" si="70"/>
        <v>7.820597394917325E-12</v>
      </c>
      <c r="DS91" s="59">
        <f t="shared" si="71"/>
        <v>293.33333333334116</v>
      </c>
      <c r="DT91" s="59">
        <f ca="1">AVERAGE(OFFSET($DS$3,0,0,'Données projet'!$E$14+1,1))-AVERAGE(OFFSET($H$3,0,0,'Données projet'!$E$14+1,1))</f>
        <v>328.15217666639006</v>
      </c>
      <c r="DU91" s="59">
        <f t="shared" si="98"/>
        <v>305.59175773326308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161.55628947515123</v>
      </c>
      <c r="EB91" s="21">
        <f>EXP(-LN(2)/25)*EB90+(1-EXP(-LN(2)/25))/(LN(2)/25)*Calculateur!DW91*Calculateur!DY91*VLOOKUP('Données projet'!$B$14,Paramètres!$A$1:$I$89,3,0)*0.475*44/12</f>
        <v>46.599187958642645</v>
      </c>
      <c r="EC91" s="21">
        <f>EXP(-LN(2)/2)*EC90+(1-EXP(-LN(2)/2))/(LN(2)/2)*DW91*DZ91*VLOOKUP('Données projet'!$B$14,Paramètres!$A$1:$I$89,3,0)*0.475*44/12</f>
        <v>0.14747172719300763</v>
      </c>
      <c r="ED91" s="22">
        <f t="shared" si="72"/>
        <v>208.30294916098688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159.78276497127206</v>
      </c>
      <c r="EP91" s="59">
        <f t="shared" si="100"/>
        <v>190.72163407919857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3.8460462168467382</v>
      </c>
      <c r="EW91" s="21">
        <f>EXP(-LN(2)/25)*EW90+(1-EXP(-LN(2)/25))/(LN(2)/25)*Calculateur!ER91*Calculateur!ET91*VLOOKUP('Données projet'!$B$15,Paramètres!$A$1:$I$89,3,0)*0.475*44/12</f>
        <v>15.607658186336709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19.453704403183448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9.92</v>
      </c>
      <c r="FE91" s="12">
        <f>IF('Données projet'!$A$218&gt;35,FE90+FD91-FM90,IF(A91&lt;'Données projet'!$A$218,$FB$205^A91,IF(A91='Données projet'!$A$218,'Données projet'!$B$218,FE90+FD91-FM90)))</f>
        <v>270.53000000000054</v>
      </c>
      <c r="FF91" s="17">
        <f>FE91*VLOOKUP('Données projet'!$B$16,Paramètres!$A$1:$I$89,3,0)*VLOOKUP('Données projet'!$B$16,Paramètres!$A$1:$I$89,5,0)</f>
        <v>232.11474000000047</v>
      </c>
      <c r="FG91" s="13">
        <f t="shared" si="101"/>
        <v>56.739693907453834</v>
      </c>
      <c r="FH91" s="20">
        <f t="shared" si="76"/>
        <v>503.08813905548283</v>
      </c>
      <c r="FI91" s="59">
        <f t="shared" si="77"/>
        <v>796.42147238881614</v>
      </c>
      <c r="FJ91" s="59">
        <f ca="1">AVERAGE(OFFSET($FI$3,0,0,'Données projet'!$E$16+1,1))-AVERAGE(OFFSET($H$3,0,0,'Données projet'!$E$16+1,1))</f>
        <v>337.15023592377008</v>
      </c>
      <c r="FK91" s="59">
        <f t="shared" si="102"/>
        <v>286.60608582587099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9.0491388044342393</v>
      </c>
      <c r="FR91" s="21">
        <f>EXP(-LN(2)/25)*FR90+(1-EXP(-LN(2)/25))/(LN(2)/25)*Calculateur!FM91*Calculateur!FO91*VLOOKUP('Données projet'!$B$16,Paramètres!$A$1:$I$89,3,0)*0.475*44/12</f>
        <v>44.639291782241862</v>
      </c>
      <c r="FS91" s="21">
        <f>EXP(-LN(2)/2)*FS90+(1-EXP(-LN(2)/2))/(LN(2)/2)*FM91*FP91*VLOOKUP('Données projet'!$B$16,Paramètres!$A$1:$I$89,3,0)*0.475*44/12</f>
        <v>2.9696781015765366</v>
      </c>
      <c r="FT91" s="22">
        <f t="shared" si="78"/>
        <v>56.658108688252639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9.1730000000000018</v>
      </c>
      <c r="FZ91" s="12">
        <f>IF('Données projet'!$A$244&gt;35,FZ90+FY91-GH90,IF(A91&lt;'Données projet'!$A$244,$FW$205^A91,IF(A91='Données projet'!$A$244,'Données projet'!$B$244,FZ90+FY91-GH90)))</f>
        <v>325.0920000000005</v>
      </c>
      <c r="GA91" s="17">
        <f>FZ91*VLOOKUP('Données projet'!$B$17,Paramètres!$A$1:$I$89,3,0)*VLOOKUP('Données projet'!$B$17,Paramètres!$A$1:$I$89,5,0)</f>
        <v>294.14324160000047</v>
      </c>
      <c r="GB91" s="13">
        <f t="shared" si="103"/>
        <v>69.947256671789191</v>
      </c>
      <c r="GC91" s="20">
        <f t="shared" si="79"/>
        <v>634.12428449003357</v>
      </c>
      <c r="GD91" s="59">
        <f t="shared" si="80"/>
        <v>927.45761782336695</v>
      </c>
      <c r="GE91" s="59">
        <f ca="1">AVERAGE(OFFSET($GD$3,0,0,'Données projet'!$E$17+1,1))-AVERAGE(OFFSET($H$3,0,0,'Données projet'!$E$17+1,1))</f>
        <v>486.55344536255876</v>
      </c>
      <c r="GF91" s="59">
        <f t="shared" si="104"/>
        <v>231.14794884432229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20.358356558518242</v>
      </c>
      <c r="GM91" s="21">
        <f>EXP(-LN(2)/25)*GM90+(1-EXP(-LN(2)/25))/(LN(2)/25)*Calculateur!GH91*Calculateur!GJ91*VLOOKUP('Données projet'!$B$17,Paramètres!$A$1:$I$89,3,0)*0.475*44/12</f>
        <v>26.473523507244941</v>
      </c>
      <c r="GN91" s="21">
        <f>EXP(-LN(2)/2)*GN90+(1-EXP(-LN(2)/2))/(LN(2)/2)*GH91*GK91*VLOOKUP('Données projet'!$B$17,Paramètres!$A$1:$I$89,3,0)*0.475*44/12</f>
        <v>1.4600778620232295</v>
      </c>
      <c r="GO91" s="21">
        <f t="shared" si="81"/>
        <v>48.291957927786413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402.52269207456277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13.388750000000002</v>
      </c>
      <c r="N92" s="13">
        <f>IF('Données projet'!$A$36&gt;35,N91+M92-V91,IF(A92&lt;'Données projet'!$A$36,$K$205^A92,IF(A92='Données projet'!$A$36,'Données projet'!$B$36,N91+M92-V91)))</f>
        <v>504.94249999999994</v>
      </c>
      <c r="O92" s="13">
        <f>N92*VLOOKUP('Données projet'!$B$9,Paramètres!$A$1:$I$89,3,0)*VLOOKUP('Données projet'!$B$9,Paramètres!$A$1:$I$89,5,0)</f>
        <v>236.31308999999999</v>
      </c>
      <c r="P92" s="13">
        <f t="shared" si="87"/>
        <v>57.645560516078959</v>
      </c>
      <c r="Q92" s="20">
        <f t="shared" si="54"/>
        <v>511.97798298217077</v>
      </c>
      <c r="R92" s="59">
        <f t="shared" si="55"/>
        <v>805.31131631550409</v>
      </c>
      <c r="S92" s="59">
        <f ca="1">AVERAGE(OFFSET($R$3,0,0,'Données projet'!$E$9+1,1))-AVERAGE(OFFSET($H$3,0,0,'Données projet'!$E$9+1,1))</f>
        <v>252.08270526008477</v>
      </c>
      <c r="T92" s="59">
        <f t="shared" si="88"/>
        <v>239.77811108960179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65.682567652686913</v>
      </c>
      <c r="AA92" s="21">
        <f>EXP(-LN(2)/25)*AA91+(1-EXP(-LN(2)/25))/(LN(2)/25)*Calculateur!V92*Calculateur!X92*VLOOKUP('Données projet'!$B$9,Paramètres!$A$1:$I$89,3,0)*0.475*44/12</f>
        <v>21.282779984669858</v>
      </c>
      <c r="AB92" s="21">
        <f>EXP(-LN(2)/2)*AB91+(1-EXP(-LN(2)/2))/(LN(2)/2)*V92*Y92*VLOOKUP('Données projet'!$B$9,Paramètres!$A$1:$I$89,3,0)*0.475*44/12</f>
        <v>1.2891302558649838</v>
      </c>
      <c r="AC92" s="22">
        <f t="shared" si="57"/>
        <v>88.254477893221761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251.64326096359997</v>
      </c>
      <c r="AO92" s="59">
        <f t="shared" si="90"/>
        <v>256.72142151189894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78.195326116304926</v>
      </c>
      <c r="AV92" s="21">
        <f>EXP(-LN(2)/25)*AV91+(1-EXP(-LN(2)/25))/(LN(2)/25)*Calculateur!AQ92*Calculateur!AS92*VLOOKUP('Données projet'!$B$10,Paramètres!$A$1:$I$89,3,0)*0.475*44/12</f>
        <v>21.677738923689766</v>
      </c>
      <c r="AW92" s="21">
        <f>EXP(-LN(2)/2)*AW91+(1-EXP(-LN(2)/2))/(LN(2)/2)*AQ92*AT92*VLOOKUP('Données projet'!$B$10,Paramètres!$A$1:$I$89,3,0)*0.475*44/12</f>
        <v>2.5878383075026061E-3</v>
      </c>
      <c r="AX92" s="21">
        <f t="shared" si="60"/>
        <v>99.875652878302191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199.29783428981898</v>
      </c>
      <c r="BJ92" s="59">
        <f t="shared" si="92"/>
        <v>237.32002274562547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3.2463592368729444</v>
      </c>
      <c r="BQ92" s="21">
        <f>EXP(-LN(2)/25)*BQ91+(1-EXP(-LN(2)/25))/(LN(2)/25)*Calculateur!BL92*Calculateur!BN92*VLOOKUP('Données projet'!$B$11,Paramètres!$A$1:$I$89,3,0)*0.475*44/12</f>
        <v>13.070117148580332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16.316476385453278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9.2740000000000009</v>
      </c>
      <c r="BY92" s="12">
        <f>IF('Données projet'!$A$114&gt;35,BY91+BX92-CG91,IF(A92&lt;'Données projet'!$A$114,$BV$205^A92,IF(A92='Données projet'!$A$114,'Données projet'!$B$114,BY91+BX92-CG91)))</f>
        <v>311.77399999999989</v>
      </c>
      <c r="BZ92" s="13">
        <f>BY92*VLOOKUP('Données projet'!$B$12,Paramètres!$A$1:$I$89,3,0)*VLOOKUP('Données projet'!$B$12,Paramètres!$A$1:$I$89,5,0)</f>
        <v>262.63841759999997</v>
      </c>
      <c r="CA92" s="13">
        <f t="shared" si="93"/>
        <v>63.284451059644105</v>
      </c>
      <c r="CB92" s="20">
        <f t="shared" si="64"/>
        <v>567.64899624888005</v>
      </c>
      <c r="CC92" s="59">
        <f t="shared" si="65"/>
        <v>860.98232958221342</v>
      </c>
      <c r="CD92" s="59">
        <f ca="1">AVERAGE(OFFSET($CC$3,0,0,'Données projet'!$E$12+1,1))-AVERAGE(OFFSET($H$3,0,0,'Données projet'!$E$12+1,1))</f>
        <v>295.59075210589327</v>
      </c>
      <c r="CE92" s="59">
        <f t="shared" si="94"/>
        <v>210.41181542059576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20.925284482924219</v>
      </c>
      <c r="CL92" s="21">
        <f>EXP(-LN(2)/25)*CL91+(1-EXP(-LN(2)/25))/(LN(2)/25)*Calculateur!CG92*Calculateur!CI92*VLOOKUP('Données projet'!$B$12,Paramètres!$A$1:$I$89,3,0)*0.475*44/12</f>
        <v>19.777443806634814</v>
      </c>
      <c r="CM92" s="21">
        <f>EXP(-LN(2)/2)*CM91+(1-EXP(-LN(2)/2))/(LN(2)/2)*CG92*CJ92*VLOOKUP('Données projet'!$B$12,Paramètres!$A$1:$I$89,3,0)*0.475*44/12</f>
        <v>0.5253564503463416</v>
      </c>
      <c r="CN92" s="22">
        <f t="shared" si="66"/>
        <v>41.228084739905377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1.1368683772161603E-13</v>
      </c>
      <c r="CU92" s="17">
        <f>CT92*VLOOKUP('Données projet'!$B$13,Paramètres!$A$1:$I$89,3,0)*VLOOKUP('Données projet'!$B$13,Paramètres!$A$1:$I$89,5,0)</f>
        <v>5.1727511163335289E-14</v>
      </c>
      <c r="CV92" s="13">
        <f t="shared" si="95"/>
        <v>8.3906664221915895E-13</v>
      </c>
      <c r="CW92" s="20">
        <f t="shared" si="67"/>
        <v>1.551466483807844E-12</v>
      </c>
      <c r="CX92" s="59">
        <f t="shared" si="68"/>
        <v>293.33333333333485</v>
      </c>
      <c r="CY92" s="59">
        <f ca="1">AVERAGE(OFFSET($CX$3,0,0,'Données projet'!$E$13+1,1))-AVERAGE(OFFSET($H$3,0,0,'Données projet'!$E$13+1,1))</f>
        <v>338.22448697444298</v>
      </c>
      <c r="CZ92" s="59">
        <f t="shared" si="96"/>
        <v>293.3872365640849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177.98459670104884</v>
      </c>
      <c r="DG92" s="21">
        <f>EXP(-LN(2)/25)*DG91+(1-EXP(-LN(2)/25))/(LN(2)/25)*Calculateur!DB92*Calculateur!DD92*VLOOKUP('Données projet'!$B$13,Paramètres!$A$1:$I$89,3,0)*0.475*44/12</f>
        <v>57.666366734495078</v>
      </c>
      <c r="DH92" s="21">
        <f>EXP(-LN(2)/2)*DH91+(1-EXP(-LN(2)/2))/(LN(2)/2)*DB92*DE92*VLOOKUP('Données projet'!$B$13,Paramètres!$A$1:$I$89,3,0)*0.475*44/12</f>
        <v>3.5760056186526255</v>
      </c>
      <c r="DI92" s="22">
        <f t="shared" si="69"/>
        <v>239.22696905419656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5.6843418860808015E-13</v>
      </c>
      <c r="DP92" s="17">
        <f>DO92*VLOOKUP('Données projet'!$B$14,Paramètres!$A$1:$I$89,3,0)*VLOOKUP('Données projet'!$B$14,Paramètres!$A$1:$I$89,5,0)</f>
        <v>3.177547114319168E-13</v>
      </c>
      <c r="DQ92" s="13">
        <f t="shared" si="97"/>
        <v>4.1725404435445377E-12</v>
      </c>
      <c r="DR92" s="20">
        <f t="shared" si="70"/>
        <v>7.820597394917325E-12</v>
      </c>
      <c r="DS92" s="59">
        <f t="shared" si="71"/>
        <v>293.33333333334116</v>
      </c>
      <c r="DT92" s="59">
        <f ca="1">AVERAGE(OFFSET($DS$3,0,0,'Données projet'!$E$14+1,1))-AVERAGE(OFFSET($H$3,0,0,'Données projet'!$E$14+1,1))</f>
        <v>328.15217666639006</v>
      </c>
      <c r="DU92" s="59">
        <f t="shared" si="98"/>
        <v>305.59175773326308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158.38826917815013</v>
      </c>
      <c r="EB92" s="21">
        <f>EXP(-LN(2)/25)*EB91+(1-EXP(-LN(2)/25))/(LN(2)/25)*Calculateur!DW92*Calculateur!DY92*VLOOKUP('Données projet'!$B$14,Paramètres!$A$1:$I$89,3,0)*0.475*44/12</f>
        <v>45.324930713368772</v>
      </c>
      <c r="EC92" s="21">
        <f>EXP(-LN(2)/2)*EC91+(1-EXP(-LN(2)/2))/(LN(2)/2)*DW92*DZ92*VLOOKUP('Données projet'!$B$14,Paramètres!$A$1:$I$89,3,0)*0.475*44/12</f>
        <v>0.10427825833146828</v>
      </c>
      <c r="ED92" s="22">
        <f t="shared" si="72"/>
        <v>203.81747814985039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159.78276497127206</v>
      </c>
      <c r="EP92" s="59">
        <f t="shared" si="100"/>
        <v>190.72163407919857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3.7706275963909319</v>
      </c>
      <c r="EW92" s="21">
        <f>EXP(-LN(2)/25)*EW91+(1-EXP(-LN(2)/25))/(LN(2)/25)*Calculateur!ER92*Calculateur!ET92*VLOOKUP('Données projet'!$B$15,Paramètres!$A$1:$I$89,3,0)*0.475*44/12</f>
        <v>15.180865952460259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18.95149354885119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9.92</v>
      </c>
      <c r="FE92" s="12">
        <f>IF('Données projet'!$A$218&gt;35,FE91+FD92-FM91,IF(A92&lt;'Données projet'!$A$218,$FB$205^A92,IF(A92='Données projet'!$A$218,'Données projet'!$B$218,FE91+FD92-FM91)))</f>
        <v>280.45000000000056</v>
      </c>
      <c r="FF92" s="17">
        <f>FE92*VLOOKUP('Données projet'!$B$16,Paramètres!$A$1:$I$89,3,0)*VLOOKUP('Données projet'!$B$16,Paramètres!$A$1:$I$89,5,0)</f>
        <v>240.62610000000049</v>
      </c>
      <c r="FG92" s="13">
        <f t="shared" si="101"/>
        <v>58.574218514336131</v>
      </c>
      <c r="FH92" s="20">
        <f t="shared" si="76"/>
        <v>521.10722141246958</v>
      </c>
      <c r="FI92" s="59">
        <f t="shared" si="77"/>
        <v>814.44055474580296</v>
      </c>
      <c r="FJ92" s="59">
        <f ca="1">AVERAGE(OFFSET($FI$3,0,0,'Données projet'!$E$16+1,1))-AVERAGE(OFFSET($H$3,0,0,'Données projet'!$E$16+1,1))</f>
        <v>337.15023592377008</v>
      </c>
      <c r="FK92" s="59">
        <f t="shared" si="102"/>
        <v>286.60608582587099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8.8716907119089559</v>
      </c>
      <c r="FR92" s="21">
        <f>EXP(-LN(2)/25)*FR91+(1-EXP(-LN(2)/25))/(LN(2)/25)*Calculateur!FM92*Calculateur!FO92*VLOOKUP('Données projet'!$B$16,Paramètres!$A$1:$I$89,3,0)*0.475*44/12</f>
        <v>43.418628000978131</v>
      </c>
      <c r="FS92" s="21">
        <f>EXP(-LN(2)/2)*FS91+(1-EXP(-LN(2)/2))/(LN(2)/2)*FM92*FP92*VLOOKUP('Données projet'!$B$16,Paramètres!$A$1:$I$89,3,0)*0.475*44/12</f>
        <v>2.0998795235659622</v>
      </c>
      <c r="FT92" s="22">
        <f t="shared" si="78"/>
        <v>54.390198236453045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9.1730000000000018</v>
      </c>
      <c r="FZ92" s="12">
        <f>IF('Données projet'!$A$244&gt;35,FZ91+FY92-GH91,IF(A92&lt;'Données projet'!$A$244,$FW$205^A92,IF(A92='Données projet'!$A$244,'Données projet'!$B$244,FZ91+FY92-GH91)))</f>
        <v>334.2650000000005</v>
      </c>
      <c r="GA92" s="17">
        <f>FZ92*VLOOKUP('Données projet'!$B$17,Paramètres!$A$1:$I$89,3,0)*VLOOKUP('Données projet'!$B$17,Paramètres!$A$1:$I$89,5,0)</f>
        <v>302.44297200000045</v>
      </c>
      <c r="GB92" s="13">
        <f t="shared" si="103"/>
        <v>71.688362252626035</v>
      </c>
      <c r="GC92" s="20">
        <f t="shared" si="79"/>
        <v>651.61207382332452</v>
      </c>
      <c r="GD92" s="59">
        <f t="shared" si="80"/>
        <v>944.94540715665789</v>
      </c>
      <c r="GE92" s="59">
        <f ca="1">AVERAGE(OFFSET($GD$3,0,0,'Données projet'!$E$17+1,1))-AVERAGE(OFFSET($H$3,0,0,'Données projet'!$E$17+1,1))</f>
        <v>486.55344536255876</v>
      </c>
      <c r="GF92" s="59">
        <f t="shared" si="104"/>
        <v>231.14794884432229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19.959141603777088</v>
      </c>
      <c r="GM92" s="21">
        <f>EXP(-LN(2)/25)*GM91+(1-EXP(-LN(2)/25))/(LN(2)/25)*Calculateur!GH92*Calculateur!GJ92*VLOOKUP('Données projet'!$B$17,Paramètres!$A$1:$I$89,3,0)*0.475*44/12</f>
        <v>25.749603614757234</v>
      </c>
      <c r="GN92" s="21">
        <f>EXP(-LN(2)/2)*GN91+(1-EXP(-LN(2)/2))/(LN(2)/2)*GH92*GK92*VLOOKUP('Données projet'!$B$17,Paramètres!$A$1:$I$89,3,0)*0.475*44/12</f>
        <v>1.0324309572969819</v>
      </c>
      <c r="GO92" s="21">
        <f t="shared" si="81"/>
        <v>46.741176175831299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404.11919723298803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13.388750000000002</v>
      </c>
      <c r="N93" s="13">
        <f>IF('Données projet'!$A$36&gt;35,N92+M93-V92,IF(A93&lt;'Données projet'!$A$36,$K$205^A93,IF(A93='Données projet'!$A$36,'Données projet'!$B$36,N92+M93-V92)))</f>
        <v>518.33124999999995</v>
      </c>
      <c r="O93" s="13">
        <f>N93*VLOOKUP('Données projet'!$B$9,Paramètres!$A$1:$I$89,3,0)*VLOOKUP('Données projet'!$B$9,Paramètres!$A$1:$I$89,5,0)</f>
        <v>242.57902499999997</v>
      </c>
      <c r="P93" s="13">
        <f t="shared" si="87"/>
        <v>58.9940746187348</v>
      </c>
      <c r="Q93" s="20">
        <f t="shared" si="54"/>
        <v>525.23981516929643</v>
      </c>
      <c r="R93" s="59">
        <f t="shared" si="55"/>
        <v>818.57314850262969</v>
      </c>
      <c r="S93" s="59">
        <f ca="1">AVERAGE(OFFSET($R$3,0,0,'Données projet'!$E$9+1,1))-AVERAGE(OFFSET($H$3,0,0,'Données projet'!$E$9+1,1))</f>
        <v>252.08270526008477</v>
      </c>
      <c r="T93" s="59">
        <f t="shared" si="88"/>
        <v>239.77811108960179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64.394572563428156</v>
      </c>
      <c r="AA93" s="21">
        <f>EXP(-LN(2)/25)*AA92+(1-EXP(-LN(2)/25))/(LN(2)/25)*Calculateur!V93*Calculateur!X93*VLOOKUP('Données projet'!$B$9,Paramètres!$A$1:$I$89,3,0)*0.475*44/12</f>
        <v>20.700801246776305</v>
      </c>
      <c r="AB93" s="21">
        <f>EXP(-LN(2)/2)*AB92+(1-EXP(-LN(2)/2))/(LN(2)/2)*V93*Y93*VLOOKUP('Données projet'!$B$9,Paramètres!$A$1:$I$89,3,0)*0.475*44/12</f>
        <v>0.9115527457548791</v>
      </c>
      <c r="AC93" s="22">
        <f t="shared" si="57"/>
        <v>86.006926555959339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251.64326096359997</v>
      </c>
      <c r="AO93" s="59">
        <f t="shared" si="90"/>
        <v>256.72142151189894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76.661963465603677</v>
      </c>
      <c r="AV93" s="21">
        <f>EXP(-LN(2)/25)*AV92+(1-EXP(-LN(2)/25))/(LN(2)/25)*Calculateur!AQ93*Calculateur!AS93*VLOOKUP('Données projet'!$B$10,Paramètres!$A$1:$I$89,3,0)*0.475*44/12</f>
        <v>21.084960012838724</v>
      </c>
      <c r="AW93" s="21">
        <f>EXP(-LN(2)/2)*AW92+(1-EXP(-LN(2)/2))/(LN(2)/2)*AQ93*AT93*VLOOKUP('Données projet'!$B$10,Paramètres!$A$1:$I$89,3,0)*0.475*44/12</f>
        <v>1.8298780158494108E-3</v>
      </c>
      <c r="AX93" s="21">
        <f t="shared" si="60"/>
        <v>97.748753356458252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199.29783428981898</v>
      </c>
      <c r="BJ93" s="59">
        <f t="shared" si="92"/>
        <v>237.32002274562547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3.1827001123214833</v>
      </c>
      <c r="BQ93" s="21">
        <f>EXP(-LN(2)/25)*BQ92+(1-EXP(-LN(2)/25))/(LN(2)/25)*Calculateur!BL93*Calculateur!BN93*VLOOKUP('Données projet'!$B$11,Paramètres!$A$1:$I$89,3,0)*0.475*44/12</f>
        <v>12.712714107824814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15.895414220146296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9.2740000000000009</v>
      </c>
      <c r="BY93" s="12">
        <f>IF('Données projet'!$A$114&gt;35,BY92+BX93-CG92,IF(A93&lt;'Données projet'!$A$114,$BV$205^A93,IF(A93='Données projet'!$A$114,'Données projet'!$B$114,BY92+BX93-CG92)))</f>
        <v>321.04799999999989</v>
      </c>
      <c r="BZ93" s="13">
        <f>BY93*VLOOKUP('Données projet'!$B$12,Paramètres!$A$1:$I$89,3,0)*VLOOKUP('Données projet'!$B$12,Paramètres!$A$1:$I$89,5,0)</f>
        <v>270.45083519999997</v>
      </c>
      <c r="CA93" s="13">
        <f t="shared" si="93"/>
        <v>64.944938603317937</v>
      </c>
      <c r="CB93" s="20">
        <f t="shared" si="64"/>
        <v>584.14763937411203</v>
      </c>
      <c r="CC93" s="59">
        <f t="shared" si="65"/>
        <v>877.48097270744529</v>
      </c>
      <c r="CD93" s="59">
        <f ca="1">AVERAGE(OFFSET($CC$3,0,0,'Données projet'!$E$12+1,1))-AVERAGE(OFFSET($H$3,0,0,'Données projet'!$E$12+1,1))</f>
        <v>295.59075210589327</v>
      </c>
      <c r="CE93" s="59">
        <f t="shared" si="94"/>
        <v>210.41181542059576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20.514952417377351</v>
      </c>
      <c r="CL93" s="21">
        <f>EXP(-LN(2)/25)*CL92+(1-EXP(-LN(2)/25))/(LN(2)/25)*Calculateur!CG93*Calculateur!CI93*VLOOKUP('Données projet'!$B$12,Paramètres!$A$1:$I$89,3,0)*0.475*44/12</f>
        <v>19.236628565691817</v>
      </c>
      <c r="CM93" s="21">
        <f>EXP(-LN(2)/2)*CM92+(1-EXP(-LN(2)/2))/(LN(2)/2)*CG93*CJ93*VLOOKUP('Données projet'!$B$12,Paramètres!$A$1:$I$89,3,0)*0.475*44/12</f>
        <v>0.37148310857999189</v>
      </c>
      <c r="CN93" s="22">
        <f t="shared" si="66"/>
        <v>40.123064091649162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1.1368683772161603E-13</v>
      </c>
      <c r="CU93" s="17">
        <f>CT93*VLOOKUP('Données projet'!$B$13,Paramètres!$A$1:$I$89,3,0)*VLOOKUP('Données projet'!$B$13,Paramètres!$A$1:$I$89,5,0)</f>
        <v>5.1727511163335289E-14</v>
      </c>
      <c r="CV93" s="13">
        <f t="shared" si="95"/>
        <v>8.3906664221915895E-13</v>
      </c>
      <c r="CW93" s="20">
        <f t="shared" si="67"/>
        <v>1.551466483807844E-12</v>
      </c>
      <c r="CX93" s="59">
        <f t="shared" si="68"/>
        <v>293.33333333333485</v>
      </c>
      <c r="CY93" s="59">
        <f ca="1">AVERAGE(OFFSET($CX$3,0,0,'Données projet'!$E$13+1,1))-AVERAGE(OFFSET($H$3,0,0,'Données projet'!$E$13+1,1))</f>
        <v>338.22448697444298</v>
      </c>
      <c r="CZ93" s="59">
        <f t="shared" si="96"/>
        <v>293.3872365640849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174.49442731962586</v>
      </c>
      <c r="DG93" s="21">
        <f>EXP(-LN(2)/25)*DG92+(1-EXP(-LN(2)/25))/(LN(2)/25)*Calculateur!DB93*Calculateur!DD93*VLOOKUP('Données projet'!$B$13,Paramètres!$A$1:$I$89,3,0)*0.475*44/12</f>
        <v>56.089476903597884</v>
      </c>
      <c r="DH93" s="21">
        <f>EXP(-LN(2)/2)*DH92+(1-EXP(-LN(2)/2))/(LN(2)/2)*DB93*DE93*VLOOKUP('Données projet'!$B$13,Paramètres!$A$1:$I$89,3,0)*0.475*44/12</f>
        <v>2.5286178225104665</v>
      </c>
      <c r="DI93" s="22">
        <f t="shared" si="69"/>
        <v>233.11252204573418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5.6843418860808015E-13</v>
      </c>
      <c r="DP93" s="17">
        <f>DO93*VLOOKUP('Données projet'!$B$14,Paramètres!$A$1:$I$89,3,0)*VLOOKUP('Données projet'!$B$14,Paramètres!$A$1:$I$89,5,0)</f>
        <v>3.177547114319168E-13</v>
      </c>
      <c r="DQ93" s="13">
        <f t="shared" si="97"/>
        <v>4.1725404435445377E-12</v>
      </c>
      <c r="DR93" s="20">
        <f t="shared" si="70"/>
        <v>7.820597394917325E-12</v>
      </c>
      <c r="DS93" s="59">
        <f t="shared" si="71"/>
        <v>293.33333333334116</v>
      </c>
      <c r="DT93" s="59">
        <f ca="1">AVERAGE(OFFSET($DS$3,0,0,'Données projet'!$E$14+1,1))-AVERAGE(OFFSET($H$3,0,0,'Données projet'!$E$14+1,1))</f>
        <v>328.15217666639006</v>
      </c>
      <c r="DU93" s="59">
        <f t="shared" si="98"/>
        <v>305.59175773326308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155.28237182687161</v>
      </c>
      <c r="EB93" s="21">
        <f>EXP(-LN(2)/25)*EB92+(1-EXP(-LN(2)/25))/(LN(2)/25)*Calculateur!DW93*Calculateur!DY93*VLOOKUP('Données projet'!$B$14,Paramètres!$A$1:$I$89,3,0)*0.475*44/12</f>
        <v>44.085518099477191</v>
      </c>
      <c r="EC93" s="21">
        <f>EXP(-LN(2)/2)*EC92+(1-EXP(-LN(2)/2))/(LN(2)/2)*DW93*DZ93*VLOOKUP('Données projet'!$B$14,Paramètres!$A$1:$I$89,3,0)*0.475*44/12</f>
        <v>7.3735863596503817E-2</v>
      </c>
      <c r="ED93" s="22">
        <f t="shared" si="72"/>
        <v>199.44162578994531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159.78276497127206</v>
      </c>
      <c r="EP93" s="59">
        <f t="shared" si="100"/>
        <v>190.72163407919857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3.6966878890814479</v>
      </c>
      <c r="EW93" s="21">
        <f>EXP(-LN(2)/25)*EW92+(1-EXP(-LN(2)/25))/(LN(2)/25)*Calculateur!ER93*Calculateur!ET93*VLOOKUP('Données projet'!$B$15,Paramètres!$A$1:$I$89,3,0)*0.475*44/12</f>
        <v>14.765744374663189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18.462432263744638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9.92</v>
      </c>
      <c r="FE93" s="12">
        <f>IF('Données projet'!$A$218&gt;35,FE92+FD93-FM92,IF(A93&lt;'Données projet'!$A$218,$FB$205^A93,IF(A93='Données projet'!$A$218,'Données projet'!$B$218,FE92+FD93-FM92)))</f>
        <v>290.37000000000057</v>
      </c>
      <c r="FF93" s="17">
        <f>FE93*VLOOKUP('Données projet'!$B$16,Paramètres!$A$1:$I$89,3,0)*VLOOKUP('Données projet'!$B$16,Paramètres!$A$1:$I$89,5,0)</f>
        <v>249.13746000000052</v>
      </c>
      <c r="FG93" s="13">
        <f t="shared" si="101"/>
        <v>60.401203757804403</v>
      </c>
      <c r="FH93" s="20">
        <f t="shared" si="76"/>
        <v>539.11317271151017</v>
      </c>
      <c r="FI93" s="59">
        <f t="shared" si="77"/>
        <v>832.44650604484355</v>
      </c>
      <c r="FJ93" s="59">
        <f ca="1">AVERAGE(OFFSET($FI$3,0,0,'Données projet'!$E$16+1,1))-AVERAGE(OFFSET($H$3,0,0,'Données projet'!$E$16+1,1))</f>
        <v>337.15023592377008</v>
      </c>
      <c r="FK93" s="59">
        <f t="shared" si="102"/>
        <v>286.60608582587099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8.6977222682454443</v>
      </c>
      <c r="FR93" s="21">
        <f>EXP(-LN(2)/25)*FR92+(1-EXP(-LN(2)/25))/(LN(2)/25)*Calculateur!FM93*Calculateur!FO93*VLOOKUP('Données projet'!$B$16,Paramètres!$A$1:$I$89,3,0)*0.475*44/12</f>
        <v>42.231343335004972</v>
      </c>
      <c r="FS93" s="21">
        <f>EXP(-LN(2)/2)*FS92+(1-EXP(-LN(2)/2))/(LN(2)/2)*FM93*FP93*VLOOKUP('Données projet'!$B$16,Paramètres!$A$1:$I$89,3,0)*0.475*44/12</f>
        <v>1.4848390507882685</v>
      </c>
      <c r="FT93" s="22">
        <f t="shared" si="78"/>
        <v>52.413904654038681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9.1730000000000018</v>
      </c>
      <c r="FZ93" s="12">
        <f>IF('Données projet'!$A$244&gt;35,FZ92+FY93-GH92,IF(A93&lt;'Données projet'!$A$244,$FW$205^A93,IF(A93='Données projet'!$A$244,'Données projet'!$B$244,FZ92+FY93-GH92)))</f>
        <v>343.4380000000005</v>
      </c>
      <c r="GA93" s="17">
        <f>FZ93*VLOOKUP('Données projet'!$B$17,Paramètres!$A$1:$I$89,3,0)*VLOOKUP('Données projet'!$B$17,Paramètres!$A$1:$I$89,5,0)</f>
        <v>310.74270240000044</v>
      </c>
      <c r="GB93" s="13">
        <f t="shared" si="103"/>
        <v>73.423914385133031</v>
      </c>
      <c r="GC93" s="20">
        <f t="shared" si="79"/>
        <v>669.09019090077402</v>
      </c>
      <c r="GD93" s="59">
        <f t="shared" si="80"/>
        <v>962.42352423410739</v>
      </c>
      <c r="GE93" s="59">
        <f ca="1">AVERAGE(OFFSET($GD$3,0,0,'Données projet'!$E$17+1,1))-AVERAGE(OFFSET($H$3,0,0,'Données projet'!$E$17+1,1))</f>
        <v>486.55344536255876</v>
      </c>
      <c r="GF93" s="59">
        <f t="shared" si="104"/>
        <v>231.14794884432229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19.567755010801328</v>
      </c>
      <c r="GM93" s="21">
        <f>EXP(-LN(2)/25)*GM92+(1-EXP(-LN(2)/25))/(LN(2)/25)*Calculateur!GH93*Calculateur!GJ93*VLOOKUP('Données projet'!$B$17,Paramètres!$A$1:$I$89,3,0)*0.475*44/12</f>
        <v>25.045479349798896</v>
      </c>
      <c r="GN93" s="21">
        <f>EXP(-LN(2)/2)*GN92+(1-EXP(-LN(2)/2))/(LN(2)/2)*GH93*GK93*VLOOKUP('Données projet'!$B$17,Paramètres!$A$1:$I$89,3,0)*0.475*44/12</f>
        <v>0.73003893101161477</v>
      </c>
      <c r="GO93" s="21">
        <f t="shared" si="81"/>
        <v>45.343273291611837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405.715289409935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531.72</v>
      </c>
      <c r="L94" s="12">
        <f>VLOOKUP(A94,'Données projet'!$A$35:$I$55,9,0)</f>
        <v>13.388750000000002</v>
      </c>
      <c r="M94" s="12">
        <f t="array" ref="M94">INDEX(L:L,MIN(IF(ISNUMBER(L94:L290),ROW(L94:L290),"")))</f>
        <v>13.388750000000002</v>
      </c>
      <c r="N94" s="13">
        <f>IF('Données projet'!$A$36&gt;35,N93+M94-V93,IF(A94&lt;'Données projet'!$A$36,$K$205^A94,IF(A94='Données projet'!$A$36,'Données projet'!$B$36,N93+M94-V93)))</f>
        <v>531.71999999999991</v>
      </c>
      <c r="O94" s="13">
        <f>N94*VLOOKUP('Données projet'!$B$9,Paramètres!$A$1:$I$89,3,0)*VLOOKUP('Données projet'!$B$9,Paramètres!$A$1:$I$89,5,0)</f>
        <v>248.84495999999996</v>
      </c>
      <c r="P94" s="13">
        <f t="shared" si="87"/>
        <v>60.338539799248558</v>
      </c>
      <c r="Q94" s="20">
        <f t="shared" si="54"/>
        <v>538.49459548369111</v>
      </c>
      <c r="R94" s="59">
        <f t="shared" si="55"/>
        <v>831.82792881702449</v>
      </c>
      <c r="S94" s="59">
        <f ca="1">AVERAGE(OFFSET($R$3,0,0,'Données projet'!$E$9+1,1))-AVERAGE(OFFSET($H$3,0,0,'Données projet'!$E$9+1,1))</f>
        <v>252.08270526008477</v>
      </c>
      <c r="T94" s="59">
        <f t="shared" si="88"/>
        <v>239.77811108960179</v>
      </c>
      <c r="U94" s="15">
        <f>IF(ISNA(VLOOKUP(A94,'Données projet'!$A$35:$I$55,3,0)),0,VLOOKUP(A94,'Données projet'!$A$35:$I$55,3,0))</f>
        <v>7</v>
      </c>
      <c r="V94" s="15">
        <f>IF(ISNA(VLOOKUP(A94,'Données projet'!$A$35:$I$55,4,0)),0,VLOOKUP(A94,'Données projet'!$A$35:$I$55,4,0))</f>
        <v>264.52000000000004</v>
      </c>
      <c r="W94" s="16">
        <f>IF(ISNA(VLOOKUP(A94,'Données projet'!$A$35:$I$55,5,0)),0%,VLOOKUP(A94,'Données projet'!$A$35:$I$55,5,0)*VLOOKUP('Données projet'!$B$9,Paramètres!$A$1:$I$89,7,0))</f>
        <v>0.33</v>
      </c>
      <c r="X94" s="16">
        <f>IF(ISNA(VLOOKUP(A94,'Données projet'!$A$35:$I$55,6,0)),0%,VLOOKUP(A94,'Données projet'!$A$35:$I$55,6,0)*VLOOKUP('Données projet'!$B$9,Paramètres!$A$1:$I$89,7,0))</f>
        <v>0.11000000000000001</v>
      </c>
      <c r="Y94" s="16">
        <f>IF(ISNA(VLOOKUP(A94,'Données projet'!$A$35:$I$55,7,0)),0%,VLOOKUP(A94,'Données projet'!$A$35:$I$55,7,0))</f>
        <v>0.2</v>
      </c>
      <c r="Z94" s="21">
        <f>EXP(-LN(2)/35)*Z93+(1-EXP(-LN(2)/35))/(LN(2)/35)*V94*W94*VLOOKUP('Données projet'!$B$9,Paramètres!$A$1:$I$89,3,0)*0.475*44/12</f>
        <v>117.32526729930316</v>
      </c>
      <c r="AA94" s="21">
        <f>EXP(-LN(2)/25)*AA93+(1-EXP(-LN(2)/25))/(LN(2)/25)*Calculateur!V94*Calculateur!X94*VLOOKUP('Données projet'!$B$9,Paramètres!$A$1:$I$89,3,0)*0.475*44/12</f>
        <v>38.128087692038221</v>
      </c>
      <c r="AB94" s="21">
        <f>EXP(-LN(2)/2)*AB93+(1-EXP(-LN(2)/2))/(LN(2)/2)*V94*Y94*VLOOKUP('Données projet'!$B$9,Paramètres!$A$1:$I$89,3,0)*0.475*44/12</f>
        <v>28.677586103115683</v>
      </c>
      <c r="AC94" s="22">
        <f t="shared" si="57"/>
        <v>184.13094109445706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251.64326096359997</v>
      </c>
      <c r="AO94" s="59">
        <f t="shared" si="90"/>
        <v>256.72142151189894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75.158669121223824</v>
      </c>
      <c r="AV94" s="21">
        <f>EXP(-LN(2)/25)*AV93+(1-EXP(-LN(2)/25))/(LN(2)/25)*Calculateur!AQ94*Calculateur!AS94*VLOOKUP('Données projet'!$B$10,Paramètres!$A$1:$I$89,3,0)*0.475*44/12</f>
        <v>20.508390672477791</v>
      </c>
      <c r="AW94" s="21">
        <f>EXP(-LN(2)/2)*AW93+(1-EXP(-LN(2)/2))/(LN(2)/2)*AQ94*AT94*VLOOKUP('Données projet'!$B$10,Paramètres!$A$1:$I$89,3,0)*0.475*44/12</f>
        <v>1.2939191537513031E-3</v>
      </c>
      <c r="AX94" s="21">
        <f t="shared" si="60"/>
        <v>95.668353712855364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199.29783428981898</v>
      </c>
      <c r="BJ94" s="59">
        <f t="shared" si="92"/>
        <v>237.32002274562547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3.1202893043742446</v>
      </c>
      <c r="BQ94" s="21">
        <f>EXP(-LN(2)/25)*BQ93+(1-EXP(-LN(2)/25))/(LN(2)/25)*Calculateur!BL94*Calculateur!BN94*VLOOKUP('Données projet'!$B$11,Paramètres!$A$1:$I$89,3,0)*0.475*44/12</f>
        <v>12.365084272013766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15.48537357638801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9.2740000000000009</v>
      </c>
      <c r="BY94" s="12">
        <f>IF('Données projet'!$A$114&gt;35,BY93+BX94-CG93,IF(A94&lt;'Données projet'!$A$114,$BV$205^A94,IF(A94='Données projet'!$A$114,'Données projet'!$B$114,BY93+BX94-CG93)))</f>
        <v>330.32199999999989</v>
      </c>
      <c r="BZ94" s="13">
        <f>BY94*VLOOKUP('Données projet'!$B$12,Paramètres!$A$1:$I$89,3,0)*VLOOKUP('Données projet'!$B$12,Paramètres!$A$1:$I$89,5,0)</f>
        <v>278.26325279999992</v>
      </c>
      <c r="CA94" s="13">
        <f t="shared" si="93"/>
        <v>66.599851471178965</v>
      </c>
      <c r="CB94" s="20">
        <f t="shared" si="64"/>
        <v>600.63657327230317</v>
      </c>
      <c r="CC94" s="59">
        <f t="shared" si="65"/>
        <v>893.96990660563642</v>
      </c>
      <c r="CD94" s="59">
        <f ca="1">AVERAGE(OFFSET($CC$3,0,0,'Données projet'!$E$12+1,1))-AVERAGE(OFFSET($H$3,0,0,'Données projet'!$E$12+1,1))</f>
        <v>295.59075210589327</v>
      </c>
      <c r="CE94" s="59">
        <f t="shared" si="94"/>
        <v>210.41181542059576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20.11266671335801</v>
      </c>
      <c r="CL94" s="21">
        <f>EXP(-LN(2)/25)*CL93+(1-EXP(-LN(2)/25))/(LN(2)/25)*Calculateur!CG94*Calculateur!CI94*VLOOKUP('Données projet'!$B$12,Paramètres!$A$1:$I$89,3,0)*0.475*44/12</f>
        <v>18.710601945952643</v>
      </c>
      <c r="CM94" s="21">
        <f>EXP(-LN(2)/2)*CM93+(1-EXP(-LN(2)/2))/(LN(2)/2)*CG94*CJ94*VLOOKUP('Données projet'!$B$12,Paramètres!$A$1:$I$89,3,0)*0.475*44/12</f>
        <v>0.2626782251731708</v>
      </c>
      <c r="CN94" s="22">
        <f t="shared" si="66"/>
        <v>39.085946884483825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1.1368683772161603E-13</v>
      </c>
      <c r="CU94" s="17">
        <f>CT94*VLOOKUP('Données projet'!$B$13,Paramètres!$A$1:$I$89,3,0)*VLOOKUP('Données projet'!$B$13,Paramètres!$A$1:$I$89,5,0)</f>
        <v>5.1727511163335289E-14</v>
      </c>
      <c r="CV94" s="13">
        <f t="shared" si="95"/>
        <v>8.3906664221915895E-13</v>
      </c>
      <c r="CW94" s="20">
        <f t="shared" si="67"/>
        <v>1.551466483807844E-12</v>
      </c>
      <c r="CX94" s="59">
        <f t="shared" si="68"/>
        <v>293.33333333333485</v>
      </c>
      <c r="CY94" s="59">
        <f ca="1">AVERAGE(OFFSET($CX$3,0,0,'Données projet'!$E$13+1,1))-AVERAGE(OFFSET($H$3,0,0,'Données projet'!$E$13+1,1))</f>
        <v>338.22448697444298</v>
      </c>
      <c r="CZ94" s="59">
        <f t="shared" si="96"/>
        <v>293.3872365640849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171.07269803097947</v>
      </c>
      <c r="DG94" s="21">
        <f>EXP(-LN(2)/25)*DG93+(1-EXP(-LN(2)/25))/(LN(2)/25)*Calculateur!DB94*Calculateur!DD94*VLOOKUP('Données projet'!$B$13,Paramètres!$A$1:$I$89,3,0)*0.475*44/12</f>
        <v>54.555707208051601</v>
      </c>
      <c r="DH94" s="21">
        <f>EXP(-LN(2)/2)*DH93+(1-EXP(-LN(2)/2))/(LN(2)/2)*DB94*DE94*VLOOKUP('Données projet'!$B$13,Paramètres!$A$1:$I$89,3,0)*0.475*44/12</f>
        <v>1.7880028093263127</v>
      </c>
      <c r="DI94" s="22">
        <f t="shared" si="69"/>
        <v>227.41640804835737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5.6843418860808015E-13</v>
      </c>
      <c r="DP94" s="17">
        <f>DO94*VLOOKUP('Données projet'!$B$14,Paramètres!$A$1:$I$89,3,0)*VLOOKUP('Données projet'!$B$14,Paramètres!$A$1:$I$89,5,0)</f>
        <v>3.177547114319168E-13</v>
      </c>
      <c r="DQ94" s="13">
        <f t="shared" si="97"/>
        <v>4.1725404435445377E-12</v>
      </c>
      <c r="DR94" s="20">
        <f t="shared" si="70"/>
        <v>7.820597394917325E-12</v>
      </c>
      <c r="DS94" s="59">
        <f t="shared" si="71"/>
        <v>293.33333333334116</v>
      </c>
      <c r="DT94" s="59">
        <f ca="1">AVERAGE(OFFSET($DS$3,0,0,'Données projet'!$E$14+1,1))-AVERAGE(OFFSET($H$3,0,0,'Données projet'!$E$14+1,1))</f>
        <v>328.15217666639006</v>
      </c>
      <c r="DU94" s="59">
        <f t="shared" si="98"/>
        <v>305.59175773326308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152.23737922824134</v>
      </c>
      <c r="EB94" s="21">
        <f>EXP(-LN(2)/25)*EB93+(1-EXP(-LN(2)/25))/(LN(2)/25)*Calculateur!DW94*Calculateur!DY94*VLOOKUP('Données projet'!$B$14,Paramètres!$A$1:$I$89,3,0)*0.475*44/12</f>
        <v>42.879997288690348</v>
      </c>
      <c r="EC94" s="21">
        <f>EXP(-LN(2)/2)*EC93+(1-EXP(-LN(2)/2))/(LN(2)/2)*DW94*DZ94*VLOOKUP('Données projet'!$B$14,Paramètres!$A$1:$I$89,3,0)*0.475*44/12</f>
        <v>5.2139129165734141E-2</v>
      </c>
      <c r="ED94" s="22">
        <f t="shared" si="72"/>
        <v>195.16951564609744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159.78276497127206</v>
      </c>
      <c r="EP94" s="59">
        <f t="shared" si="100"/>
        <v>190.72163407919857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3.6241980943335341</v>
      </c>
      <c r="EW94" s="21">
        <f>EXP(-LN(2)/25)*EW93+(1-EXP(-LN(2)/25))/(LN(2)/25)*Calculateur!ER94*Calculateur!ET94*VLOOKUP('Données projet'!$B$15,Paramètres!$A$1:$I$89,3,0)*0.475*44/12</f>
        <v>14.361974318241275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17.98617241257481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9.92</v>
      </c>
      <c r="FE94" s="12">
        <f>IF('Données projet'!$A$218&gt;35,FE93+FD94-FM93,IF(A94&lt;'Données projet'!$A$218,$FB$205^A94,IF(A94='Données projet'!$A$218,'Données projet'!$B$218,FE93+FD94-FM93)))</f>
        <v>300.29000000000059</v>
      </c>
      <c r="FF94" s="17">
        <f>FE94*VLOOKUP('Données projet'!$B$16,Paramètres!$A$1:$I$89,3,0)*VLOOKUP('Données projet'!$B$16,Paramètres!$A$1:$I$89,5,0)</f>
        <v>257.64882000000057</v>
      </c>
      <c r="FG94" s="13">
        <f t="shared" si="101"/>
        <v>62.220936731058053</v>
      </c>
      <c r="FH94" s="20">
        <f t="shared" si="76"/>
        <v>557.10649297326029</v>
      </c>
      <c r="FI94" s="59">
        <f t="shared" si="77"/>
        <v>850.43982630659366</v>
      </c>
      <c r="FJ94" s="59">
        <f ca="1">AVERAGE(OFFSET($FI$3,0,0,'Données projet'!$E$16+1,1))-AVERAGE(OFFSET($H$3,0,0,'Données projet'!$E$16+1,1))</f>
        <v>337.15023592377008</v>
      </c>
      <c r="FK94" s="59">
        <f t="shared" si="102"/>
        <v>286.60608582587099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8.5271652396519002</v>
      </c>
      <c r="FR94" s="21">
        <f>EXP(-LN(2)/25)*FR93+(1-EXP(-LN(2)/25))/(LN(2)/25)*Calculateur!FM94*Calculateur!FO94*VLOOKUP('Données projet'!$B$16,Paramètres!$A$1:$I$89,3,0)*0.475*44/12</f>
        <v>41.07652503065944</v>
      </c>
      <c r="FS94" s="21">
        <f>EXP(-LN(2)/2)*FS93+(1-EXP(-LN(2)/2))/(LN(2)/2)*FM94*FP94*VLOOKUP('Données projet'!$B$16,Paramètres!$A$1:$I$89,3,0)*0.475*44/12</f>
        <v>1.0499397617829811</v>
      </c>
      <c r="FT94" s="22">
        <f t="shared" si="78"/>
        <v>50.65363003209432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9.1730000000000018</v>
      </c>
      <c r="FZ94" s="12">
        <f>IF('Données projet'!$A$244&gt;35,FZ93+FY94-GH93,IF(A94&lt;'Données projet'!$A$244,$FW$205^A94,IF(A94='Données projet'!$A$244,'Données projet'!$B$244,FZ93+FY94-GH93)))</f>
        <v>352.6110000000005</v>
      </c>
      <c r="GA94" s="17">
        <f>FZ94*VLOOKUP('Données projet'!$B$17,Paramètres!$A$1:$I$89,3,0)*VLOOKUP('Données projet'!$B$17,Paramètres!$A$1:$I$89,5,0)</f>
        <v>319.04243280000043</v>
      </c>
      <c r="GB94" s="13">
        <f t="shared" si="103"/>
        <v>75.154078446360543</v>
      </c>
      <c r="GC94" s="20">
        <f t="shared" si="79"/>
        <v>686.55892375407859</v>
      </c>
      <c r="GD94" s="59">
        <f t="shared" si="80"/>
        <v>979.89225708741196</v>
      </c>
      <c r="GE94" s="59">
        <f ca="1">AVERAGE(OFFSET($GD$3,0,0,'Données projet'!$E$17+1,1))-AVERAGE(OFFSET($H$3,0,0,'Données projet'!$E$17+1,1))</f>
        <v>486.55344536255876</v>
      </c>
      <c r="GF94" s="59">
        <f t="shared" si="104"/>
        <v>231.14794884432229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19.184043270191573</v>
      </c>
      <c r="GM94" s="21">
        <f>EXP(-LN(2)/25)*GM93+(1-EXP(-LN(2)/25))/(LN(2)/25)*Calculateur!GH94*Calculateur!GJ94*VLOOKUP('Données projet'!$B$17,Paramètres!$A$1:$I$89,3,0)*0.475*44/12</f>
        <v>24.360609399894127</v>
      </c>
      <c r="GN94" s="21">
        <f>EXP(-LN(2)/2)*GN93+(1-EXP(-LN(2)/2))/(LN(2)/2)*GH94*GK94*VLOOKUP('Données projet'!$B$17,Paramètres!$A$1:$I$89,3,0)*0.475*44/12</f>
        <v>0.51621547864849093</v>
      </c>
      <c r="GO94" s="21">
        <f t="shared" si="81"/>
        <v>44.060868148734187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407.31097366888059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8.9230000000000018</v>
      </c>
      <c r="N95" s="13">
        <f>IF('Données projet'!$A$36&gt;35,N94+M95-V94,IF(A95&lt;'Données projet'!$A$36,$K$205^A95,IF(A95='Données projet'!$A$36,'Données projet'!$B$36,N94+M95-V94)))</f>
        <v>276.12299999999988</v>
      </c>
      <c r="O95" s="13">
        <f>N95*VLOOKUP('Données projet'!$B$9,Paramètres!$A$1:$I$89,3,0)*VLOOKUP('Données projet'!$B$9,Paramètres!$A$1:$I$89,5,0)</f>
        <v>129.22556399999996</v>
      </c>
      <c r="P95" s="13">
        <f t="shared" si="87"/>
        <v>33.817347729390725</v>
      </c>
      <c r="Q95" s="20">
        <f t="shared" si="54"/>
        <v>283.96640459535541</v>
      </c>
      <c r="R95" s="59">
        <f t="shared" si="55"/>
        <v>577.29973792868873</v>
      </c>
      <c r="S95" s="59">
        <f ca="1">AVERAGE(OFFSET($R$3,0,0,'Données projet'!$E$9+1,1))-AVERAGE(OFFSET($H$3,0,0,'Données projet'!$E$9+1,1))</f>
        <v>252.08270526008477</v>
      </c>
      <c r="T95" s="59">
        <f t="shared" si="88"/>
        <v>239.77811108960179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115.02459036891078</v>
      </c>
      <c r="AA95" s="21">
        <f>EXP(-LN(2)/25)*AA94+(1-EXP(-LN(2)/25))/(LN(2)/25)*Calculateur!V95*Calculateur!X95*VLOOKUP('Données projet'!$B$9,Paramètres!$A$1:$I$89,3,0)*0.475*44/12</f>
        <v>37.085473129030447</v>
      </c>
      <c r="AB95" s="21">
        <f>EXP(-LN(2)/2)*AB94+(1-EXP(-LN(2)/2))/(LN(2)/2)*V95*Y95*VLOOKUP('Données projet'!$B$9,Paramètres!$A$1:$I$89,3,0)*0.475*44/12</f>
        <v>20.2781156015742</v>
      </c>
      <c r="AC95" s="22">
        <f t="shared" si="57"/>
        <v>172.38817909951541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251.64326096359997</v>
      </c>
      <c r="AO95" s="59">
        <f t="shared" si="90"/>
        <v>256.72142151189894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73.684853462018239</v>
      </c>
      <c r="AV95" s="21">
        <f>EXP(-LN(2)/25)*AV94+(1-EXP(-LN(2)/25))/(LN(2)/25)*Calculateur!AQ95*Calculateur!AS95*VLOOKUP('Données projet'!$B$10,Paramètres!$A$1:$I$89,3,0)*0.475*44/12</f>
        <v>19.947587651049492</v>
      </c>
      <c r="AW95" s="21">
        <f>EXP(-LN(2)/2)*AW94+(1-EXP(-LN(2)/2))/(LN(2)/2)*AQ95*AT95*VLOOKUP('Données projet'!$B$10,Paramètres!$A$1:$I$89,3,0)*0.475*44/12</f>
        <v>9.1493900792470541E-4</v>
      </c>
      <c r="AX95" s="21">
        <f t="shared" si="60"/>
        <v>93.633356052075655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199.29783428981898</v>
      </c>
      <c r="BJ95" s="59">
        <f t="shared" si="92"/>
        <v>237.32002274562547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3.0591023343040171</v>
      </c>
      <c r="BQ95" s="21">
        <f>EXP(-LN(2)/25)*BQ94+(1-EXP(-LN(2)/25))/(LN(2)/25)*Calculateur!BL95*Calculateur!BN95*VLOOKUP('Données projet'!$B$11,Paramètres!$A$1:$I$89,3,0)*0.475*44/12</f>
        <v>12.026960392344028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15.086062726648045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9.2740000000000009</v>
      </c>
      <c r="BY95" s="12">
        <f>IF('Données projet'!$A$114&gt;35,BY94+BX95-CG94,IF(A95&lt;'Données projet'!$A$114,$BV$205^A95,IF(A95='Données projet'!$A$114,'Données projet'!$B$114,BY94+BX95-CG94)))</f>
        <v>339.59599999999989</v>
      </c>
      <c r="BZ95" s="13">
        <f>BY95*VLOOKUP('Données projet'!$B$12,Paramètres!$A$1:$I$89,3,0)*VLOOKUP('Données projet'!$B$12,Paramètres!$A$1:$I$89,5,0)</f>
        <v>286.07567039999992</v>
      </c>
      <c r="CA95" s="13">
        <f t="shared" si="93"/>
        <v>68.249364155098476</v>
      </c>
      <c r="CB95" s="20">
        <f t="shared" si="64"/>
        <v>617.11610185012967</v>
      </c>
      <c r="CC95" s="59">
        <f t="shared" si="65"/>
        <v>910.44943518346304</v>
      </c>
      <c r="CD95" s="59">
        <f ca="1">AVERAGE(OFFSET($CC$3,0,0,'Données projet'!$E$12+1,1))-AVERAGE(OFFSET($H$3,0,0,'Données projet'!$E$12+1,1))</f>
        <v>295.59075210589327</v>
      </c>
      <c r="CE95" s="59">
        <f t="shared" si="94"/>
        <v>210.41181542059576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19.718269586624437</v>
      </c>
      <c r="CL95" s="21">
        <f>EXP(-LN(2)/25)*CL94+(1-EXP(-LN(2)/25))/(LN(2)/25)*Calculateur!CG95*Calculateur!CI95*VLOOKUP('Données projet'!$B$12,Paramètres!$A$1:$I$89,3,0)*0.475*44/12</f>
        <v>18.198959551792775</v>
      </c>
      <c r="CM95" s="21">
        <f>EXP(-LN(2)/2)*CM94+(1-EXP(-LN(2)/2))/(LN(2)/2)*CG95*CJ95*VLOOKUP('Données projet'!$B$12,Paramètres!$A$1:$I$89,3,0)*0.475*44/12</f>
        <v>0.18574155428999595</v>
      </c>
      <c r="CN95" s="22">
        <f t="shared" si="66"/>
        <v>38.10297069270721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1.1368683772161603E-13</v>
      </c>
      <c r="CU95" s="17">
        <f>CT95*VLOOKUP('Données projet'!$B$13,Paramètres!$A$1:$I$89,3,0)*VLOOKUP('Données projet'!$B$13,Paramètres!$A$1:$I$89,5,0)</f>
        <v>5.1727511163335289E-14</v>
      </c>
      <c r="CV95" s="13">
        <f t="shared" si="95"/>
        <v>8.3906664221915895E-13</v>
      </c>
      <c r="CW95" s="20">
        <f t="shared" si="67"/>
        <v>1.551466483807844E-12</v>
      </c>
      <c r="CX95" s="59">
        <f t="shared" si="68"/>
        <v>293.33333333333485</v>
      </c>
      <c r="CY95" s="59">
        <f ca="1">AVERAGE(OFFSET($CX$3,0,0,'Données projet'!$E$13+1,1))-AVERAGE(OFFSET($H$3,0,0,'Données projet'!$E$13+1,1))</f>
        <v>338.22448697444298</v>
      </c>
      <c r="CZ95" s="59">
        <f t="shared" si="96"/>
        <v>293.3872365640849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167.71806676663465</v>
      </c>
      <c r="DG95" s="21">
        <f>EXP(-LN(2)/25)*DG94+(1-EXP(-LN(2)/25))/(LN(2)/25)*Calculateur!DB95*Calculateur!DD95*VLOOKUP('Données projet'!$B$13,Paramètres!$A$1:$I$89,3,0)*0.475*44/12</f>
        <v>53.063878525487475</v>
      </c>
      <c r="DH95" s="21">
        <f>EXP(-LN(2)/2)*DH94+(1-EXP(-LN(2)/2))/(LN(2)/2)*DB95*DE95*VLOOKUP('Données projet'!$B$13,Paramètres!$A$1:$I$89,3,0)*0.475*44/12</f>
        <v>1.2643089112552333</v>
      </c>
      <c r="DI95" s="22">
        <f t="shared" si="69"/>
        <v>222.04625420337734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5.6843418860808015E-13</v>
      </c>
      <c r="DP95" s="17">
        <f>DO95*VLOOKUP('Données projet'!$B$14,Paramètres!$A$1:$I$89,3,0)*VLOOKUP('Données projet'!$B$14,Paramètres!$A$1:$I$89,5,0)</f>
        <v>3.177547114319168E-13</v>
      </c>
      <c r="DQ95" s="13">
        <f t="shared" si="97"/>
        <v>4.1725404435445377E-12</v>
      </c>
      <c r="DR95" s="20">
        <f t="shared" si="70"/>
        <v>7.820597394917325E-12</v>
      </c>
      <c r="DS95" s="59">
        <f t="shared" si="71"/>
        <v>293.33333333334116</v>
      </c>
      <c r="DT95" s="59">
        <f ca="1">AVERAGE(OFFSET($DS$3,0,0,'Données projet'!$E$14+1,1))-AVERAGE(OFFSET($H$3,0,0,'Données projet'!$E$14+1,1))</f>
        <v>328.15217666639006</v>
      </c>
      <c r="DU95" s="59">
        <f t="shared" si="98"/>
        <v>305.59175773326308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149.25209707720813</v>
      </c>
      <c r="EB95" s="21">
        <f>EXP(-LN(2)/25)*EB94+(1-EXP(-LN(2)/25))/(LN(2)/25)*Calculateur!DW95*Calculateur!DY95*VLOOKUP('Données projet'!$B$14,Paramètres!$A$1:$I$89,3,0)*0.475*44/12</f>
        <v>41.707441507870058</v>
      </c>
      <c r="EC95" s="21">
        <f>EXP(-LN(2)/2)*EC94+(1-EXP(-LN(2)/2))/(LN(2)/2)*DW95*DZ95*VLOOKUP('Données projet'!$B$14,Paramètres!$A$1:$I$89,3,0)*0.475*44/12</f>
        <v>3.6867931798251909E-2</v>
      </c>
      <c r="ED95" s="22">
        <f t="shared" si="72"/>
        <v>190.99640651687642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159.78276497127206</v>
      </c>
      <c r="EP95" s="59">
        <f t="shared" si="100"/>
        <v>190.72163407919857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3.5531297802462181</v>
      </c>
      <c r="EW95" s="21">
        <f>EXP(-LN(2)/25)*EW94+(1-EXP(-LN(2)/25))/(LN(2)/25)*Calculateur!ER95*Calculateur!ET95*VLOOKUP('Données projet'!$B$15,Paramètres!$A$1:$I$89,3,0)*0.475*44/12</f>
        <v>13.969245375245563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17.52237515549178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9.92</v>
      </c>
      <c r="FE95" s="12">
        <f>IF('Données projet'!$A$218&gt;35,FE94+FD95-FM94,IF(A95&lt;'Données projet'!$A$218,$FB$205^A95,IF(A95='Données projet'!$A$218,'Données projet'!$B$218,FE94+FD95-FM94)))</f>
        <v>310.2100000000006</v>
      </c>
      <c r="FF95" s="17">
        <f>FE95*VLOOKUP('Données projet'!$B$16,Paramètres!$A$1:$I$89,3,0)*VLOOKUP('Données projet'!$B$16,Paramètres!$A$1:$I$89,5,0)</f>
        <v>266.16018000000054</v>
      </c>
      <c r="FG95" s="13">
        <f t="shared" si="101"/>
        <v>64.033684482717945</v>
      </c>
      <c r="FH95" s="20">
        <f t="shared" si="76"/>
        <v>575.08764730740131</v>
      </c>
      <c r="FI95" s="59">
        <f t="shared" si="77"/>
        <v>868.42098064073457</v>
      </c>
      <c r="FJ95" s="59">
        <f ca="1">AVERAGE(OFFSET($FI$3,0,0,'Données projet'!$E$16+1,1))-AVERAGE(OFFSET($H$3,0,0,'Données projet'!$E$16+1,1))</f>
        <v>337.15023592377008</v>
      </c>
      <c r="FK95" s="59">
        <f t="shared" si="102"/>
        <v>286.60608582587099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8.3599527303595611</v>
      </c>
      <c r="FR95" s="21">
        <f>EXP(-LN(2)/25)*FR94+(1-EXP(-LN(2)/25))/(LN(2)/25)*Calculateur!FM95*Calculateur!FO95*VLOOKUP('Données projet'!$B$16,Paramètres!$A$1:$I$89,3,0)*0.475*44/12</f>
        <v>39.95328529357549</v>
      </c>
      <c r="FS95" s="21">
        <f>EXP(-LN(2)/2)*FS94+(1-EXP(-LN(2)/2))/(LN(2)/2)*FM95*FP95*VLOOKUP('Données projet'!$B$16,Paramètres!$A$1:$I$89,3,0)*0.475*44/12</f>
        <v>0.74241952539413425</v>
      </c>
      <c r="FT95" s="22">
        <f t="shared" si="78"/>
        <v>49.055657549329183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9.1730000000000018</v>
      </c>
      <c r="FZ95" s="12">
        <f>IF('Données projet'!$A$244&gt;35,FZ94+FY95-GH94,IF(A95&lt;'Données projet'!$A$244,$FW$205^A95,IF(A95='Données projet'!$A$244,'Données projet'!$B$244,FZ94+FY95-GH94)))</f>
        <v>361.7840000000005</v>
      </c>
      <c r="GA95" s="17">
        <f>FZ95*VLOOKUP('Données projet'!$B$17,Paramètres!$A$1:$I$89,3,0)*VLOOKUP('Données projet'!$B$17,Paramètres!$A$1:$I$89,5,0)</f>
        <v>327.34216320000047</v>
      </c>
      <c r="GB95" s="13">
        <f t="shared" si="103"/>
        <v>76.87901071885527</v>
      </c>
      <c r="GC95" s="20">
        <f t="shared" si="79"/>
        <v>704.01854457534034</v>
      </c>
      <c r="GD95" s="59">
        <f t="shared" si="80"/>
        <v>997.35187790867371</v>
      </c>
      <c r="GE95" s="59">
        <f ca="1">AVERAGE(OFFSET($GD$3,0,0,'Données projet'!$E$17+1,1))-AVERAGE(OFFSET($H$3,0,0,'Données projet'!$E$17+1,1))</f>
        <v>486.55344536255876</v>
      </c>
      <c r="GF95" s="59">
        <f t="shared" si="104"/>
        <v>231.14794884432229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18.807855882774124</v>
      </c>
      <c r="GM95" s="21">
        <f>EXP(-LN(2)/25)*GM94+(1-EXP(-LN(2)/25))/(LN(2)/25)*Calculateur!GH95*Calculateur!GJ95*VLOOKUP('Données projet'!$B$17,Paramètres!$A$1:$I$89,3,0)*0.475*44/12</f>
        <v>23.694467254785252</v>
      </c>
      <c r="GN95" s="21">
        <f>EXP(-LN(2)/2)*GN94+(1-EXP(-LN(2)/2))/(LN(2)/2)*GH95*GK95*VLOOKUP('Données projet'!$B$17,Paramètres!$A$1:$I$89,3,0)*0.475*44/12</f>
        <v>0.36501946550580738</v>
      </c>
      <c r="GO95" s="21">
        <f t="shared" si="81"/>
        <v>42.867342603065183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408.90625495688698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8.9230000000000018</v>
      </c>
      <c r="N96" s="13">
        <f>IF('Données projet'!$A$36&gt;35,N95+M96-V95,IF(A96&lt;'Données projet'!$A$36,$K$205^A96,IF(A96='Données projet'!$A$36,'Données projet'!$B$36,N95+M96-V95)))</f>
        <v>285.04599999999988</v>
      </c>
      <c r="O96" s="13">
        <f>N96*VLOOKUP('Données projet'!$B$9,Paramètres!$A$1:$I$89,3,0)*VLOOKUP('Données projet'!$B$9,Paramètres!$A$1:$I$89,5,0)</f>
        <v>133.40152799999993</v>
      </c>
      <c r="P96" s="13">
        <f t="shared" si="87"/>
        <v>34.781167137457153</v>
      </c>
      <c r="Q96" s="20">
        <f t="shared" si="54"/>
        <v>292.91819403107104</v>
      </c>
      <c r="R96" s="59">
        <f t="shared" si="55"/>
        <v>586.25152736440441</v>
      </c>
      <c r="S96" s="59">
        <f ca="1">AVERAGE(OFFSET($R$3,0,0,'Données projet'!$E$9+1,1))-AVERAGE(OFFSET($H$3,0,0,'Données projet'!$E$9+1,1))</f>
        <v>252.08270526008477</v>
      </c>
      <c r="T96" s="59">
        <f t="shared" si="88"/>
        <v>239.77811108960179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112.76902830984903</v>
      </c>
      <c r="AA96" s="21">
        <f>EXP(-LN(2)/25)*AA95+(1-EXP(-LN(2)/25))/(LN(2)/25)*Calculateur!V96*Calculateur!X96*VLOOKUP('Données projet'!$B$9,Paramètres!$A$1:$I$89,3,0)*0.475*44/12</f>
        <v>36.071368916076835</v>
      </c>
      <c r="AB96" s="21">
        <f>EXP(-LN(2)/2)*AB95+(1-EXP(-LN(2)/2))/(LN(2)/2)*V96*Y96*VLOOKUP('Données projet'!$B$9,Paramètres!$A$1:$I$89,3,0)*0.475*44/12</f>
        <v>14.338793051557845</v>
      </c>
      <c r="AC96" s="22">
        <f t="shared" si="57"/>
        <v>163.17919027748371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251.64326096359997</v>
      </c>
      <c r="AO96" s="59">
        <f t="shared" si="90"/>
        <v>256.72142151189894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72.239938428950893</v>
      </c>
      <c r="AV96" s="21">
        <f>EXP(-LN(2)/25)*AV95+(1-EXP(-LN(2)/25))/(LN(2)/25)*Calculateur!AQ96*Calculateur!AS96*VLOOKUP('Données projet'!$B$10,Paramètres!$A$1:$I$89,3,0)*0.475*44/12</f>
        <v>19.402119817733499</v>
      </c>
      <c r="AW96" s="21">
        <f>EXP(-LN(2)/2)*AW95+(1-EXP(-LN(2)/2))/(LN(2)/2)*AQ96*AT96*VLOOKUP('Données projet'!$B$10,Paramètres!$A$1:$I$89,3,0)*0.475*44/12</f>
        <v>6.4695957687565153E-4</v>
      </c>
      <c r="AX96" s="21">
        <f t="shared" si="60"/>
        <v>91.642705206261269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199.29783428981898</v>
      </c>
      <c r="BJ96" s="59">
        <f t="shared" si="92"/>
        <v>237.32002274562547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2.9991152033965003</v>
      </c>
      <c r="BQ96" s="21">
        <f>EXP(-LN(2)/25)*BQ95+(1-EXP(-LN(2)/25))/(LN(2)/25)*Calculateur!BL96*Calculateur!BN96*VLOOKUP('Données projet'!$B$11,Paramètres!$A$1:$I$89,3,0)*0.475*44/12</f>
        <v>11.698082527945022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14.697197731341522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348.87</v>
      </c>
      <c r="BW96" s="12">
        <f>VLOOKUP(A96,'Données projet'!$A$113:$I$133,9,0)</f>
        <v>9.2740000000000009</v>
      </c>
      <c r="BX96" s="12">
        <f t="array" ref="BX96">INDEX(BW:BW,MIN(IF(ISNUMBER(BW96:BW292),ROW(BW96:BW292),"")))</f>
        <v>9.2740000000000009</v>
      </c>
      <c r="BY96" s="12">
        <f>IF('Données projet'!$A$114&gt;35,BY95+BX96-CG95,IF(A96&lt;'Données projet'!$A$114,$BV$205^A96,IF(A96='Données projet'!$A$114,'Données projet'!$B$114,BY95+BX96-CG95)))</f>
        <v>348.86999999999989</v>
      </c>
      <c r="BZ96" s="13">
        <f>BY96*VLOOKUP('Données projet'!$B$12,Paramètres!$A$1:$I$89,3,0)*VLOOKUP('Données projet'!$B$12,Paramètres!$A$1:$I$89,5,0)</f>
        <v>293.88808799999993</v>
      </c>
      <c r="CA96" s="13">
        <f t="shared" si="93"/>
        <v>69.893641074139765</v>
      </c>
      <c r="CB96" s="20">
        <f t="shared" si="64"/>
        <v>633.5865114707932</v>
      </c>
      <c r="CC96" s="59">
        <f t="shared" si="65"/>
        <v>926.91984480412657</v>
      </c>
      <c r="CD96" s="59">
        <f ca="1">AVERAGE(OFFSET($CC$3,0,0,'Données projet'!$E$12+1,1))-AVERAGE(OFFSET($H$3,0,0,'Données projet'!$E$12+1,1))</f>
        <v>295.59075210589327</v>
      </c>
      <c r="CE96" s="59">
        <f t="shared" si="94"/>
        <v>210.41181542059576</v>
      </c>
      <c r="CF96" s="15">
        <f>IF(ISNA(VLOOKUP(A96,'Données projet'!$A$113:$I$133,3,0)),0,VLOOKUP(A96,'Données projet'!$A$113:$I$133,3,0))</f>
        <v>8</v>
      </c>
      <c r="CG96" s="15">
        <f>IF(ISNA(VLOOKUP(A96,'Données projet'!$A$113:$I$133,4,0)),0,VLOOKUP(A96,'Données projet'!$A$113:$I$133,4,0))</f>
        <v>67.45999999999998</v>
      </c>
      <c r="CH96" s="16">
        <f>IF(ISNA(VLOOKUP(A96,'Données projet'!$A$113:$I$133,5,0)),0%,VLOOKUP(A96,'Données projet'!$A$113:$I$133,5,0)*VLOOKUP('Données projet'!$B$12,Paramètres!$A$1:$I$89,7,0))</f>
        <v>0.215</v>
      </c>
      <c r="CI96" s="16">
        <f>IF(ISNA(VLOOKUP(A96,'Données projet'!$A$113:$I$133,6,0)),0%,VLOOKUP(A96,'Données projet'!$A$113:$I$133,6,0)*VLOOKUP('Données projet'!$B$12,Paramètres!$A$1:$I$89,7,0))</f>
        <v>8.6000000000000007E-2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32.838337807072797</v>
      </c>
      <c r="CL96" s="21">
        <f>EXP(-LN(2)/25)*CL95+(1-EXP(-LN(2)/25))/(LN(2)/25)*Calculateur!CG96*Calculateur!CI96*VLOOKUP('Données projet'!$B$12,Paramètres!$A$1:$I$89,3,0)*0.475*44/12</f>
        <v>23.082728170550777</v>
      </c>
      <c r="CM96" s="21">
        <f>EXP(-LN(2)/2)*CM95+(1-EXP(-LN(2)/2))/(LN(2)/2)*CG96*CJ96*VLOOKUP('Données projet'!$B$12,Paramètres!$A$1:$I$89,3,0)*0.475*44/12</f>
        <v>0.1313391125865854</v>
      </c>
      <c r="CN96" s="22">
        <f t="shared" si="66"/>
        <v>56.052405090210158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1.1368683772161603E-13</v>
      </c>
      <c r="CU96" s="17">
        <f>CT96*VLOOKUP('Données projet'!$B$13,Paramètres!$A$1:$I$89,3,0)*VLOOKUP('Données projet'!$B$13,Paramètres!$A$1:$I$89,5,0)</f>
        <v>5.1727511163335289E-14</v>
      </c>
      <c r="CV96" s="13">
        <f t="shared" si="95"/>
        <v>8.3906664221915895E-13</v>
      </c>
      <c r="CW96" s="20">
        <f t="shared" si="67"/>
        <v>1.551466483807844E-12</v>
      </c>
      <c r="CX96" s="59">
        <f t="shared" si="68"/>
        <v>293.33333333333485</v>
      </c>
      <c r="CY96" s="59">
        <f ca="1">AVERAGE(OFFSET($CX$3,0,0,'Données projet'!$E$13+1,1))-AVERAGE(OFFSET($H$3,0,0,'Données projet'!$E$13+1,1))</f>
        <v>338.22448697444298</v>
      </c>
      <c r="CZ96" s="59">
        <f t="shared" si="96"/>
        <v>293.3872365640849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164.42921777526058</v>
      </c>
      <c r="DG96" s="21">
        <f>EXP(-LN(2)/25)*DG95+(1-EXP(-LN(2)/25))/(LN(2)/25)*Calculateur!DB96*Calculateur!DD96*VLOOKUP('Données projet'!$B$13,Paramètres!$A$1:$I$89,3,0)*0.475*44/12</f>
        <v>51.612843976699928</v>
      </c>
      <c r="DH96" s="21">
        <f>EXP(-LN(2)/2)*DH95+(1-EXP(-LN(2)/2))/(LN(2)/2)*DB96*DE96*VLOOKUP('Données projet'!$B$13,Paramètres!$A$1:$I$89,3,0)*0.475*44/12</f>
        <v>0.89400140466315636</v>
      </c>
      <c r="DI96" s="22">
        <f t="shared" si="69"/>
        <v>216.93606315662367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5.6843418860808015E-13</v>
      </c>
      <c r="DP96" s="17">
        <f>DO96*VLOOKUP('Données projet'!$B$14,Paramètres!$A$1:$I$89,3,0)*VLOOKUP('Données projet'!$B$14,Paramètres!$A$1:$I$89,5,0)</f>
        <v>3.177547114319168E-13</v>
      </c>
      <c r="DQ96" s="13">
        <f t="shared" si="97"/>
        <v>4.1725404435445377E-12</v>
      </c>
      <c r="DR96" s="20">
        <f t="shared" si="70"/>
        <v>7.820597394917325E-12</v>
      </c>
      <c r="DS96" s="59">
        <f t="shared" si="71"/>
        <v>293.33333333334116</v>
      </c>
      <c r="DT96" s="59">
        <f ca="1">AVERAGE(OFFSET($DS$3,0,0,'Données projet'!$E$14+1,1))-AVERAGE(OFFSET($H$3,0,0,'Données projet'!$E$14+1,1))</f>
        <v>328.15217666639006</v>
      </c>
      <c r="DU96" s="59">
        <f t="shared" si="98"/>
        <v>305.59175773326308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146.32535448831436</v>
      </c>
      <c r="EB96" s="21">
        <f>EXP(-LN(2)/25)*EB95+(1-EXP(-LN(2)/25))/(LN(2)/25)*Calculateur!DW96*Calculateur!DY96*VLOOKUP('Données projet'!$B$14,Paramètres!$A$1:$I$89,3,0)*0.475*44/12</f>
        <v>40.566949326538328</v>
      </c>
      <c r="EC96" s="21">
        <f>EXP(-LN(2)/2)*EC95+(1-EXP(-LN(2)/2))/(LN(2)/2)*DW96*DZ96*VLOOKUP('Données projet'!$B$14,Paramètres!$A$1:$I$89,3,0)*0.475*44/12</f>
        <v>2.6069564582867071E-2</v>
      </c>
      <c r="ED96" s="22">
        <f t="shared" si="72"/>
        <v>186.91837337943554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159.78276497127206</v>
      </c>
      <c r="EP96" s="59">
        <f t="shared" si="100"/>
        <v>190.72163407919857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3.4834550724507629</v>
      </c>
      <c r="EW96" s="21">
        <f>EXP(-LN(2)/25)*EW95+(1-EXP(-LN(2)/25))/(LN(2)/25)*Calculateur!ER96*Calculateur!ET96*VLOOKUP('Données projet'!$B$15,Paramètres!$A$1:$I$89,3,0)*0.475*44/12</f>
        <v>13.587255625848787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17.07071069829955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320.13</v>
      </c>
      <c r="FC96" s="12">
        <f>VLOOKUP(A96,'Données projet'!$A$217:$I$237,9,0)</f>
        <v>9.92</v>
      </c>
      <c r="FD96" s="12">
        <f t="array" ref="FD96">INDEX(FC:FC,MIN(IF(ISNUMBER(FC96:FC292),ROW(FC96:FC292),"")))</f>
        <v>9.92</v>
      </c>
      <c r="FE96" s="12">
        <f>IF('Données projet'!$A$218&gt;35,FE95+FD96-FM95,IF(A96&lt;'Données projet'!$A$218,$FB$205^A96,IF(A96='Données projet'!$A$218,'Données projet'!$B$218,FE95+FD96-FM95)))</f>
        <v>320.13000000000062</v>
      </c>
      <c r="FF96" s="17">
        <f>FE96*VLOOKUP('Données projet'!$B$16,Paramètres!$A$1:$I$89,3,0)*VLOOKUP('Données projet'!$B$16,Paramètres!$A$1:$I$89,5,0)</f>
        <v>274.67154000000056</v>
      </c>
      <c r="FG96" s="13">
        <f t="shared" si="101"/>
        <v>65.839696012088467</v>
      </c>
      <c r="FH96" s="20">
        <f t="shared" si="76"/>
        <v>593.05706938772175</v>
      </c>
      <c r="FI96" s="59">
        <f t="shared" si="77"/>
        <v>886.39040272105512</v>
      </c>
      <c r="FJ96" s="59">
        <f ca="1">AVERAGE(OFFSET($FI$3,0,0,'Données projet'!$E$16+1,1))-AVERAGE(OFFSET($H$3,0,0,'Données projet'!$E$16+1,1))</f>
        <v>337.15023592377008</v>
      </c>
      <c r="FK96" s="59">
        <f t="shared" si="102"/>
        <v>286.60608582587099</v>
      </c>
      <c r="FL96" s="15">
        <f>IF(ISNA(VLOOKUP(A96,'Données projet'!$A$217:$I$237,3,0)),0,VLOOKUP(A96,'Données projet'!$A$217:$I$237,3,0))</f>
        <v>5</v>
      </c>
      <c r="FM96" s="15">
        <f>IF(ISNA(VLOOKUP(A96,'Données projet'!$A$217:$I$237,4,0)),0,VLOOKUP(A96,'Données projet'!$A$217:$I$237,4,0))</f>
        <v>67.269999999999982</v>
      </c>
      <c r="FN96" s="16">
        <f>IF(ISNA(VLOOKUP(A96,'Données projet'!$A$217:$I$237,5,0)),0%,VLOOKUP(A96,'Données projet'!$A$217:$I$237,5,0)*VLOOKUP('Données projet'!$B$16,Paramètres!$A$1:$I$89,7,0))</f>
        <v>0.159</v>
      </c>
      <c r="FO96" s="16">
        <f>IF(ISNA(VLOOKUP(A96,'Données projet'!$A$217:$I$237,6,0)),0%,VLOOKUP(A96,'Données projet'!$A$217:$I$237,6,0)*VLOOKUP('Données projet'!$B$16,Paramètres!$A$1:$I$89,7,0))</f>
        <v>0.10600000000000001</v>
      </c>
      <c r="FP96" s="16">
        <f>IF(ISNA(VLOOKUP(A96,'Données projet'!$A$217:$I$237,7,0)),0%,VLOOKUP(A96,'Données projet'!$A$217:$I$237,7,0))</f>
        <v>0.2</v>
      </c>
      <c r="FQ96" s="21">
        <f>EXP(-LN(2)/35)*FQ95+(1-EXP(-LN(2)/35))/(LN(2)/35)*FM96*FN96*VLOOKUP('Données projet'!$B$16,Paramètres!$A$1:$I$89,3,0)*0.475*44/12</f>
        <v>18.341040153831536</v>
      </c>
      <c r="FR96" s="21">
        <f>EXP(-LN(2)/25)*FR95+(1-EXP(-LN(2)/25))/(LN(2)/25)*Calculateur!FM96*Calculateur!FO96*VLOOKUP('Données projet'!$B$16,Paramètres!$A$1:$I$89,3,0)*0.475*44/12</f>
        <v>45.597478062319809</v>
      </c>
      <c r="FS96" s="21">
        <f>EXP(-LN(2)/2)*FS95+(1-EXP(-LN(2)/2))/(LN(2)/2)*FM96*FP96*VLOOKUP('Données projet'!$B$16,Paramètres!$A$1:$I$89,3,0)*0.475*44/12</f>
        <v>11.416603012500055</v>
      </c>
      <c r="FT96" s="22">
        <f t="shared" si="78"/>
        <v>75.355121228651399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9.1730000000000018</v>
      </c>
      <c r="FZ96" s="12">
        <f>IF('Données projet'!$A$244&gt;35,FZ95+FY96-GH95,IF(A96&lt;'Données projet'!$A$244,$FW$205^A96,IF(A96='Données projet'!$A$244,'Données projet'!$B$244,FZ95+FY96-GH95)))</f>
        <v>370.95700000000051</v>
      </c>
      <c r="GA96" s="17">
        <f>FZ96*VLOOKUP('Données projet'!$B$17,Paramètres!$A$1:$I$89,3,0)*VLOOKUP('Données projet'!$B$17,Paramètres!$A$1:$I$89,5,0)</f>
        <v>335.64189360000046</v>
      </c>
      <c r="GB96" s="13">
        <f t="shared" si="103"/>
        <v>78.598859108522404</v>
      </c>
      <c r="GC96" s="20">
        <f t="shared" si="79"/>
        <v>721.46931096734397</v>
      </c>
      <c r="GD96" s="59">
        <f t="shared" si="80"/>
        <v>1014.8026443006772</v>
      </c>
      <c r="GE96" s="59">
        <f ca="1">AVERAGE(OFFSET($GD$3,0,0,'Données projet'!$E$17+1,1))-AVERAGE(OFFSET($H$3,0,0,'Données projet'!$E$17+1,1))</f>
        <v>486.55344536255876</v>
      </c>
      <c r="GF96" s="59">
        <f t="shared" si="104"/>
        <v>231.14794884432229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18.439045300572278</v>
      </c>
      <c r="GM96" s="21">
        <f>EXP(-LN(2)/25)*GM95+(1-EXP(-LN(2)/25))/(LN(2)/25)*Calculateur!GH96*Calculateur!GJ96*VLOOKUP('Données projet'!$B$17,Paramètres!$A$1:$I$89,3,0)*0.475*44/12</f>
        <v>23.04654080166527</v>
      </c>
      <c r="GN96" s="21">
        <f>EXP(-LN(2)/2)*GN95+(1-EXP(-LN(2)/2))/(LN(2)/2)*GH96*GK96*VLOOKUP('Données projet'!$B$17,Paramètres!$A$1:$I$89,3,0)*0.475*44/12</f>
        <v>0.25810773932424547</v>
      </c>
      <c r="GO96" s="21">
        <f t="shared" si="81"/>
        <v>41.743693841561793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410.50113810849973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8.9230000000000018</v>
      </c>
      <c r="N97" s="13">
        <f>IF('Données projet'!$A$36&gt;35,N96+M97-V96,IF(A97&lt;'Données projet'!$A$36,$K$205^A97,IF(A97='Données projet'!$A$36,'Données projet'!$B$36,N96+M97-V96)))</f>
        <v>293.96899999999988</v>
      </c>
      <c r="O97" s="13">
        <f>N97*VLOOKUP('Données projet'!$B$9,Paramètres!$A$1:$I$89,3,0)*VLOOKUP('Données projet'!$B$9,Paramètres!$A$1:$I$89,5,0)</f>
        <v>137.57749199999995</v>
      </c>
      <c r="P97" s="13">
        <f t="shared" si="87"/>
        <v>35.741480411252923</v>
      </c>
      <c r="Q97" s="20">
        <f t="shared" si="54"/>
        <v>301.8638769495987</v>
      </c>
      <c r="R97" s="59">
        <f t="shared" si="55"/>
        <v>595.19721028293202</v>
      </c>
      <c r="S97" s="59">
        <f ca="1">AVERAGE(OFFSET($R$3,0,0,'Données projet'!$E$9+1,1))-AVERAGE(OFFSET($H$3,0,0,'Données projet'!$E$9+1,1))</f>
        <v>252.08270526008477</v>
      </c>
      <c r="T97" s="59">
        <f t="shared" si="88"/>
        <v>239.77811108960179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110.55769644700847</v>
      </c>
      <c r="AA97" s="21">
        <f>EXP(-LN(2)/25)*AA96+(1-EXP(-LN(2)/25))/(LN(2)/25)*Calculateur!V97*Calculateur!X97*VLOOKUP('Données projet'!$B$9,Paramètres!$A$1:$I$89,3,0)*0.475*44/12</f>
        <v>35.084995436155864</v>
      </c>
      <c r="AB97" s="21">
        <f>EXP(-LN(2)/2)*AB96+(1-EXP(-LN(2)/2))/(LN(2)/2)*V97*Y97*VLOOKUP('Données projet'!$B$9,Paramètres!$A$1:$I$89,3,0)*0.475*44/12</f>
        <v>10.139057800787102</v>
      </c>
      <c r="AC97" s="22">
        <f t="shared" si="57"/>
        <v>155.78174968395143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251.64326096359997</v>
      </c>
      <c r="AO97" s="59">
        <f t="shared" si="90"/>
        <v>256.72142151189894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70.823357298370851</v>
      </c>
      <c r="AV97" s="21">
        <f>EXP(-LN(2)/25)*AV96+(1-EXP(-LN(2)/25))/(LN(2)/25)*Calculateur!AQ97*Calculateur!AS97*VLOOKUP('Données projet'!$B$10,Paramètres!$A$1:$I$89,3,0)*0.475*44/12</f>
        <v>18.871567831004441</v>
      </c>
      <c r="AW97" s="21">
        <f>EXP(-LN(2)/2)*AW96+(1-EXP(-LN(2)/2))/(LN(2)/2)*AQ97*AT97*VLOOKUP('Données projet'!$B$10,Paramètres!$A$1:$I$89,3,0)*0.475*44/12</f>
        <v>4.574695039623527E-4</v>
      </c>
      <c r="AX97" s="21">
        <f t="shared" si="60"/>
        <v>89.695382598879249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199.29783428981898</v>
      </c>
      <c r="BJ97" s="59">
        <f t="shared" si="92"/>
        <v>237.32002274562547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2.9403043835375424</v>
      </c>
      <c r="BQ97" s="21">
        <f>EXP(-LN(2)/25)*BQ96+(1-EXP(-LN(2)/25))/(LN(2)/25)*Calculateur!BL97*Calculateur!BN97*VLOOKUP('Données projet'!$B$11,Paramètres!$A$1:$I$89,3,0)*0.475*44/12</f>
        <v>11.378197846042942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14.318502229580485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8.9989999999999952</v>
      </c>
      <c r="BY97" s="12">
        <f>IF('Données projet'!$A$114&gt;35,BY96+BX97-CG96,IF(A97&lt;'Données projet'!$A$114,$BV$205^A97,IF(A97='Données projet'!$A$114,'Données projet'!$B$114,BY96+BX97-CG96)))</f>
        <v>290.40899999999993</v>
      </c>
      <c r="BZ97" s="13">
        <f>BY97*VLOOKUP('Données projet'!$B$12,Paramètres!$A$1:$I$89,3,0)*VLOOKUP('Données projet'!$B$12,Paramètres!$A$1:$I$89,5,0)</f>
        <v>244.64054159999998</v>
      </c>
      <c r="CA97" s="13">
        <f t="shared" si="93"/>
        <v>59.436850045842569</v>
      </c>
      <c r="CB97" s="20">
        <f t="shared" si="64"/>
        <v>529.6014571165091</v>
      </c>
      <c r="CC97" s="59">
        <f t="shared" si="65"/>
        <v>822.93479044984247</v>
      </c>
      <c r="CD97" s="59">
        <f ca="1">AVERAGE(OFFSET($CC$3,0,0,'Données projet'!$E$12+1,1))-AVERAGE(OFFSET($H$3,0,0,'Données projet'!$E$12+1,1))</f>
        <v>295.59075210589327</v>
      </c>
      <c r="CE97" s="59">
        <f t="shared" si="94"/>
        <v>210.41181542059576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32.194398032084422</v>
      </c>
      <c r="CL97" s="21">
        <f>EXP(-LN(2)/25)*CL96+(1-EXP(-LN(2)/25))/(LN(2)/25)*Calculateur!CG97*Calculateur!CI97*VLOOKUP('Données projet'!$B$12,Paramètres!$A$1:$I$89,3,0)*0.475*44/12</f>
        <v>22.451529754859148</v>
      </c>
      <c r="CM97" s="21">
        <f>EXP(-LN(2)/2)*CM96+(1-EXP(-LN(2)/2))/(LN(2)/2)*CG97*CJ97*VLOOKUP('Données projet'!$B$12,Paramètres!$A$1:$I$89,3,0)*0.475*44/12</f>
        <v>9.2870777144997974E-2</v>
      </c>
      <c r="CN97" s="22">
        <f t="shared" si="66"/>
        <v>54.738798564088569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1.1368683772161603E-13</v>
      </c>
      <c r="CU97" s="17">
        <f>CT97*VLOOKUP('Données projet'!$B$13,Paramètres!$A$1:$I$89,3,0)*VLOOKUP('Données projet'!$B$13,Paramètres!$A$1:$I$89,5,0)</f>
        <v>5.1727511163335289E-14</v>
      </c>
      <c r="CV97" s="13">
        <f t="shared" si="95"/>
        <v>8.3906664221915895E-13</v>
      </c>
      <c r="CW97" s="20">
        <f t="shared" si="67"/>
        <v>1.551466483807844E-12</v>
      </c>
      <c r="CX97" s="59">
        <f t="shared" si="68"/>
        <v>293.33333333333485</v>
      </c>
      <c r="CY97" s="59">
        <f ca="1">AVERAGE(OFFSET($CX$3,0,0,'Données projet'!$E$13+1,1))-AVERAGE(OFFSET($H$3,0,0,'Données projet'!$E$13+1,1))</f>
        <v>338.22448697444298</v>
      </c>
      <c r="CZ97" s="59">
        <f t="shared" si="96"/>
        <v>293.3872365640849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161.20486110660755</v>
      </c>
      <c r="DG97" s="21">
        <f>EXP(-LN(2)/25)*DG96+(1-EXP(-LN(2)/25))/(LN(2)/25)*Calculateur!DB97*Calculateur!DD97*VLOOKUP('Données projet'!$B$13,Paramètres!$A$1:$I$89,3,0)*0.475*44/12</f>
        <v>50.201488043955564</v>
      </c>
      <c r="DH97" s="21">
        <f>EXP(-LN(2)/2)*DH96+(1-EXP(-LN(2)/2))/(LN(2)/2)*DB97*DE97*VLOOKUP('Données projet'!$B$13,Paramètres!$A$1:$I$89,3,0)*0.475*44/12</f>
        <v>0.63215445562761663</v>
      </c>
      <c r="DI97" s="22">
        <f t="shared" si="69"/>
        <v>212.03850360619074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5.6843418860808015E-13</v>
      </c>
      <c r="DP97" s="17">
        <f>DO97*VLOOKUP('Données projet'!$B$14,Paramètres!$A$1:$I$89,3,0)*VLOOKUP('Données projet'!$B$14,Paramètres!$A$1:$I$89,5,0)</f>
        <v>3.177547114319168E-13</v>
      </c>
      <c r="DQ97" s="13">
        <f t="shared" si="97"/>
        <v>4.1725404435445377E-12</v>
      </c>
      <c r="DR97" s="20">
        <f t="shared" si="70"/>
        <v>7.820597394917325E-12</v>
      </c>
      <c r="DS97" s="59">
        <f t="shared" si="71"/>
        <v>293.33333333334116</v>
      </c>
      <c r="DT97" s="59">
        <f ca="1">AVERAGE(OFFSET($DS$3,0,0,'Données projet'!$E$14+1,1))-AVERAGE(OFFSET($H$3,0,0,'Données projet'!$E$14+1,1))</f>
        <v>328.15217666639006</v>
      </c>
      <c r="DU97" s="59">
        <f t="shared" si="98"/>
        <v>305.59175773326308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143.45600353645207</v>
      </c>
      <c r="EB97" s="21">
        <f>EXP(-LN(2)/25)*EB96+(1-EXP(-LN(2)/25))/(LN(2)/25)*Calculateur!DW97*Calculateur!DY97*VLOOKUP('Données projet'!$B$14,Paramètres!$A$1:$I$89,3,0)*0.475*44/12</f>
        <v>39.45764396388099</v>
      </c>
      <c r="EC97" s="21">
        <f>EXP(-LN(2)/2)*EC96+(1-EXP(-LN(2)/2))/(LN(2)/2)*DW97*DZ97*VLOOKUP('Données projet'!$B$14,Paramètres!$A$1:$I$89,3,0)*0.475*44/12</f>
        <v>1.8433965899125954E-2</v>
      </c>
      <c r="ED97" s="22">
        <f t="shared" si="72"/>
        <v>182.93208146623221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159.78276497127206</v>
      </c>
      <c r="EP97" s="59">
        <f t="shared" si="100"/>
        <v>190.72163407919857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3.4151466431778013</v>
      </c>
      <c r="EW97" s="21">
        <f>EXP(-LN(2)/25)*EW96+(1-EXP(-LN(2)/25))/(LN(2)/25)*Calculateur!ER97*Calculateur!ET97*VLOOKUP('Données projet'!$B$15,Paramètres!$A$1:$I$89,3,0)*0.475*44/12</f>
        <v>13.215711406237233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16.630858049415036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9.2583333333333311</v>
      </c>
      <c r="FE97" s="12">
        <f>IF('Données projet'!$A$218&gt;35,FE96+FD97-FM96,IF(A97&lt;'Données projet'!$A$218,$FB$205^A97,IF(A97='Données projet'!$A$218,'Données projet'!$B$218,FE96+FD97-FM96)))</f>
        <v>262.11833333333396</v>
      </c>
      <c r="FF97" s="17">
        <f>FE97*VLOOKUP('Données projet'!$B$16,Paramètres!$A$1:$I$89,3,0)*VLOOKUP('Données projet'!$B$16,Paramètres!$A$1:$I$89,5,0)</f>
        <v>224.89753000000056</v>
      </c>
      <c r="FG97" s="13">
        <f t="shared" si="101"/>
        <v>55.177971833569686</v>
      </c>
      <c r="FH97" s="20">
        <f t="shared" si="76"/>
        <v>487.79816569346821</v>
      </c>
      <c r="FI97" s="59">
        <f t="shared" si="77"/>
        <v>781.13149902680152</v>
      </c>
      <c r="FJ97" s="59">
        <f ca="1">AVERAGE(OFFSET($FI$3,0,0,'Données projet'!$E$16+1,1))-AVERAGE(OFFSET($H$3,0,0,'Données projet'!$E$16+1,1))</f>
        <v>337.15023592377008</v>
      </c>
      <c r="FK97" s="59">
        <f t="shared" si="102"/>
        <v>286.60608582587099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17.981383543344776</v>
      </c>
      <c r="FR97" s="21">
        <f>EXP(-LN(2)/25)*FR96+(1-EXP(-LN(2)/25))/(LN(2)/25)*Calculateur!FM97*Calculateur!FO97*VLOOKUP('Données projet'!$B$16,Paramètres!$A$1:$I$89,3,0)*0.475*44/12</f>
        <v>44.350612626838519</v>
      </c>
      <c r="FS97" s="21">
        <f>EXP(-LN(2)/2)*FS96+(1-EXP(-LN(2)/2))/(LN(2)/2)*FM97*FP97*VLOOKUP('Données projet'!$B$16,Paramètres!$A$1:$I$89,3,0)*0.475*44/12</f>
        <v>8.0727574082535565</v>
      </c>
      <c r="FT97" s="22">
        <f t="shared" si="78"/>
        <v>70.404753578436853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>
        <f>VLOOKUP(A97,'Données projet'!$A$243:$I$263,2,0)</f>
        <v>380.13</v>
      </c>
      <c r="FX97" s="12">
        <f>VLOOKUP(A97,'Données projet'!$A$243:$I$263,9,0)</f>
        <v>9.1730000000000018</v>
      </c>
      <c r="FY97" s="12">
        <f t="array" ref="FY97">INDEX(FX:FX,MIN(IF(ISNUMBER(FX97:FX293),ROW(FX97:FX293),"")))</f>
        <v>9.1730000000000018</v>
      </c>
      <c r="FZ97" s="12">
        <f>IF('Données projet'!$A$244&gt;35,FZ96+FY97-GH96,IF(A97&lt;'Données projet'!$A$244,$FW$205^A97,IF(A97='Données projet'!$A$244,'Données projet'!$B$244,FZ96+FY97-GH96)))</f>
        <v>380.13000000000051</v>
      </c>
      <c r="GA97" s="17">
        <f>FZ97*VLOOKUP('Données projet'!$B$17,Paramètres!$A$1:$I$89,3,0)*VLOOKUP('Données projet'!$B$17,Paramètres!$A$1:$I$89,5,0)</f>
        <v>343.94162400000044</v>
      </c>
      <c r="GB97" s="13">
        <f t="shared" si="103"/>
        <v>80.313763789484966</v>
      </c>
      <c r="GC97" s="20">
        <f t="shared" si="79"/>
        <v>738.91146706668712</v>
      </c>
      <c r="GD97" s="59">
        <f t="shared" si="80"/>
        <v>1032.2448004000205</v>
      </c>
      <c r="GE97" s="59">
        <f ca="1">AVERAGE(OFFSET($GD$3,0,0,'Données projet'!$E$17+1,1))-AVERAGE(OFFSET($H$3,0,0,'Données projet'!$E$17+1,1))</f>
        <v>486.55344536255876</v>
      </c>
      <c r="GF97" s="59">
        <f t="shared" si="104"/>
        <v>231.14794884432229</v>
      </c>
      <c r="GG97" s="15">
        <f>IF(ISNA(VLOOKUP(A97,'Données projet'!$A$243:$I$263,3,0)),0,VLOOKUP(A97,'Données projet'!$A$243:$I$263,3,0))</f>
        <v>7</v>
      </c>
      <c r="GH97" s="15">
        <f>IF(ISNA(VLOOKUP(A97,'Données projet'!$A$243:$I$263,4,0)),0,VLOOKUP(A97,'Données projet'!$A$243:$I$263,4,0))</f>
        <v>67.350000000000023</v>
      </c>
      <c r="GI97" s="16">
        <f>IF(ISNA(VLOOKUP(A97,'Données projet'!$A$243:$I$263,5,0)),0%,VLOOKUP(A97,'Données projet'!$A$243:$I$263,5,0)*VLOOKUP('Données projet'!$B$17,Paramètres!$A$1:$I$89,7,0))</f>
        <v>0.15049999999999999</v>
      </c>
      <c r="GJ97" s="16">
        <f>IF(ISNA(VLOOKUP(A97,'Données projet'!$A$243:$I$263,6,0)),0%,VLOOKUP(A97,'Données projet'!$A$243:$I$263,6,0)*VLOOKUP('Données projet'!$B$17,Paramètres!$A$1:$I$89,7,0))</f>
        <v>8.6000000000000007E-2</v>
      </c>
      <c r="GK97" s="16">
        <f>IF(ISNA(VLOOKUP(A97,'Données projet'!$A$243:$I$263,7,0)),0%,VLOOKUP(A97,'Données projet'!$A$243:$I$263,7,0))</f>
        <v>0.1</v>
      </c>
      <c r="GL97" s="21">
        <f>EXP(-LN(2)/35)*GL96+(1-EXP(-LN(2)/35))/(LN(2)/35)*GH97*GI97*VLOOKUP('Données projet'!$B$17,Paramètres!$A$1:$I$89,3,0)*0.475*44/12</f>
        <v>28.215969128647792</v>
      </c>
      <c r="GM97" s="21">
        <f>EXP(-LN(2)/25)*GM96+(1-EXP(-LN(2)/25))/(LN(2)/25)*Calculateur!GH97*Calculateur!GJ97*VLOOKUP('Données projet'!$B$17,Paramètres!$A$1:$I$89,3,0)*0.475*44/12</f>
        <v>28.18695085333249</v>
      </c>
      <c r="GN97" s="21">
        <f>EXP(-LN(2)/2)*GN96+(1-EXP(-LN(2)/2))/(LN(2)/2)*GH97*GK97*VLOOKUP('Données projet'!$B$17,Paramètres!$A$1:$I$89,3,0)*0.475*44/12</f>
        <v>5.9322004637288286</v>
      </c>
      <c r="GO97" s="21">
        <f t="shared" si="81"/>
        <v>62.335120445709109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412.09562784947656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8.9230000000000018</v>
      </c>
      <c r="N98" s="13">
        <f>IF('Données projet'!$A$36&gt;35,N97+M98-V97,IF(A98&lt;'Données projet'!$A$36,$K$205^A98,IF(A98='Données projet'!$A$36,'Données projet'!$B$36,N97+M98-V97)))</f>
        <v>302.89199999999988</v>
      </c>
      <c r="O98" s="13">
        <f>N98*VLOOKUP('Données projet'!$B$9,Paramètres!$A$1:$I$89,3,0)*VLOOKUP('Données projet'!$B$9,Paramètres!$A$1:$I$89,5,0)</f>
        <v>141.75345599999994</v>
      </c>
      <c r="P98" s="13">
        <f t="shared" si="87"/>
        <v>36.698406189380194</v>
      </c>
      <c r="Q98" s="20">
        <f t="shared" si="54"/>
        <v>310.80365997983705</v>
      </c>
      <c r="R98" s="59">
        <f t="shared" si="55"/>
        <v>604.13699331317036</v>
      </c>
      <c r="S98" s="59">
        <f ca="1">AVERAGE(OFFSET($R$3,0,0,'Données projet'!$E$9+1,1))-AVERAGE(OFFSET($H$3,0,0,'Données projet'!$E$9+1,1))</f>
        <v>252.08270526008477</v>
      </c>
      <c r="T98" s="59">
        <f t="shared" si="88"/>
        <v>239.77811108960179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108.38972745321895</v>
      </c>
      <c r="AA98" s="21">
        <f>EXP(-LN(2)/25)*AA97+(1-EXP(-LN(2)/25))/(LN(2)/25)*Calculateur!V98*Calculateur!X98*VLOOKUP('Données projet'!$B$9,Paramètres!$A$1:$I$89,3,0)*0.475*44/12</f>
        <v>34.125594390914458</v>
      </c>
      <c r="AB98" s="21">
        <f>EXP(-LN(2)/2)*AB97+(1-EXP(-LN(2)/2))/(LN(2)/2)*V98*Y98*VLOOKUP('Données projet'!$B$9,Paramètres!$A$1:$I$89,3,0)*0.475*44/12</f>
        <v>7.1693965257789234</v>
      </c>
      <c r="AC98" s="22">
        <f t="shared" si="57"/>
        <v>149.68471836991233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251.64326096359997</v>
      </c>
      <c r="AO98" s="59">
        <f t="shared" si="90"/>
        <v>256.72142151189894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69.434554459732311</v>
      </c>
      <c r="AV98" s="21">
        <f>EXP(-LN(2)/25)*AV97+(1-EXP(-LN(2)/25))/(LN(2)/25)*Calculateur!AQ98*Calculateur!AS98*VLOOKUP('Données projet'!$B$10,Paramètres!$A$1:$I$89,3,0)*0.475*44/12</f>
        <v>18.355523816253005</v>
      </c>
      <c r="AW98" s="21">
        <f>EXP(-LN(2)/2)*AW97+(1-EXP(-LN(2)/2))/(LN(2)/2)*AQ98*AT98*VLOOKUP('Données projet'!$B$10,Paramètres!$A$1:$I$89,3,0)*0.475*44/12</f>
        <v>3.2347978843782577E-4</v>
      </c>
      <c r="AX98" s="21">
        <f t="shared" si="60"/>
        <v>87.790401755773743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199.29783428981898</v>
      </c>
      <c r="BJ98" s="59">
        <f t="shared" si="92"/>
        <v>237.32002274562547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2.882646807984961</v>
      </c>
      <c r="BQ98" s="21">
        <f>EXP(-LN(2)/25)*BQ97+(1-EXP(-LN(2)/25))/(LN(2)/25)*Calculateur!BL98*Calculateur!BN98*VLOOKUP('Données projet'!$B$11,Paramètres!$A$1:$I$89,3,0)*0.475*44/12</f>
        <v>11.067060427589478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13.94970723557444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8.9989999999999952</v>
      </c>
      <c r="BY98" s="12">
        <f>IF('Données projet'!$A$114&gt;35,BY97+BX98-CG97,IF(A98&lt;'Données projet'!$A$114,$BV$205^A98,IF(A98='Données projet'!$A$114,'Données projet'!$B$114,BY97+BX98-CG97)))</f>
        <v>299.4079999999999</v>
      </c>
      <c r="BZ98" s="13">
        <f>BY98*VLOOKUP('Données projet'!$B$12,Paramètres!$A$1:$I$89,3,0)*VLOOKUP('Données projet'!$B$12,Paramètres!$A$1:$I$89,5,0)</f>
        <v>252.22129919999995</v>
      </c>
      <c r="CA98" s="13">
        <f t="shared" si="93"/>
        <v>61.061353482099619</v>
      </c>
      <c r="CB98" s="20">
        <f t="shared" si="64"/>
        <v>545.63395342132344</v>
      </c>
      <c r="CC98" s="59">
        <f t="shared" si="65"/>
        <v>838.9672867546567</v>
      </c>
      <c r="CD98" s="59">
        <f ca="1">AVERAGE(OFFSET($CC$3,0,0,'Données projet'!$E$12+1,1))-AVERAGE(OFFSET($H$3,0,0,'Données projet'!$E$12+1,1))</f>
        <v>295.59075210589327</v>
      </c>
      <c r="CE98" s="59">
        <f t="shared" si="94"/>
        <v>210.41181542059576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31.563085523319089</v>
      </c>
      <c r="CL98" s="21">
        <f>EXP(-LN(2)/25)*CL97+(1-EXP(-LN(2)/25))/(LN(2)/25)*Calculateur!CG98*Calculateur!CI98*VLOOKUP('Données projet'!$B$12,Paramètres!$A$1:$I$89,3,0)*0.475*44/12</f>
        <v>21.837591493037888</v>
      </c>
      <c r="CM98" s="21">
        <f>EXP(-LN(2)/2)*CM97+(1-EXP(-LN(2)/2))/(LN(2)/2)*CG98*CJ98*VLOOKUP('Données projet'!$B$12,Paramètres!$A$1:$I$89,3,0)*0.475*44/12</f>
        <v>6.56695562932927E-2</v>
      </c>
      <c r="CN98" s="22">
        <f t="shared" si="66"/>
        <v>53.466346572650274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1.1368683772161603E-13</v>
      </c>
      <c r="CU98" s="17">
        <f>CT98*VLOOKUP('Données projet'!$B$13,Paramètres!$A$1:$I$89,3,0)*VLOOKUP('Données projet'!$B$13,Paramètres!$A$1:$I$89,5,0)</f>
        <v>5.1727511163335289E-14</v>
      </c>
      <c r="CV98" s="13">
        <f t="shared" si="95"/>
        <v>8.3906664221915895E-13</v>
      </c>
      <c r="CW98" s="20">
        <f t="shared" si="67"/>
        <v>1.551466483807844E-12</v>
      </c>
      <c r="CX98" s="59">
        <f t="shared" si="68"/>
        <v>293.33333333333485</v>
      </c>
      <c r="CY98" s="59">
        <f ca="1">AVERAGE(OFFSET($CX$3,0,0,'Données projet'!$E$13+1,1))-AVERAGE(OFFSET($H$3,0,0,'Données projet'!$E$13+1,1))</f>
        <v>338.22448697444298</v>
      </c>
      <c r="CZ98" s="59">
        <f t="shared" si="96"/>
        <v>293.3872365640849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158.04373210556344</v>
      </c>
      <c r="DG98" s="21">
        <f>EXP(-LN(2)/25)*DG97+(1-EXP(-LN(2)/25))/(LN(2)/25)*Calculateur!DB98*Calculateur!DD98*VLOOKUP('Données projet'!$B$13,Paramètres!$A$1:$I$89,3,0)*0.475*44/12</f>
        <v>48.828725713412076</v>
      </c>
      <c r="DH98" s="21">
        <f>EXP(-LN(2)/2)*DH97+(1-EXP(-LN(2)/2))/(LN(2)/2)*DB98*DE98*VLOOKUP('Données projet'!$B$13,Paramètres!$A$1:$I$89,3,0)*0.475*44/12</f>
        <v>0.44700070233157818</v>
      </c>
      <c r="DI98" s="22">
        <f t="shared" si="69"/>
        <v>207.31945852130707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5.6843418860808015E-13</v>
      </c>
      <c r="DP98" s="17">
        <f>DO98*VLOOKUP('Données projet'!$B$14,Paramètres!$A$1:$I$89,3,0)*VLOOKUP('Données projet'!$B$14,Paramètres!$A$1:$I$89,5,0)</f>
        <v>3.177547114319168E-13</v>
      </c>
      <c r="DQ98" s="13">
        <f t="shared" si="97"/>
        <v>4.1725404435445377E-12</v>
      </c>
      <c r="DR98" s="20">
        <f t="shared" si="70"/>
        <v>7.820597394917325E-12</v>
      </c>
      <c r="DS98" s="59">
        <f t="shared" si="71"/>
        <v>293.33333333334116</v>
      </c>
      <c r="DT98" s="59">
        <f ca="1">AVERAGE(OFFSET($DS$3,0,0,'Données projet'!$E$14+1,1))-AVERAGE(OFFSET($H$3,0,0,'Données projet'!$E$14+1,1))</f>
        <v>328.15217666639006</v>
      </c>
      <c r="DU98" s="59">
        <f t="shared" si="98"/>
        <v>305.59175773326308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140.64291880662455</v>
      </c>
      <c r="EB98" s="21">
        <f>EXP(-LN(2)/25)*EB97+(1-EXP(-LN(2)/25))/(LN(2)/25)*Calculateur!DW98*Calculateur!DY98*VLOOKUP('Données projet'!$B$14,Paramètres!$A$1:$I$89,3,0)*0.475*44/12</f>
        <v>38.378672614701351</v>
      </c>
      <c r="EC98" s="21">
        <f>EXP(-LN(2)/2)*EC97+(1-EXP(-LN(2)/2))/(LN(2)/2)*DW98*DZ98*VLOOKUP('Données projet'!$B$14,Paramètres!$A$1:$I$89,3,0)*0.475*44/12</f>
        <v>1.3034782291433535E-2</v>
      </c>
      <c r="ED98" s="22">
        <f t="shared" si="72"/>
        <v>179.03462620361734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159.78276497127206</v>
      </c>
      <c r="EP98" s="59">
        <f t="shared" si="100"/>
        <v>190.72163407919857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3.3481777005388542</v>
      </c>
      <c r="EW98" s="21">
        <f>EXP(-LN(2)/25)*EW97+(1-EXP(-LN(2)/25))/(LN(2)/25)*Calculateur!ER98*Calculateur!ET98*VLOOKUP('Données projet'!$B$15,Paramètres!$A$1:$I$89,3,0)*0.475*44/12</f>
        <v>12.854327082849618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16.202504783388473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9.2583333333333311</v>
      </c>
      <c r="FE98" s="12">
        <f>IF('Données projet'!$A$218&gt;35,FE97+FD98-FM97,IF(A98&lt;'Données projet'!$A$218,$FB$205^A98,IF(A98='Données projet'!$A$218,'Données projet'!$B$218,FE97+FD98-FM97)))</f>
        <v>271.37666666666729</v>
      </c>
      <c r="FF98" s="17">
        <f>FE98*VLOOKUP('Données projet'!$B$16,Paramètres!$A$1:$I$89,3,0)*VLOOKUP('Données projet'!$B$16,Paramètres!$A$1:$I$89,5,0)</f>
        <v>232.84118000000055</v>
      </c>
      <c r="FG98" s="13">
        <f t="shared" si="101"/>
        <v>56.896571423740554</v>
      </c>
      <c r="FH98" s="20">
        <f t="shared" si="76"/>
        <v>504.62658372968235</v>
      </c>
      <c r="FI98" s="59">
        <f t="shared" si="77"/>
        <v>797.95991706301561</v>
      </c>
      <c r="FJ98" s="59">
        <f ca="1">AVERAGE(OFFSET($FI$3,0,0,'Données projet'!$E$16+1,1))-AVERAGE(OFFSET($H$3,0,0,'Données projet'!$E$16+1,1))</f>
        <v>337.15023592377008</v>
      </c>
      <c r="FK98" s="59">
        <f t="shared" si="102"/>
        <v>286.60608582587099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17.62877957962079</v>
      </c>
      <c r="FR98" s="21">
        <f>EXP(-LN(2)/25)*FR97+(1-EXP(-LN(2)/25))/(LN(2)/25)*Calculateur!FM98*Calculateur!FO98*VLOOKUP('Données projet'!$B$16,Paramètres!$A$1:$I$89,3,0)*0.475*44/12</f>
        <v>43.137842792260265</v>
      </c>
      <c r="FS98" s="21">
        <f>EXP(-LN(2)/2)*FS97+(1-EXP(-LN(2)/2))/(LN(2)/2)*FM98*FP98*VLOOKUP('Données projet'!$B$16,Paramètres!$A$1:$I$89,3,0)*0.475*44/12</f>
        <v>5.7083015062500282</v>
      </c>
      <c r="FT98" s="22">
        <f t="shared" si="78"/>
        <v>66.474923878131079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8.9420000000000019</v>
      </c>
      <c r="FZ98" s="12">
        <f>IF('Données projet'!$A$244&gt;35,FZ97+FY98-GH97,IF(A98&lt;'Données projet'!$A$244,$FW$205^A98,IF(A98='Données projet'!$A$244,'Données projet'!$B$244,FZ97+FY98-GH97)))</f>
        <v>321.72200000000049</v>
      </c>
      <c r="GA98" s="17">
        <f>FZ98*VLOOKUP('Données projet'!$B$17,Paramètres!$A$1:$I$89,3,0)*VLOOKUP('Données projet'!$B$17,Paramètres!$A$1:$I$89,5,0)</f>
        <v>291.09406560000048</v>
      </c>
      <c r="GB98" s="13">
        <f t="shared" si="103"/>
        <v>69.306175582041092</v>
      </c>
      <c r="GC98" s="20">
        <f t="shared" si="79"/>
        <v>627.697086725389</v>
      </c>
      <c r="GD98" s="59">
        <f t="shared" si="80"/>
        <v>921.03042005872226</v>
      </c>
      <c r="GE98" s="59">
        <f ca="1">AVERAGE(OFFSET($GD$3,0,0,'Données projet'!$E$17+1,1))-AVERAGE(OFFSET($H$3,0,0,'Données projet'!$E$17+1,1))</f>
        <v>486.55344536255876</v>
      </c>
      <c r="GF98" s="59">
        <f t="shared" si="104"/>
        <v>231.14794884432229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27.662671184076828</v>
      </c>
      <c r="GM98" s="21">
        <f>EXP(-LN(2)/25)*GM97+(1-EXP(-LN(2)/25))/(LN(2)/25)*Calculateur!GH98*Calculateur!GJ98*VLOOKUP('Données projet'!$B$17,Paramètres!$A$1:$I$89,3,0)*0.475*44/12</f>
        <v>27.416177199960789</v>
      </c>
      <c r="GN98" s="21">
        <f>EXP(-LN(2)/2)*GN97+(1-EXP(-LN(2)/2))/(LN(2)/2)*GH98*GK98*VLOOKUP('Données projet'!$B$17,Paramètres!$A$1:$I$89,3,0)*0.475*44/12</f>
        <v>4.1946991752606371</v>
      </c>
      <c r="GO98" s="21">
        <f t="shared" si="81"/>
        <v>59.273547559298251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413.68972880035386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8.9230000000000018</v>
      </c>
      <c r="N99" s="13">
        <f>IF('Données projet'!$A$36&gt;35,N98+M99-V98,IF(A99&lt;'Données projet'!$A$36,$K$205^A99,IF(A99='Données projet'!$A$36,'Données projet'!$B$36,N98+M99-V98)))</f>
        <v>311.81499999999988</v>
      </c>
      <c r="O99" s="13">
        <f>N99*VLOOKUP('Données projet'!$B$9,Paramètres!$A$1:$I$89,3,0)*VLOOKUP('Données projet'!$B$9,Paramètres!$A$1:$I$89,5,0)</f>
        <v>145.92941999999994</v>
      </c>
      <c r="P99" s="13">
        <f t="shared" si="87"/>
        <v>37.652055723021974</v>
      </c>
      <c r="Q99" s="20">
        <f t="shared" ref="Q99:Q130" si="107">(O99+P99)*0.475*44/12</f>
        <v>319.7377368842632</v>
      </c>
      <c r="R99" s="59">
        <f t="shared" si="55"/>
        <v>613.07107021759657</v>
      </c>
      <c r="S99" s="59">
        <f ca="1">AVERAGE(OFFSET($R$3,0,0,'Données projet'!$E$9+1,1))-AVERAGE(OFFSET($H$3,0,0,'Données projet'!$E$9+1,1))</f>
        <v>252.08270526008477</v>
      </c>
      <c r="T99" s="59">
        <f t="shared" si="88"/>
        <v>239.77811108960179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106.26427100906713</v>
      </c>
      <c r="AA99" s="21">
        <f>EXP(-LN(2)/25)*AA98+(1-EXP(-LN(2)/25))/(LN(2)/25)*Calculateur!V99*Calculateur!X99*VLOOKUP('Données projet'!$B$9,Paramètres!$A$1:$I$89,3,0)*0.475*44/12</f>
        <v>33.192428217707885</v>
      </c>
      <c r="AB99" s="21">
        <f>EXP(-LN(2)/2)*AB98+(1-EXP(-LN(2)/2))/(LN(2)/2)*V99*Y99*VLOOKUP('Données projet'!$B$9,Paramètres!$A$1:$I$89,3,0)*0.475*44/12</f>
        <v>5.0695289003935518</v>
      </c>
      <c r="AC99" s="22">
        <f t="shared" si="57"/>
        <v>144.52622812716857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251.64326096359997</v>
      </c>
      <c r="AO99" s="59">
        <f t="shared" si="90"/>
        <v>256.72142151189894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68.072985197673376</v>
      </c>
      <c r="AV99" s="21">
        <f>EXP(-LN(2)/25)*AV98+(1-EXP(-LN(2)/25))/(LN(2)/25)*Calculateur!AQ99*Calculateur!AS99*VLOOKUP('Données projet'!$B$10,Paramètres!$A$1:$I$89,3,0)*0.475*44/12</f>
        <v>17.853591052222519</v>
      </c>
      <c r="AW99" s="21">
        <f>EXP(-LN(2)/2)*AW98+(1-EXP(-LN(2)/2))/(LN(2)/2)*AQ99*AT99*VLOOKUP('Données projet'!$B$10,Paramètres!$A$1:$I$89,3,0)*0.475*44/12</f>
        <v>2.2873475198117635E-4</v>
      </c>
      <c r="AX99" s="21">
        <f t="shared" si="60"/>
        <v>85.926804984647887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199.29783428981898</v>
      </c>
      <c r="BJ99" s="59">
        <f t="shared" si="92"/>
        <v>237.32002274562547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2.8261198623213168</v>
      </c>
      <c r="BQ99" s="21">
        <f>EXP(-LN(2)/25)*BQ98+(1-EXP(-LN(2)/25))/(LN(2)/25)*Calculateur!BL99*Calculateur!BN99*VLOOKUP('Données projet'!$B$11,Paramètres!$A$1:$I$89,3,0)*0.475*44/12</f>
        <v>10.76443107820563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13.590550940526947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8.9989999999999952</v>
      </c>
      <c r="BY99" s="12">
        <f>IF('Données projet'!$A$114&gt;35,BY98+BX99-CG98,IF(A99&lt;'Données projet'!$A$114,$BV$205^A99,IF(A99='Données projet'!$A$114,'Données projet'!$B$114,BY98+BX99-CG98)))</f>
        <v>308.40699999999993</v>
      </c>
      <c r="BZ99" s="13">
        <f>BY99*VLOOKUP('Données projet'!$B$12,Paramètres!$A$1:$I$89,3,0)*VLOOKUP('Données projet'!$B$12,Paramètres!$A$1:$I$89,5,0)</f>
        <v>259.8020568</v>
      </c>
      <c r="CA99" s="13">
        <f t="shared" si="93"/>
        <v>62.680182594914719</v>
      </c>
      <c r="CB99" s="20">
        <f t="shared" si="64"/>
        <v>561.65656694614302</v>
      </c>
      <c r="CC99" s="59">
        <f t="shared" si="65"/>
        <v>854.98990027947639</v>
      </c>
      <c r="CD99" s="59">
        <f ca="1">AVERAGE(OFFSET($CC$3,0,0,'Données projet'!$E$12+1,1))-AVERAGE(OFFSET($H$3,0,0,'Données projet'!$E$12+1,1))</f>
        <v>295.59075210589327</v>
      </c>
      <c r="CE99" s="59">
        <f t="shared" si="94"/>
        <v>210.41181542059576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30.944152667788035</v>
      </c>
      <c r="CL99" s="21">
        <f>EXP(-LN(2)/25)*CL98+(1-EXP(-LN(2)/25))/(LN(2)/25)*Calculateur!CG99*Calculateur!CI99*VLOOKUP('Données projet'!$B$12,Paramètres!$A$1:$I$89,3,0)*0.475*44/12</f>
        <v>21.240441405271742</v>
      </c>
      <c r="CM99" s="21">
        <f>EXP(-LN(2)/2)*CM98+(1-EXP(-LN(2)/2))/(LN(2)/2)*CG99*CJ99*VLOOKUP('Données projet'!$B$12,Paramètres!$A$1:$I$89,3,0)*0.475*44/12</f>
        <v>4.6435388572498987E-2</v>
      </c>
      <c r="CN99" s="22">
        <f t="shared" si="66"/>
        <v>52.231029461632275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1.1368683772161603E-13</v>
      </c>
      <c r="CU99" s="17">
        <f>CT99*VLOOKUP('Données projet'!$B$13,Paramètres!$A$1:$I$89,3,0)*VLOOKUP('Données projet'!$B$13,Paramètres!$A$1:$I$89,5,0)</f>
        <v>5.1727511163335289E-14</v>
      </c>
      <c r="CV99" s="13">
        <f t="shared" si="95"/>
        <v>8.3906664221915895E-13</v>
      </c>
      <c r="CW99" s="20">
        <f t="shared" si="67"/>
        <v>1.551466483807844E-12</v>
      </c>
      <c r="CX99" s="59">
        <f t="shared" si="68"/>
        <v>293.33333333333485</v>
      </c>
      <c r="CY99" s="59">
        <f ca="1">AVERAGE(OFFSET($CX$3,0,0,'Données projet'!$E$13+1,1))-AVERAGE(OFFSET($H$3,0,0,'Données projet'!$E$13+1,1))</f>
        <v>338.22448697444298</v>
      </c>
      <c r="CZ99" s="59">
        <f t="shared" si="96"/>
        <v>293.3872365640849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154.94459091613149</v>
      </c>
      <c r="DG99" s="21">
        <f>EXP(-LN(2)/25)*DG98+(1-EXP(-LN(2)/25))/(LN(2)/25)*Calculateur!DB99*Calculateur!DD99*VLOOKUP('Données projet'!$B$13,Paramètres!$A$1:$I$89,3,0)*0.475*44/12</f>
        <v>47.493501640987738</v>
      </c>
      <c r="DH99" s="21">
        <f>EXP(-LN(2)/2)*DH98+(1-EXP(-LN(2)/2))/(LN(2)/2)*DB99*DE99*VLOOKUP('Données projet'!$B$13,Paramètres!$A$1:$I$89,3,0)*0.475*44/12</f>
        <v>0.31607722781380831</v>
      </c>
      <c r="DI99" s="22">
        <f t="shared" si="69"/>
        <v>202.75416978493305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5.6843418860808015E-13</v>
      </c>
      <c r="DP99" s="17">
        <f>DO99*VLOOKUP('Données projet'!$B$14,Paramètres!$A$1:$I$89,3,0)*VLOOKUP('Données projet'!$B$14,Paramètres!$A$1:$I$89,5,0)</f>
        <v>3.177547114319168E-13</v>
      </c>
      <c r="DQ99" s="13">
        <f t="shared" si="97"/>
        <v>4.1725404435445377E-12</v>
      </c>
      <c r="DR99" s="20">
        <f t="shared" si="70"/>
        <v>7.820597394917325E-12</v>
      </c>
      <c r="DS99" s="59">
        <f t="shared" si="71"/>
        <v>293.33333333334116</v>
      </c>
      <c r="DT99" s="59">
        <f ca="1">AVERAGE(OFFSET($DS$3,0,0,'Données projet'!$E$14+1,1))-AVERAGE(OFFSET($H$3,0,0,'Données projet'!$E$14+1,1))</f>
        <v>328.15217666639006</v>
      </c>
      <c r="DU99" s="59">
        <f t="shared" si="98"/>
        <v>305.59175773326308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137.88499695253668</v>
      </c>
      <c r="EB99" s="21">
        <f>EXP(-LN(2)/25)*EB98+(1-EXP(-LN(2)/25))/(LN(2)/25)*Calculateur!DW99*Calculateur!DY99*VLOOKUP('Données projet'!$B$14,Paramètres!$A$1:$I$89,3,0)*0.475*44/12</f>
        <v>37.329205793805663</v>
      </c>
      <c r="EC99" s="21">
        <f>EXP(-LN(2)/2)*EC98+(1-EXP(-LN(2)/2))/(LN(2)/2)*DW99*DZ99*VLOOKUP('Données projet'!$B$14,Paramètres!$A$1:$I$89,3,0)*0.475*44/12</f>
        <v>9.2169829495629772E-3</v>
      </c>
      <c r="ED99" s="22">
        <f t="shared" si="72"/>
        <v>175.22341972929192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159.78276497127206</v>
      </c>
      <c r="EP99" s="59">
        <f t="shared" si="100"/>
        <v>190.72163407919857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3.2825219780180355</v>
      </c>
      <c r="EW99" s="21">
        <f>EXP(-LN(2)/25)*EW98+(1-EXP(-LN(2)/25))/(LN(2)/25)*Calculateur!ER99*Calculateur!ET99*VLOOKUP('Données projet'!$B$15,Paramètres!$A$1:$I$89,3,0)*0.475*44/12</f>
        <v>12.502824832789413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15.785346810807448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9.2583333333333311</v>
      </c>
      <c r="FE99" s="12">
        <f>IF('Données projet'!$A$218&gt;35,FE98+FD99-FM98,IF(A99&lt;'Données projet'!$A$218,$FB$205^A99,IF(A99='Données projet'!$A$218,'Données projet'!$B$218,FE98+FD99-FM98)))</f>
        <v>280.63500000000062</v>
      </c>
      <c r="FF99" s="17">
        <f>FE99*VLOOKUP('Données projet'!$B$16,Paramètres!$A$1:$I$89,3,0)*VLOOKUP('Données projet'!$B$16,Paramètres!$A$1:$I$89,5,0)</f>
        <v>240.78483000000057</v>
      </c>
      <c r="FG99" s="13">
        <f t="shared" si="101"/>
        <v>58.608358381320663</v>
      </c>
      <c r="FH99" s="20">
        <f t="shared" si="76"/>
        <v>521.44313643080113</v>
      </c>
      <c r="FI99" s="59">
        <f t="shared" si="77"/>
        <v>814.77646976413439</v>
      </c>
      <c r="FJ99" s="59">
        <f ca="1">AVERAGE(OFFSET($FI$3,0,0,'Données projet'!$E$16+1,1))-AVERAGE(OFFSET($H$3,0,0,'Données projet'!$E$16+1,1))</f>
        <v>337.15023592377008</v>
      </c>
      <c r="FK99" s="59">
        <f t="shared" si="102"/>
        <v>286.60608582587099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17.283089964558251</v>
      </c>
      <c r="FR99" s="21">
        <f>EXP(-LN(2)/25)*FR98+(1-EXP(-LN(2)/25))/(LN(2)/25)*Calculateur!FM99*Calculateur!FO99*VLOOKUP('Données projet'!$B$16,Paramètres!$A$1:$I$89,3,0)*0.475*44/12</f>
        <v>41.958236212585348</v>
      </c>
      <c r="FS99" s="21">
        <f>EXP(-LN(2)/2)*FS98+(1-EXP(-LN(2)/2))/(LN(2)/2)*FM99*FP99*VLOOKUP('Données projet'!$B$16,Paramètres!$A$1:$I$89,3,0)*0.475*44/12</f>
        <v>4.0363787041267782</v>
      </c>
      <c r="FT99" s="22">
        <f t="shared" si="78"/>
        <v>63.277704881270374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8.9420000000000019</v>
      </c>
      <c r="FZ99" s="12">
        <f>IF('Données projet'!$A$244&gt;35,FZ98+FY99-GH98,IF(A99&lt;'Données projet'!$A$244,$FW$205^A99,IF(A99='Données projet'!$A$244,'Données projet'!$B$244,FZ98+FY99-GH98)))</f>
        <v>330.6640000000005</v>
      </c>
      <c r="GA99" s="17">
        <f>FZ99*VLOOKUP('Données projet'!$B$17,Paramètres!$A$1:$I$89,3,0)*VLOOKUP('Données projet'!$B$17,Paramètres!$A$1:$I$89,5,0)</f>
        <v>299.18478720000041</v>
      </c>
      <c r="GB99" s="13">
        <f t="shared" si="103"/>
        <v>71.005536504727559</v>
      </c>
      <c r="GC99" s="20">
        <f t="shared" si="79"/>
        <v>644.74814711906788</v>
      </c>
      <c r="GD99" s="59">
        <f t="shared" si="80"/>
        <v>938.08148045240114</v>
      </c>
      <c r="GE99" s="59">
        <f ca="1">AVERAGE(OFFSET($GD$3,0,0,'Données projet'!$E$17+1,1))-AVERAGE(OFFSET($H$3,0,0,'Données projet'!$E$17+1,1))</f>
        <v>486.55344536255876</v>
      </c>
      <c r="GF99" s="59">
        <f t="shared" si="104"/>
        <v>231.14794884432229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27.120223074720478</v>
      </c>
      <c r="GM99" s="21">
        <f>EXP(-LN(2)/25)*GM98+(1-EXP(-LN(2)/25))/(LN(2)/25)*Calculateur!GH99*Calculateur!GJ99*VLOOKUP('Données projet'!$B$17,Paramètres!$A$1:$I$89,3,0)*0.475*44/12</f>
        <v>26.666480392673762</v>
      </c>
      <c r="GN99" s="21">
        <f>EXP(-LN(2)/2)*GN98+(1-EXP(-LN(2)/2))/(LN(2)/2)*GH99*GK99*VLOOKUP('Données projet'!$B$17,Paramètres!$A$1:$I$89,3,0)*0.475*44/12</f>
        <v>2.9661002318644147</v>
      </c>
      <c r="GO99" s="21">
        <f t="shared" si="81"/>
        <v>56.752803699258656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415.28344547986092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8.9230000000000018</v>
      </c>
      <c r="N100" s="13">
        <f>IF('Données projet'!$A$36&gt;35,N99+M100-V99,IF(A100&lt;'Données projet'!$A$36,$K$205^A100,IF(A100='Données projet'!$A$36,'Données projet'!$B$36,N99+M100-V99)))</f>
        <v>320.73799999999989</v>
      </c>
      <c r="O100" s="13">
        <f>N100*VLOOKUP('Données projet'!$B$9,Paramètres!$A$1:$I$89,3,0)*VLOOKUP('Données projet'!$B$9,Paramètres!$A$1:$I$89,5,0)</f>
        <v>150.10538399999993</v>
      </c>
      <c r="P100" s="13">
        <f t="shared" si="87"/>
        <v>38.602533534019692</v>
      </c>
      <c r="Q100" s="20">
        <f t="shared" si="107"/>
        <v>328.66628970508418</v>
      </c>
      <c r="R100" s="59">
        <f t="shared" si="55"/>
        <v>621.99962303841744</v>
      </c>
      <c r="S100" s="59">
        <f ca="1">AVERAGE(OFFSET($R$3,0,0,'Données projet'!$E$9+1,1))-AVERAGE(OFFSET($H$3,0,0,'Données projet'!$E$9+1,1))</f>
        <v>252.08270526008477</v>
      </c>
      <c r="T100" s="59">
        <f t="shared" si="88"/>
        <v>239.77811108960179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104.18049346938471</v>
      </c>
      <c r="AA100" s="21">
        <f>EXP(-LN(2)/25)*AA99+(1-EXP(-LN(2)/25))/(LN(2)/25)*Calculateur!V100*Calculateur!X100*VLOOKUP('Données projet'!$B$9,Paramètres!$A$1:$I$89,3,0)*0.475*44/12</f>
        <v>32.284779522580727</v>
      </c>
      <c r="AB100" s="21">
        <f>EXP(-LN(2)/2)*AB99+(1-EXP(-LN(2)/2))/(LN(2)/2)*V100*Y100*VLOOKUP('Données projet'!$B$9,Paramètres!$A$1:$I$89,3,0)*0.475*44/12</f>
        <v>3.5846982628894621</v>
      </c>
      <c r="AC100" s="22">
        <f t="shared" si="57"/>
        <v>140.04997125485491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251.64326096359997</v>
      </c>
      <c r="AO100" s="59">
        <f t="shared" si="90"/>
        <v>256.72142151189894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66.738115478368172</v>
      </c>
      <c r="AV100" s="21">
        <f>EXP(-LN(2)/25)*AV99+(1-EXP(-LN(2)/25))/(LN(2)/25)*Calculateur!AQ100*Calculateur!AS100*VLOOKUP('Données projet'!$B$10,Paramètres!$A$1:$I$89,3,0)*0.475*44/12</f>
        <v>17.365383666019945</v>
      </c>
      <c r="AW100" s="21">
        <f>EXP(-LN(2)/2)*AW99+(1-EXP(-LN(2)/2))/(LN(2)/2)*AQ100*AT100*VLOOKUP('Données projet'!$B$10,Paramètres!$A$1:$I$89,3,0)*0.475*44/12</f>
        <v>1.6173989421891288E-4</v>
      </c>
      <c r="AX100" s="21">
        <f t="shared" si="60"/>
        <v>84.103660884282334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199.29783428981898</v>
      </c>
      <c r="BJ100" s="59">
        <f t="shared" si="92"/>
        <v>237.32002274562547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2.7707013755841046</v>
      </c>
      <c r="BQ100" s="21">
        <f>EXP(-LN(2)/25)*BQ99+(1-EXP(-LN(2)/25))/(LN(2)/25)*Calculateur!BL100*Calculateur!BN100*VLOOKUP('Données projet'!$B$11,Paramètres!$A$1:$I$89,3,0)*0.475*44/12</f>
        <v>10.470077144295269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13.240778519879374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8.9989999999999952</v>
      </c>
      <c r="BY100" s="12">
        <f>IF('Données projet'!$A$114&gt;35,BY99+BX100-CG99,IF(A100&lt;'Données projet'!$A$114,$BV$205^A100,IF(A100='Données projet'!$A$114,'Données projet'!$B$114,BY99+BX100-CG99)))</f>
        <v>317.40599999999995</v>
      </c>
      <c r="BZ100" s="13">
        <f>BY100*VLOOKUP('Données projet'!$B$12,Paramètres!$A$1:$I$89,3,0)*VLOOKUP('Données projet'!$B$12,Paramètres!$A$1:$I$89,5,0)</f>
        <v>267.38281439999997</v>
      </c>
      <c r="CA100" s="13">
        <f t="shared" si="93"/>
        <v>64.293521967229779</v>
      </c>
      <c r="CB100" s="20">
        <f t="shared" si="64"/>
        <v>577.66961917292508</v>
      </c>
      <c r="CC100" s="59">
        <f t="shared" si="65"/>
        <v>871.00295250625845</v>
      </c>
      <c r="CD100" s="59">
        <f ca="1">AVERAGE(OFFSET($CC$3,0,0,'Données projet'!$E$12+1,1))-AVERAGE(OFFSET($H$3,0,0,'Données projet'!$E$12+1,1))</f>
        <v>295.59075210589327</v>
      </c>
      <c r="CE100" s="59">
        <f t="shared" si="94"/>
        <v>210.41181542059576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30.337356708042179</v>
      </c>
      <c r="CL100" s="21">
        <f>EXP(-LN(2)/25)*CL99+(1-EXP(-LN(2)/25))/(LN(2)/25)*Calculateur!CG100*Calculateur!CI100*VLOOKUP('Données projet'!$B$12,Paramètres!$A$1:$I$89,3,0)*0.475*44/12</f>
        <v>20.659620418058317</v>
      </c>
      <c r="CM100" s="21">
        <f>EXP(-LN(2)/2)*CM99+(1-EXP(-LN(2)/2))/(LN(2)/2)*CG100*CJ100*VLOOKUP('Données projet'!$B$12,Paramètres!$A$1:$I$89,3,0)*0.475*44/12</f>
        <v>3.283477814664635E-2</v>
      </c>
      <c r="CN100" s="22">
        <f t="shared" si="66"/>
        <v>51.02981190424714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1.1368683772161603E-13</v>
      </c>
      <c r="CU100" s="17">
        <f>CT100*VLOOKUP('Données projet'!$B$13,Paramètres!$A$1:$I$89,3,0)*VLOOKUP('Données projet'!$B$13,Paramètres!$A$1:$I$89,5,0)</f>
        <v>5.1727511163335289E-14</v>
      </c>
      <c r="CV100" s="13">
        <f t="shared" si="95"/>
        <v>8.3906664221915895E-13</v>
      </c>
      <c r="CW100" s="20">
        <f t="shared" si="67"/>
        <v>1.551466483807844E-12</v>
      </c>
      <c r="CX100" s="59">
        <f t="shared" si="68"/>
        <v>293.33333333333485</v>
      </c>
      <c r="CY100" s="59">
        <f ca="1">AVERAGE(OFFSET($CX$3,0,0,'Données projet'!$E$13+1,1))-AVERAGE(OFFSET($H$3,0,0,'Données projet'!$E$13+1,1))</f>
        <v>338.22448697444298</v>
      </c>
      <c r="CZ100" s="59">
        <f t="shared" si="96"/>
        <v>293.3872365640849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151.90622199513484</v>
      </c>
      <c r="DG100" s="21">
        <f>EXP(-LN(2)/25)*DG99+(1-EXP(-LN(2)/25))/(LN(2)/25)*Calculateur!DB100*Calculateur!DD100*VLOOKUP('Données projet'!$B$13,Paramètres!$A$1:$I$89,3,0)*0.475*44/12</f>
        <v>46.194789341040227</v>
      </c>
      <c r="DH100" s="21">
        <f>EXP(-LN(2)/2)*DH99+(1-EXP(-LN(2)/2))/(LN(2)/2)*DB100*DE100*VLOOKUP('Données projet'!$B$13,Paramètres!$A$1:$I$89,3,0)*0.475*44/12</f>
        <v>0.22350035116578909</v>
      </c>
      <c r="DI100" s="22">
        <f t="shared" si="69"/>
        <v>198.32451168734087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5.6843418860808015E-13</v>
      </c>
      <c r="DP100" s="17">
        <f>DO100*VLOOKUP('Données projet'!$B$14,Paramètres!$A$1:$I$89,3,0)*VLOOKUP('Données projet'!$B$14,Paramètres!$A$1:$I$89,5,0)</f>
        <v>3.177547114319168E-13</v>
      </c>
      <c r="DQ100" s="13">
        <f t="shared" si="97"/>
        <v>4.1725404435445377E-12</v>
      </c>
      <c r="DR100" s="20">
        <f t="shared" si="70"/>
        <v>7.820597394917325E-12</v>
      </c>
      <c r="DS100" s="59">
        <f t="shared" si="71"/>
        <v>293.33333333334116</v>
      </c>
      <c r="DT100" s="59">
        <f ca="1">AVERAGE(OFFSET($DS$3,0,0,'Données projet'!$E$14+1,1))-AVERAGE(OFFSET($H$3,0,0,'Données projet'!$E$14+1,1))</f>
        <v>328.15217666639006</v>
      </c>
      <c r="DU100" s="59">
        <f t="shared" si="98"/>
        <v>305.59175773326308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135.18115626384125</v>
      </c>
      <c r="EB100" s="21">
        <f>EXP(-LN(2)/25)*EB99+(1-EXP(-LN(2)/25))/(LN(2)/25)*Calculateur!DW100*Calculateur!DY100*VLOOKUP('Données projet'!$B$14,Paramètres!$A$1:$I$89,3,0)*0.475*44/12</f>
        <v>36.308436698316434</v>
      </c>
      <c r="EC100" s="21">
        <f>EXP(-LN(2)/2)*EC99+(1-EXP(-LN(2)/2))/(LN(2)/2)*DW100*DZ100*VLOOKUP('Données projet'!$B$14,Paramètres!$A$1:$I$89,3,0)*0.475*44/12</f>
        <v>6.5173911457167676E-3</v>
      </c>
      <c r="ED100" s="22">
        <f t="shared" si="72"/>
        <v>171.49611035330338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159.78276497127206</v>
      </c>
      <c r="EP100" s="59">
        <f t="shared" si="100"/>
        <v>190.72163407919857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3.2181537241698135</v>
      </c>
      <c r="EW100" s="21">
        <f>EXP(-LN(2)/25)*EW99+(1-EXP(-LN(2)/25))/(LN(2)/25)*Calculateur!ER100*Calculateur!ET100*VLOOKUP('Données projet'!$B$15,Paramètres!$A$1:$I$89,3,0)*0.475*44/12</f>
        <v>12.160934430241804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15.379088154411617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9.2583333333333311</v>
      </c>
      <c r="FE100" s="12">
        <f>IF('Données projet'!$A$218&gt;35,FE99+FD100-FM99,IF(A100&lt;'Données projet'!$A$218,$FB$205^A100,IF(A100='Données projet'!$A$218,'Données projet'!$B$218,FE99+FD100-FM99)))</f>
        <v>289.89333333333394</v>
      </c>
      <c r="FF100" s="17">
        <f>FE100*VLOOKUP('Données projet'!$B$16,Paramètres!$A$1:$I$89,3,0)*VLOOKUP('Données projet'!$B$16,Paramètres!$A$1:$I$89,5,0)</f>
        <v>248.72848000000056</v>
      </c>
      <c r="FG100" s="13">
        <f t="shared" si="101"/>
        <v>60.313583231954887</v>
      </c>
      <c r="FH100" s="20">
        <f t="shared" si="76"/>
        <v>538.24826012898905</v>
      </c>
      <c r="FI100" s="59">
        <f t="shared" si="77"/>
        <v>831.58159346232242</v>
      </c>
      <c r="FJ100" s="59">
        <f ca="1">AVERAGE(OFFSET($FI$3,0,0,'Données projet'!$E$16+1,1))-AVERAGE(OFFSET($H$3,0,0,'Données projet'!$E$16+1,1))</f>
        <v>337.15023592377008</v>
      </c>
      <c r="FK100" s="59">
        <f t="shared" si="102"/>
        <v>286.60608582587099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16.94417911199724</v>
      </c>
      <c r="FR100" s="21">
        <f>EXP(-LN(2)/25)*FR99+(1-EXP(-LN(2)/25))/(LN(2)/25)*Calculateur!FM100*Calculateur!FO100*VLOOKUP('Données projet'!$B$16,Paramètres!$A$1:$I$89,3,0)*0.475*44/12</f>
        <v>40.810886036864453</v>
      </c>
      <c r="FS100" s="21">
        <f>EXP(-LN(2)/2)*FS99+(1-EXP(-LN(2)/2))/(LN(2)/2)*FM100*FP100*VLOOKUP('Données projet'!$B$16,Paramètres!$A$1:$I$89,3,0)*0.475*44/12</f>
        <v>2.8541507531250141</v>
      </c>
      <c r="FT100" s="22">
        <f t="shared" si="78"/>
        <v>60.609215901986701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8.9420000000000019</v>
      </c>
      <c r="FZ100" s="12">
        <f>IF('Données projet'!$A$244&gt;35,FZ99+FY100-GH99,IF(A100&lt;'Données projet'!$A$244,$FW$205^A100,IF(A100='Données projet'!$A$244,'Données projet'!$B$244,FZ99+FY100-GH99)))</f>
        <v>339.60600000000051</v>
      </c>
      <c r="GA100" s="17">
        <f>FZ100*VLOOKUP('Données projet'!$B$17,Paramètres!$A$1:$I$89,3,0)*VLOOKUP('Données projet'!$B$17,Paramètres!$A$1:$I$89,5,0)</f>
        <v>307.27550880000041</v>
      </c>
      <c r="GB100" s="13">
        <f t="shared" si="103"/>
        <v>72.699555980078841</v>
      </c>
      <c r="GC100" s="20">
        <f t="shared" si="79"/>
        <v>661.78990449197136</v>
      </c>
      <c r="GD100" s="59">
        <f t="shared" si="80"/>
        <v>955.12323782530461</v>
      </c>
      <c r="GE100" s="59">
        <f ca="1">AVERAGE(OFFSET($GD$3,0,0,'Données projet'!$E$17+1,1))-AVERAGE(OFFSET($H$3,0,0,'Données projet'!$E$17+1,1))</f>
        <v>486.55344536255876</v>
      </c>
      <c r="GF100" s="59">
        <f t="shared" si="104"/>
        <v>231.14794884432229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26.588412041927928</v>
      </c>
      <c r="GM100" s="21">
        <f>EXP(-LN(2)/25)*GM99+(1-EXP(-LN(2)/25))/(LN(2)/25)*Calculateur!GH100*Calculateur!GJ100*VLOOKUP('Données projet'!$B$17,Paramètres!$A$1:$I$89,3,0)*0.475*44/12</f>
        <v>25.937284084006841</v>
      </c>
      <c r="GN100" s="21">
        <f>EXP(-LN(2)/2)*GN99+(1-EXP(-LN(2)/2))/(LN(2)/2)*GH100*GK100*VLOOKUP('Données projet'!$B$17,Paramètres!$A$1:$I$89,3,0)*0.475*44/12</f>
        <v>2.0973495876303185</v>
      </c>
      <c r="GO100" s="21">
        <f t="shared" si="81"/>
        <v>54.623045713565091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416.87678230818852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8.9230000000000018</v>
      </c>
      <c r="N101" s="13">
        <f>IF('Données projet'!$A$36&gt;35,N100+M101-V100,IF(A101&lt;'Données projet'!$A$36,$K$205^A101,IF(A101='Données projet'!$A$36,'Données projet'!$B$36,N100+M101-V100)))</f>
        <v>329.66099999999989</v>
      </c>
      <c r="O101" s="13">
        <f>N101*VLOOKUP('Données projet'!$B$9,Paramètres!$A$1:$I$89,3,0)*VLOOKUP('Données projet'!$B$9,Paramètres!$A$1:$I$89,5,0)</f>
        <v>154.28134799999995</v>
      </c>
      <c r="P101" s="13">
        <f t="shared" si="87"/>
        <v>39.549937997660784</v>
      </c>
      <c r="Q101" s="20">
        <f t="shared" si="107"/>
        <v>337.58948977925905</v>
      </c>
      <c r="R101" s="59">
        <f t="shared" si="55"/>
        <v>630.92282311259237</v>
      </c>
      <c r="S101" s="59">
        <f ca="1">AVERAGE(OFFSET($R$3,0,0,'Données projet'!$E$9+1,1))-AVERAGE(OFFSET($H$3,0,0,'Données projet'!$E$9+1,1))</f>
        <v>252.08270526008477</v>
      </c>
      <c r="T101" s="59">
        <f t="shared" si="88"/>
        <v>239.77811108960179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102.13757753627667</v>
      </c>
      <c r="AA101" s="21">
        <f>EXP(-LN(2)/25)*AA100+(1-EXP(-LN(2)/25))/(LN(2)/25)*Calculateur!V101*Calculateur!X101*VLOOKUP('Données projet'!$B$9,Paramètres!$A$1:$I$89,3,0)*0.475*44/12</f>
        <v>31.401950528752991</v>
      </c>
      <c r="AB101" s="21">
        <f>EXP(-LN(2)/2)*AB100+(1-EXP(-LN(2)/2))/(LN(2)/2)*V101*Y101*VLOOKUP('Données projet'!$B$9,Paramètres!$A$1:$I$89,3,0)*0.475*44/12</f>
        <v>2.5347644501967759</v>
      </c>
      <c r="AC101" s="22">
        <f t="shared" si="57"/>
        <v>136.07429251522643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251.64326096359997</v>
      </c>
      <c r="AO101" s="59">
        <f t="shared" si="90"/>
        <v>256.72142151189894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65.429421740068406</v>
      </c>
      <c r="AV101" s="21">
        <f>EXP(-LN(2)/25)*AV100+(1-EXP(-LN(2)/25))/(LN(2)/25)*Calculateur!AQ101*Calculateur!AS101*VLOOKUP('Données projet'!$B$10,Paramètres!$A$1:$I$89,3,0)*0.475*44/12</f>
        <v>16.890526336466792</v>
      </c>
      <c r="AW101" s="21">
        <f>EXP(-LN(2)/2)*AW100+(1-EXP(-LN(2)/2))/(LN(2)/2)*AQ101*AT101*VLOOKUP('Données projet'!$B$10,Paramètres!$A$1:$I$89,3,0)*0.475*44/12</f>
        <v>1.1436737599058818E-4</v>
      </c>
      <c r="AX101" s="21">
        <f t="shared" si="60"/>
        <v>82.320062443911183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199.29783428981898</v>
      </c>
      <c r="BJ101" s="59">
        <f t="shared" si="92"/>
        <v>237.32002274562547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2.7163696115698697</v>
      </c>
      <c r="BQ101" s="21">
        <f>EXP(-LN(2)/25)*BQ100+(1-EXP(-LN(2)/25))/(LN(2)/25)*Calculateur!BL101*Calculateur!BN101*VLOOKUP('Données projet'!$B$11,Paramètres!$A$1:$I$89,3,0)*0.475*44/12</f>
        <v>10.183772334187088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12.900141945756957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8.9989999999999952</v>
      </c>
      <c r="BY101" s="12">
        <f>IF('Données projet'!$A$114&gt;35,BY100+BX101-CG100,IF(A101&lt;'Données projet'!$A$114,$BV$205^A101,IF(A101='Données projet'!$A$114,'Données projet'!$B$114,BY100+BX101-CG100)))</f>
        <v>326.40499999999997</v>
      </c>
      <c r="BZ101" s="13">
        <f>BY101*VLOOKUP('Données projet'!$B$12,Paramètres!$A$1:$I$89,3,0)*VLOOKUP('Données projet'!$B$12,Paramètres!$A$1:$I$89,5,0)</f>
        <v>274.963572</v>
      </c>
      <c r="CA101" s="13">
        <f t="shared" si="93"/>
        <v>65.901545120129484</v>
      </c>
      <c r="CB101" s="20">
        <f t="shared" si="64"/>
        <v>593.6734123175587</v>
      </c>
      <c r="CC101" s="59">
        <f t="shared" si="65"/>
        <v>887.00674565089207</v>
      </c>
      <c r="CD101" s="59">
        <f ca="1">AVERAGE(OFFSET($CC$3,0,0,'Données projet'!$E$12+1,1))-AVERAGE(OFFSET($H$3,0,0,'Données projet'!$E$12+1,1))</f>
        <v>295.59075210589327</v>
      </c>
      <c r="CE101" s="59">
        <f t="shared" si="94"/>
        <v>210.41181542059576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29.742459646957951</v>
      </c>
      <c r="CL101" s="21">
        <f>EXP(-LN(2)/25)*CL100+(1-EXP(-LN(2)/25))/(LN(2)/25)*Calculateur!CG101*Calculateur!CI101*VLOOKUP('Données projet'!$B$12,Paramètres!$A$1:$I$89,3,0)*0.475*44/12</f>
        <v>20.094682011284291</v>
      </c>
      <c r="CM101" s="21">
        <f>EXP(-LN(2)/2)*CM100+(1-EXP(-LN(2)/2))/(LN(2)/2)*CG101*CJ101*VLOOKUP('Données projet'!$B$12,Paramètres!$A$1:$I$89,3,0)*0.475*44/12</f>
        <v>2.3217694286249493E-2</v>
      </c>
      <c r="CN101" s="22">
        <f t="shared" si="66"/>
        <v>49.860359352528498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1.1368683772161603E-13</v>
      </c>
      <c r="CU101" s="17">
        <f>CT101*VLOOKUP('Données projet'!$B$13,Paramètres!$A$1:$I$89,3,0)*VLOOKUP('Données projet'!$B$13,Paramètres!$A$1:$I$89,5,0)</f>
        <v>5.1727511163335289E-14</v>
      </c>
      <c r="CV101" s="13">
        <f t="shared" si="95"/>
        <v>8.3906664221915895E-13</v>
      </c>
      <c r="CW101" s="20">
        <f t="shared" si="67"/>
        <v>1.551466483807844E-12</v>
      </c>
      <c r="CX101" s="59">
        <f t="shared" si="68"/>
        <v>293.33333333333485</v>
      </c>
      <c r="CY101" s="59">
        <f ca="1">AVERAGE(OFFSET($CX$3,0,0,'Données projet'!$E$13+1,1))-AVERAGE(OFFSET($H$3,0,0,'Données projet'!$E$13+1,1))</f>
        <v>338.22448697444298</v>
      </c>
      <c r="CZ101" s="59">
        <f t="shared" si="96"/>
        <v>293.3872365640849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148.92743363545688</v>
      </c>
      <c r="DG101" s="21">
        <f>EXP(-LN(2)/25)*DG100+(1-EXP(-LN(2)/25))/(LN(2)/25)*Calculateur!DB101*Calculateur!DD101*VLOOKUP('Données projet'!$B$13,Paramètres!$A$1:$I$89,3,0)*0.475*44/12</f>
        <v>44.931590397231091</v>
      </c>
      <c r="DH101" s="21">
        <f>EXP(-LN(2)/2)*DH100+(1-EXP(-LN(2)/2))/(LN(2)/2)*DB101*DE101*VLOOKUP('Données projet'!$B$13,Paramètres!$A$1:$I$89,3,0)*0.475*44/12</f>
        <v>0.15803861390690416</v>
      </c>
      <c r="DI101" s="22">
        <f t="shared" si="69"/>
        <v>194.01706264659487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5.6843418860808015E-13</v>
      </c>
      <c r="DP101" s="17">
        <f>DO101*VLOOKUP('Données projet'!$B$14,Paramètres!$A$1:$I$89,3,0)*VLOOKUP('Données projet'!$B$14,Paramètres!$A$1:$I$89,5,0)</f>
        <v>3.177547114319168E-13</v>
      </c>
      <c r="DQ101" s="13">
        <f t="shared" si="97"/>
        <v>4.1725404435445377E-12</v>
      </c>
      <c r="DR101" s="20">
        <f t="shared" si="70"/>
        <v>7.820597394917325E-12</v>
      </c>
      <c r="DS101" s="59">
        <f t="shared" si="71"/>
        <v>293.33333333334116</v>
      </c>
      <c r="DT101" s="59">
        <f ca="1">AVERAGE(OFFSET($DS$3,0,0,'Données projet'!$E$14+1,1))-AVERAGE(OFFSET($H$3,0,0,'Données projet'!$E$14+1,1))</f>
        <v>328.15217666639006</v>
      </c>
      <c r="DU101" s="59">
        <f t="shared" si="98"/>
        <v>305.59175773326308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132.53033624187114</v>
      </c>
      <c r="EB101" s="21">
        <f>EXP(-LN(2)/25)*EB100+(1-EXP(-LN(2)/25))/(LN(2)/25)*Calculateur!DW101*Calculateur!DY101*VLOOKUP('Données projet'!$B$14,Paramètres!$A$1:$I$89,3,0)*0.475*44/12</f>
        <v>35.31558058742327</v>
      </c>
      <c r="EC101" s="21">
        <f>EXP(-LN(2)/2)*EC100+(1-EXP(-LN(2)/2))/(LN(2)/2)*DW101*DZ101*VLOOKUP('Données projet'!$B$14,Paramètres!$A$1:$I$89,3,0)*0.475*44/12</f>
        <v>4.6084914747814886E-3</v>
      </c>
      <c r="ED101" s="22">
        <f t="shared" si="72"/>
        <v>167.85052532076921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159.78276497127206</v>
      </c>
      <c r="EP101" s="59">
        <f t="shared" si="100"/>
        <v>190.72163407919857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3.1550476925187967</v>
      </c>
      <c r="EW101" s="21">
        <f>EXP(-LN(2)/25)*EW100+(1-EXP(-LN(2)/25))/(LN(2)/25)*Calculateur!ER101*Calculateur!ET101*VLOOKUP('Données projet'!$B$15,Paramètres!$A$1:$I$89,3,0)*0.475*44/12</f>
        <v>11.828393038731095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14.983440731249893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9.2583333333333311</v>
      </c>
      <c r="FE101" s="12">
        <f>IF('Données projet'!$A$218&gt;35,FE100+FD101-FM100,IF(A101&lt;'Données projet'!$A$218,$FB$205^A101,IF(A101='Données projet'!$A$218,'Données projet'!$B$218,FE100+FD101-FM100)))</f>
        <v>299.15166666666727</v>
      </c>
      <c r="FF101" s="17">
        <f>FE101*VLOOKUP('Données projet'!$B$16,Paramètres!$A$1:$I$89,3,0)*VLOOKUP('Données projet'!$B$16,Paramètres!$A$1:$I$89,5,0)</f>
        <v>256.67213000000055</v>
      </c>
      <c r="FG101" s="13">
        <f t="shared" si="101"/>
        <v>62.012479590580895</v>
      </c>
      <c r="FH101" s="20">
        <f t="shared" si="76"/>
        <v>555.04236170359593</v>
      </c>
      <c r="FI101" s="59">
        <f t="shared" si="77"/>
        <v>848.3756950369293</v>
      </c>
      <c r="FJ101" s="59">
        <f ca="1">AVERAGE(OFFSET($FI$3,0,0,'Données projet'!$E$16+1,1))-AVERAGE(OFFSET($H$3,0,0,'Données projet'!$E$16+1,1))</f>
        <v>337.15023592377008</v>
      </c>
      <c r="FK101" s="59">
        <f t="shared" si="102"/>
        <v>286.60608582587099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16.611914094539742</v>
      </c>
      <c r="FR101" s="21">
        <f>EXP(-LN(2)/25)*FR100+(1-EXP(-LN(2)/25))/(LN(2)/25)*Calculateur!FM101*Calculateur!FO101*VLOOKUP('Données projet'!$B$16,Paramètres!$A$1:$I$89,3,0)*0.475*44/12</f>
        <v>39.694910212035175</v>
      </c>
      <c r="FS101" s="21">
        <f>EXP(-LN(2)/2)*FS100+(1-EXP(-LN(2)/2))/(LN(2)/2)*FM101*FP101*VLOOKUP('Données projet'!$B$16,Paramètres!$A$1:$I$89,3,0)*0.475*44/12</f>
        <v>2.0181893520633891</v>
      </c>
      <c r="FT101" s="22">
        <f t="shared" si="78"/>
        <v>58.325013658638305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8.9420000000000019</v>
      </c>
      <c r="FZ101" s="12">
        <f>IF('Données projet'!$A$244&gt;35,FZ100+FY101-GH100,IF(A101&lt;'Données projet'!$A$244,$FW$205^A101,IF(A101='Données projet'!$A$244,'Données projet'!$B$244,FZ100+FY101-GH100)))</f>
        <v>348.54800000000051</v>
      </c>
      <c r="GA101" s="17">
        <f>FZ101*VLOOKUP('Données projet'!$B$17,Paramètres!$A$1:$I$89,3,0)*VLOOKUP('Données projet'!$B$17,Paramètres!$A$1:$I$89,5,0)</f>
        <v>315.36623040000046</v>
      </c>
      <c r="GB101" s="13">
        <f t="shared" si="103"/>
        <v>74.38839081830163</v>
      </c>
      <c r="GC101" s="20">
        <f t="shared" si="79"/>
        <v>678.82263195520943</v>
      </c>
      <c r="GD101" s="59">
        <f t="shared" si="80"/>
        <v>972.1559652885428</v>
      </c>
      <c r="GE101" s="59">
        <f ca="1">AVERAGE(OFFSET($GD$3,0,0,'Données projet'!$E$17+1,1))-AVERAGE(OFFSET($H$3,0,0,'Données projet'!$E$17+1,1))</f>
        <v>486.55344536255876</v>
      </c>
      <c r="GF101" s="59">
        <f t="shared" si="104"/>
        <v>231.14794884432229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26.067029499115737</v>
      </c>
      <c r="GM101" s="21">
        <f>EXP(-LN(2)/25)*GM100+(1-EXP(-LN(2)/25))/(LN(2)/25)*Calculateur!GH101*Calculateur!GJ101*VLOOKUP('Données projet'!$B$17,Paramètres!$A$1:$I$89,3,0)*0.475*44/12</f>
        <v>25.228027686747183</v>
      </c>
      <c r="GN101" s="21">
        <f>EXP(-LN(2)/2)*GN100+(1-EXP(-LN(2)/2))/(LN(2)/2)*GH101*GK101*VLOOKUP('Données projet'!$B$17,Paramètres!$A$1:$I$89,3,0)*0.475*44/12</f>
        <v>1.4830501159322074</v>
      </c>
      <c r="GO101" s="21">
        <f t="shared" si="81"/>
        <v>52.778107301795124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418.46974361012133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8.9230000000000018</v>
      </c>
      <c r="N102" s="13">
        <f>IF('Données projet'!$A$36&gt;35,N101+M102-V101,IF(A102&lt;'Données projet'!$A$36,$K$205^A102,IF(A102='Données projet'!$A$36,'Données projet'!$B$36,N101+M102-V101)))</f>
        <v>338.58399999999989</v>
      </c>
      <c r="O102" s="13">
        <f>N102*VLOOKUP('Données projet'!$B$9,Paramètres!$A$1:$I$89,3,0)*VLOOKUP('Données projet'!$B$9,Paramètres!$A$1:$I$89,5,0)</f>
        <v>158.45731199999994</v>
      </c>
      <c r="P102" s="13">
        <f t="shared" si="87"/>
        <v>40.494361860594289</v>
      </c>
      <c r="Q102" s="20">
        <f t="shared" si="107"/>
        <v>346.50749864053495</v>
      </c>
      <c r="R102" s="59">
        <f t="shared" si="55"/>
        <v>639.84083197386826</v>
      </c>
      <c r="S102" s="59">
        <f ca="1">AVERAGE(OFFSET($R$3,0,0,'Données projet'!$E$9+1,1))-AVERAGE(OFFSET($H$3,0,0,'Données projet'!$E$9+1,1))</f>
        <v>252.08270526008477</v>
      </c>
      <c r="T102" s="59">
        <f t="shared" si="88"/>
        <v>239.77811108960179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100.13472193856119</v>
      </c>
      <c r="AA102" s="21">
        <f>EXP(-LN(2)/25)*AA101+(1-EXP(-LN(2)/25))/(LN(2)/25)*Calculateur!V102*Calculateur!X102*VLOOKUP('Données projet'!$B$9,Paramètres!$A$1:$I$89,3,0)*0.475*44/12</f>
        <v>30.543262540187431</v>
      </c>
      <c r="AB102" s="21">
        <f>EXP(-LN(2)/2)*AB101+(1-EXP(-LN(2)/2))/(LN(2)/2)*V102*Y102*VLOOKUP('Données projet'!$B$9,Paramètres!$A$1:$I$89,3,0)*0.475*44/12</f>
        <v>1.7923491314447311</v>
      </c>
      <c r="AC102" s="22">
        <f t="shared" si="57"/>
        <v>132.47033361019334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251.64326096359997</v>
      </c>
      <c r="AO102" s="59">
        <f t="shared" si="90"/>
        <v>256.72142151189894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64.146390687752344</v>
      </c>
      <c r="AV102" s="21">
        <f>EXP(-LN(2)/25)*AV101+(1-EXP(-LN(2)/25))/(LN(2)/25)*Calculateur!AQ102*Calculateur!AS102*VLOOKUP('Données projet'!$B$10,Paramètres!$A$1:$I$89,3,0)*0.475*44/12</f>
        <v>16.428654005561931</v>
      </c>
      <c r="AW102" s="21">
        <f>EXP(-LN(2)/2)*AW101+(1-EXP(-LN(2)/2))/(LN(2)/2)*AQ102*AT102*VLOOKUP('Données projet'!$B$10,Paramètres!$A$1:$I$89,3,0)*0.475*44/12</f>
        <v>8.0869947109456442E-5</v>
      </c>
      <c r="AX102" s="21">
        <f t="shared" si="60"/>
        <v>80.575125563261395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199.29783428981898</v>
      </c>
      <c r="BJ102" s="59">
        <f t="shared" si="92"/>
        <v>237.32002274562547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2.66310326030885</v>
      </c>
      <c r="BQ102" s="21">
        <f>EXP(-LN(2)/25)*BQ101+(1-EXP(-LN(2)/25))/(LN(2)/25)*Calculateur!BL102*Calculateur!BN102*VLOOKUP('Données projet'!$B$11,Paramètres!$A$1:$I$89,3,0)*0.475*44/12</f>
        <v>9.905296544167431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12.568399804476281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8.9989999999999952</v>
      </c>
      <c r="BY102" s="12">
        <f>IF('Données projet'!$A$114&gt;35,BY101+BX102-CG101,IF(A102&lt;'Données projet'!$A$114,$BV$205^A102,IF(A102='Données projet'!$A$114,'Données projet'!$B$114,BY101+BX102-CG101)))</f>
        <v>335.404</v>
      </c>
      <c r="BZ102" s="13">
        <f>BY102*VLOOKUP('Données projet'!$B$12,Paramètres!$A$1:$I$89,3,0)*VLOOKUP('Données projet'!$B$12,Paramètres!$A$1:$I$89,5,0)</f>
        <v>282.54432960000003</v>
      </c>
      <c r="CA102" s="13">
        <f t="shared" si="93"/>
        <v>67.504415462231279</v>
      </c>
      <c r="CB102" s="20">
        <f t="shared" si="64"/>
        <v>609.66823098338625</v>
      </c>
      <c r="CC102" s="59">
        <f t="shared" si="65"/>
        <v>903.00156431671962</v>
      </c>
      <c r="CD102" s="59">
        <f ca="1">AVERAGE(OFFSET($CC$3,0,0,'Données projet'!$E$12+1,1))-AVERAGE(OFFSET($H$3,0,0,'Données projet'!$E$12+1,1))</f>
        <v>295.59075210589327</v>
      </c>
      <c r="CE102" s="59">
        <f t="shared" si="94"/>
        <v>210.41181542059576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29.159228154390203</v>
      </c>
      <c r="CL102" s="21">
        <f>EXP(-LN(2)/25)*CL101+(1-EXP(-LN(2)/25))/(LN(2)/25)*Calculateur!CG102*Calculateur!CI102*VLOOKUP('Données projet'!$B$12,Paramètres!$A$1:$I$89,3,0)*0.475*44/12</f>
        <v>19.545191874952323</v>
      </c>
      <c r="CM102" s="21">
        <f>EXP(-LN(2)/2)*CM101+(1-EXP(-LN(2)/2))/(LN(2)/2)*CG102*CJ102*VLOOKUP('Données projet'!$B$12,Paramètres!$A$1:$I$89,3,0)*0.475*44/12</f>
        <v>1.6417389073323175E-2</v>
      </c>
      <c r="CN102" s="22">
        <f t="shared" si="66"/>
        <v>48.720837418415854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1.1368683772161603E-13</v>
      </c>
      <c r="CU102" s="17">
        <f>CT102*VLOOKUP('Données projet'!$B$13,Paramètres!$A$1:$I$89,3,0)*VLOOKUP('Données projet'!$B$13,Paramètres!$A$1:$I$89,5,0)</f>
        <v>5.1727511163335289E-14</v>
      </c>
      <c r="CV102" s="13">
        <f t="shared" si="95"/>
        <v>8.3906664221915895E-13</v>
      </c>
      <c r="CW102" s="20">
        <f t="shared" si="67"/>
        <v>1.551466483807844E-12</v>
      </c>
      <c r="CX102" s="59">
        <f t="shared" si="68"/>
        <v>293.33333333333485</v>
      </c>
      <c r="CY102" s="59">
        <f ca="1">AVERAGE(OFFSET($CX$3,0,0,'Données projet'!$E$13+1,1))-AVERAGE(OFFSET($H$3,0,0,'Données projet'!$E$13+1,1))</f>
        <v>338.22448697444298</v>
      </c>
      <c r="CZ102" s="59">
        <f t="shared" si="96"/>
        <v>293.3872365640849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146.0070574986307</v>
      </c>
      <c r="DG102" s="21">
        <f>EXP(-LN(2)/25)*DG101+(1-EXP(-LN(2)/25))/(LN(2)/25)*Calculateur!DB102*Calculateur!DD102*VLOOKUP('Données projet'!$B$13,Paramètres!$A$1:$I$89,3,0)*0.475*44/12</f>
        <v>43.702933694969161</v>
      </c>
      <c r="DH102" s="21">
        <f>EXP(-LN(2)/2)*DH101+(1-EXP(-LN(2)/2))/(LN(2)/2)*DB102*DE102*VLOOKUP('Données projet'!$B$13,Paramètres!$A$1:$I$89,3,0)*0.475*44/12</f>
        <v>0.11175017558289455</v>
      </c>
      <c r="DI102" s="22">
        <f t="shared" si="69"/>
        <v>189.82174136918277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5.6843418860808015E-13</v>
      </c>
      <c r="DP102" s="17">
        <f>DO102*VLOOKUP('Données projet'!$B$14,Paramètres!$A$1:$I$89,3,0)*VLOOKUP('Données projet'!$B$14,Paramètres!$A$1:$I$89,5,0)</f>
        <v>3.177547114319168E-13</v>
      </c>
      <c r="DQ102" s="13">
        <f t="shared" si="97"/>
        <v>4.1725404435445377E-12</v>
      </c>
      <c r="DR102" s="20">
        <f t="shared" si="70"/>
        <v>7.820597394917325E-12</v>
      </c>
      <c r="DS102" s="59">
        <f t="shared" si="71"/>
        <v>293.33333333334116</v>
      </c>
      <c r="DT102" s="59">
        <f ca="1">AVERAGE(OFFSET($DS$3,0,0,'Données projet'!$E$14+1,1))-AVERAGE(OFFSET($H$3,0,0,'Données projet'!$E$14+1,1))</f>
        <v>328.15217666639006</v>
      </c>
      <c r="DU102" s="59">
        <f t="shared" si="98"/>
        <v>305.59175773326308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129.93149718369131</v>
      </c>
      <c r="EB102" s="21">
        <f>EXP(-LN(2)/25)*EB101+(1-EXP(-LN(2)/25))/(LN(2)/25)*Calculateur!DW102*Calculateur!DY102*VLOOKUP('Données projet'!$B$14,Paramètres!$A$1:$I$89,3,0)*0.475*44/12</f>
        <v>34.349874179094513</v>
      </c>
      <c r="EC102" s="21">
        <f>EXP(-LN(2)/2)*EC101+(1-EXP(-LN(2)/2))/(LN(2)/2)*DW102*DZ102*VLOOKUP('Données projet'!$B$14,Paramètres!$A$1:$I$89,3,0)*0.475*44/12</f>
        <v>3.2586955728583838E-3</v>
      </c>
      <c r="ED102" s="22">
        <f t="shared" si="72"/>
        <v>164.28463005835869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159.78276497127206</v>
      </c>
      <c r="EP102" s="59">
        <f t="shared" si="100"/>
        <v>190.72163407919857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3.0931791316575779</v>
      </c>
      <c r="EW102" s="21">
        <f>EXP(-LN(2)/25)*EW101+(1-EXP(-LN(2)/25))/(LN(2)/25)*Calculateur!ER102*Calculateur!ET102*VLOOKUP('Données projet'!$B$15,Paramètres!$A$1:$I$89,3,0)*0.475*44/12</f>
        <v>11.504945009058837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14.598124140716415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9.2583333333333311</v>
      </c>
      <c r="FE102" s="12">
        <f>IF('Données projet'!$A$218&gt;35,FE101+FD102-FM101,IF(A102&lt;'Données projet'!$A$218,$FB$205^A102,IF(A102='Données projet'!$A$218,'Données projet'!$B$218,FE101+FD102-FM101)))</f>
        <v>308.41000000000059</v>
      </c>
      <c r="FF102" s="17">
        <f>FE102*VLOOKUP('Données projet'!$B$16,Paramètres!$A$1:$I$89,3,0)*VLOOKUP('Données projet'!$B$16,Paramètres!$A$1:$I$89,5,0)</f>
        <v>264.61578000000054</v>
      </c>
      <c r="FG102" s="13">
        <f t="shared" si="101"/>
        <v>63.705265790563253</v>
      </c>
      <c r="FH102" s="20">
        <f t="shared" si="76"/>
        <v>571.82582141856528</v>
      </c>
      <c r="FI102" s="59">
        <f t="shared" si="77"/>
        <v>865.15915475189854</v>
      </c>
      <c r="FJ102" s="59">
        <f ca="1">AVERAGE(OFFSET($FI$3,0,0,'Données projet'!$E$16+1,1))-AVERAGE(OFFSET($H$3,0,0,'Données projet'!$E$16+1,1))</f>
        <v>337.15023592377008</v>
      </c>
      <c r="FK102" s="59">
        <f t="shared" si="102"/>
        <v>286.60608582587099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16.286164591412938</v>
      </c>
      <c r="FR102" s="21">
        <f>EXP(-LN(2)/25)*FR101+(1-EXP(-LN(2)/25))/(LN(2)/25)*Calculateur!FM102*Calculateur!FO102*VLOOKUP('Données projet'!$B$16,Paramètres!$A$1:$I$89,3,0)*0.475*44/12</f>
        <v>38.609450804822472</v>
      </c>
      <c r="FS102" s="21">
        <f>EXP(-LN(2)/2)*FS101+(1-EXP(-LN(2)/2))/(LN(2)/2)*FM102*FP102*VLOOKUP('Données projet'!$B$16,Paramètres!$A$1:$I$89,3,0)*0.475*44/12</f>
        <v>1.427075376562507</v>
      </c>
      <c r="FT102" s="22">
        <f t="shared" si="78"/>
        <v>56.32269077279792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8.9420000000000019</v>
      </c>
      <c r="FZ102" s="12">
        <f>IF('Données projet'!$A$244&gt;35,FZ101+FY102-GH101,IF(A102&lt;'Données projet'!$A$244,$FW$205^A102,IF(A102='Données projet'!$A$244,'Données projet'!$B$244,FZ101+FY102-GH101)))</f>
        <v>357.49000000000052</v>
      </c>
      <c r="GA102" s="17">
        <f>FZ102*VLOOKUP('Données projet'!$B$17,Paramètres!$A$1:$I$89,3,0)*VLOOKUP('Données projet'!$B$17,Paramètres!$A$1:$I$89,5,0)</f>
        <v>323.45695200000046</v>
      </c>
      <c r="GB102" s="13">
        <f t="shared" si="103"/>
        <v>76.072189325282608</v>
      </c>
      <c r="GC102" s="20">
        <f t="shared" si="79"/>
        <v>695.84658780820121</v>
      </c>
      <c r="GD102" s="59">
        <f t="shared" si="80"/>
        <v>989.17992114153458</v>
      </c>
      <c r="GE102" s="59">
        <f ca="1">AVERAGE(OFFSET($GD$3,0,0,'Données projet'!$E$17+1,1))-AVERAGE(OFFSET($H$3,0,0,'Données projet'!$E$17+1,1))</f>
        <v>486.55344536255876</v>
      </c>
      <c r="GF102" s="59">
        <f t="shared" si="104"/>
        <v>231.14794884432229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25.555870949956144</v>
      </c>
      <c r="GM102" s="21">
        <f>EXP(-LN(2)/25)*GM101+(1-EXP(-LN(2)/25))/(LN(2)/25)*Calculateur!GH102*Calculateur!GJ102*VLOOKUP('Données projet'!$B$17,Paramètres!$A$1:$I$89,3,0)*0.475*44/12</f>
        <v>24.538165942968764</v>
      </c>
      <c r="GN102" s="21">
        <f>EXP(-LN(2)/2)*GN101+(1-EXP(-LN(2)/2))/(LN(2)/2)*GH102*GK102*VLOOKUP('Données projet'!$B$17,Paramètres!$A$1:$I$89,3,0)*0.475*44/12</f>
        <v>1.0486747938151593</v>
      </c>
      <c r="GO102" s="21">
        <f t="shared" si="81"/>
        <v>51.142711686740064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420.06233361803925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8.9230000000000018</v>
      </c>
      <c r="N103" s="13">
        <f>IF('Données projet'!$A$36&gt;35,N102+M103-V102,IF(A103&lt;'Données projet'!$A$36,$K$205^A103,IF(A103='Données projet'!$A$36,'Données projet'!$B$36,N102+M103-V102)))</f>
        <v>347.50699999999989</v>
      </c>
      <c r="O103" s="13">
        <f>N103*VLOOKUP('Données projet'!$B$9,Paramètres!$A$1:$I$89,3,0)*VLOOKUP('Données projet'!$B$9,Paramètres!$A$1:$I$89,5,0)</f>
        <v>162.63327599999994</v>
      </c>
      <c r="P103" s="13">
        <f t="shared" si="87"/>
        <v>41.435892702614055</v>
      </c>
      <c r="Q103" s="20">
        <f t="shared" si="107"/>
        <v>355.42046882371937</v>
      </c>
      <c r="R103" s="59">
        <f t="shared" si="55"/>
        <v>648.75380215705263</v>
      </c>
      <c r="S103" s="59">
        <f ca="1">AVERAGE(OFFSET($R$3,0,0,'Données projet'!$E$9+1,1))-AVERAGE(OFFSET($H$3,0,0,'Données projet'!$E$9+1,1))</f>
        <v>252.08270526008477</v>
      </c>
      <c r="T103" s="59">
        <f t="shared" si="88"/>
        <v>239.77811108960179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98.171141117495608</v>
      </c>
      <c r="AA103" s="21">
        <f>EXP(-LN(2)/25)*AA102+(1-EXP(-LN(2)/25))/(LN(2)/25)*Calculateur!V103*Calculateur!X103*VLOOKUP('Données projet'!$B$9,Paramètres!$A$1:$I$89,3,0)*0.475*44/12</f>
        <v>29.708055419825637</v>
      </c>
      <c r="AB103" s="21">
        <f>EXP(-LN(2)/2)*AB102+(1-EXP(-LN(2)/2))/(LN(2)/2)*V103*Y103*VLOOKUP('Données projet'!$B$9,Paramètres!$A$1:$I$89,3,0)*0.475*44/12</f>
        <v>1.2673822250983879</v>
      </c>
      <c r="AC103" s="22">
        <f t="shared" si="57"/>
        <v>129.14657876241964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251.64326096359997</v>
      </c>
      <c r="AO103" s="59">
        <f t="shared" si="90"/>
        <v>256.72142151189894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62.888519091800525</v>
      </c>
      <c r="AV103" s="21">
        <f>EXP(-LN(2)/25)*AV102+(1-EXP(-LN(2)/25))/(LN(2)/25)*Calculateur!AQ103*Calculateur!AS103*VLOOKUP('Données projet'!$B$10,Paramètres!$A$1:$I$89,3,0)*0.475*44/12</f>
        <v>15.979411597834474</v>
      </c>
      <c r="AW103" s="21">
        <f>EXP(-LN(2)/2)*AW102+(1-EXP(-LN(2)/2))/(LN(2)/2)*AQ103*AT103*VLOOKUP('Données projet'!$B$10,Paramètres!$A$1:$I$89,3,0)*0.475*44/12</f>
        <v>5.7183687995294088E-5</v>
      </c>
      <c r="AX103" s="21">
        <f t="shared" si="60"/>
        <v>78.867987873323003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199.29783428981898</v>
      </c>
      <c r="BJ103" s="59">
        <f t="shared" si="92"/>
        <v>237.32002274562547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2.6108814297067928</v>
      </c>
      <c r="BQ103" s="21">
        <f>EXP(-LN(2)/25)*BQ102+(1-EXP(-LN(2)/25))/(LN(2)/25)*Calculateur!BL103*Calculateur!BN103*VLOOKUP('Données projet'!$B$11,Paramètres!$A$1:$I$89,3,0)*0.475*44/12</f>
        <v>9.6344356892702656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12.245317118977059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8.9989999999999952</v>
      </c>
      <c r="BY103" s="12">
        <f>IF('Données projet'!$A$114&gt;35,BY102+BX103-CG102,IF(A103&lt;'Données projet'!$A$114,$BV$205^A103,IF(A103='Données projet'!$A$114,'Données projet'!$B$114,BY102+BX103-CG102)))</f>
        <v>344.40300000000002</v>
      </c>
      <c r="BZ103" s="13">
        <f>BY103*VLOOKUP('Données projet'!$B$12,Paramètres!$A$1:$I$89,3,0)*VLOOKUP('Données projet'!$B$12,Paramètres!$A$1:$I$89,5,0)</f>
        <v>290.12508720000005</v>
      </c>
      <c r="CA103" s="13">
        <f t="shared" si="93"/>
        <v>69.10228713432096</v>
      </c>
      <c r="CB103" s="20">
        <f t="shared" si="64"/>
        <v>625.65434363227575</v>
      </c>
      <c r="CC103" s="59">
        <f t="shared" si="65"/>
        <v>918.98767696560913</v>
      </c>
      <c r="CD103" s="59">
        <f ca="1">AVERAGE(OFFSET($CC$3,0,0,'Données projet'!$E$12+1,1))-AVERAGE(OFFSET($H$3,0,0,'Données projet'!$E$12+1,1))</f>
        <v>295.59075210589327</v>
      </c>
      <c r="CE103" s="59">
        <f t="shared" si="94"/>
        <v>210.41181542059576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28.587433475655626</v>
      </c>
      <c r="CL103" s="21">
        <f>EXP(-LN(2)/25)*CL102+(1-EXP(-LN(2)/25))/(LN(2)/25)*Calculateur!CG103*Calculateur!CI103*VLOOKUP('Données projet'!$B$12,Paramètres!$A$1:$I$89,3,0)*0.475*44/12</f>
        <v>19.010727575294784</v>
      </c>
      <c r="CM103" s="21">
        <f>EXP(-LN(2)/2)*CM102+(1-EXP(-LN(2)/2))/(LN(2)/2)*CG103*CJ103*VLOOKUP('Données projet'!$B$12,Paramètres!$A$1:$I$89,3,0)*0.475*44/12</f>
        <v>1.1608847143124747E-2</v>
      </c>
      <c r="CN103" s="22">
        <f t="shared" si="66"/>
        <v>47.609769898093532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1.1368683772161603E-13</v>
      </c>
      <c r="CU103" s="17">
        <f>CT103*VLOOKUP('Données projet'!$B$13,Paramètres!$A$1:$I$89,3,0)*VLOOKUP('Données projet'!$B$13,Paramètres!$A$1:$I$89,5,0)</f>
        <v>5.1727511163335289E-14</v>
      </c>
      <c r="CV103" s="13">
        <f t="shared" si="95"/>
        <v>8.3906664221915895E-13</v>
      </c>
      <c r="CW103" s="20">
        <f t="shared" si="67"/>
        <v>1.551466483807844E-12</v>
      </c>
      <c r="CX103" s="59">
        <f t="shared" si="68"/>
        <v>293.33333333333485</v>
      </c>
      <c r="CY103" s="59">
        <f ca="1">AVERAGE(OFFSET($CX$3,0,0,'Données projet'!$E$13+1,1))-AVERAGE(OFFSET($H$3,0,0,'Données projet'!$E$13+1,1))</f>
        <v>338.22448697444298</v>
      </c>
      <c r="CZ103" s="59">
        <f t="shared" si="96"/>
        <v>293.3872365640849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143.14394815659412</v>
      </c>
      <c r="DG103" s="21">
        <f>EXP(-LN(2)/25)*DG102+(1-EXP(-LN(2)/25))/(LN(2)/25)*Calculateur!DB103*Calculateur!DD103*VLOOKUP('Données projet'!$B$13,Paramètres!$A$1:$I$89,3,0)*0.475*44/12</f>
        <v>42.507874674842832</v>
      </c>
      <c r="DH103" s="21">
        <f>EXP(-LN(2)/2)*DH102+(1-EXP(-LN(2)/2))/(LN(2)/2)*DB103*DE103*VLOOKUP('Données projet'!$B$13,Paramètres!$A$1:$I$89,3,0)*0.475*44/12</f>
        <v>7.9019306953452079E-2</v>
      </c>
      <c r="DI103" s="22">
        <f t="shared" si="69"/>
        <v>185.73084213839041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5.6843418860808015E-13</v>
      </c>
      <c r="DP103" s="17">
        <f>DO103*VLOOKUP('Données projet'!$B$14,Paramètres!$A$1:$I$89,3,0)*VLOOKUP('Données projet'!$B$14,Paramètres!$A$1:$I$89,5,0)</f>
        <v>3.177547114319168E-13</v>
      </c>
      <c r="DQ103" s="13">
        <f t="shared" si="97"/>
        <v>4.1725404435445377E-12</v>
      </c>
      <c r="DR103" s="20">
        <f t="shared" si="70"/>
        <v>7.820597394917325E-12</v>
      </c>
      <c r="DS103" s="59">
        <f t="shared" si="71"/>
        <v>293.33333333334116</v>
      </c>
      <c r="DT103" s="59">
        <f ca="1">AVERAGE(OFFSET($DS$3,0,0,'Données projet'!$E$14+1,1))-AVERAGE(OFFSET($H$3,0,0,'Données projet'!$E$14+1,1))</f>
        <v>328.15217666639006</v>
      </c>
      <c r="DU103" s="59">
        <f t="shared" si="98"/>
        <v>305.59175773326308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127.38361977430708</v>
      </c>
      <c r="EB103" s="21">
        <f>EXP(-LN(2)/25)*EB102+(1-EXP(-LN(2)/25))/(LN(2)/25)*Calculateur!DW103*Calculateur!DY103*VLOOKUP('Données projet'!$B$14,Paramètres!$A$1:$I$89,3,0)*0.475*44/12</f>
        <v>33.410575063285798</v>
      </c>
      <c r="EC103" s="21">
        <f>EXP(-LN(2)/2)*EC102+(1-EXP(-LN(2)/2))/(LN(2)/2)*DW103*DZ103*VLOOKUP('Données projet'!$B$14,Paramètres!$A$1:$I$89,3,0)*0.475*44/12</f>
        <v>2.3042457373907443E-3</v>
      </c>
      <c r="ED103" s="22">
        <f t="shared" si="72"/>
        <v>160.79649908333025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159.78276497127206</v>
      </c>
      <c r="EP103" s="59">
        <f t="shared" si="100"/>
        <v>190.72163407919857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3.0325237755387517</v>
      </c>
      <c r="EW103" s="21">
        <f>EXP(-LN(2)/25)*EW102+(1-EXP(-LN(2)/25))/(LN(2)/25)*Calculateur!ER103*Calculateur!ET103*VLOOKUP('Données projet'!$B$15,Paramètres!$A$1:$I$89,3,0)*0.475*44/12</f>
        <v>11.190341682767359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14.22286545830611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9.2583333333333311</v>
      </c>
      <c r="FE103" s="12">
        <f>IF('Données projet'!$A$218&gt;35,FE102+FD103-FM102,IF(A103&lt;'Données projet'!$A$218,$FB$205^A103,IF(A103='Données projet'!$A$218,'Données projet'!$B$218,FE102+FD103-FM102)))</f>
        <v>317.66833333333392</v>
      </c>
      <c r="FF103" s="17">
        <f>FE103*VLOOKUP('Données projet'!$B$16,Paramètres!$A$1:$I$89,3,0)*VLOOKUP('Données projet'!$B$16,Paramètres!$A$1:$I$89,5,0)</f>
        <v>272.55943000000053</v>
      </c>
      <c r="FG103" s="13">
        <f t="shared" si="101"/>
        <v>65.392146311706696</v>
      </c>
      <c r="FH103" s="20">
        <f t="shared" si="76"/>
        <v>588.59899540955666</v>
      </c>
      <c r="FI103" s="59">
        <f t="shared" si="77"/>
        <v>881.93232874288992</v>
      </c>
      <c r="FJ103" s="59">
        <f ca="1">AVERAGE(OFFSET($FI$3,0,0,'Données projet'!$E$16+1,1))-AVERAGE(OFFSET($H$3,0,0,'Données projet'!$E$16+1,1))</f>
        <v>337.15023592377008</v>
      </c>
      <c r="FK103" s="59">
        <f t="shared" si="102"/>
        <v>286.60608582587099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15.966802837354871</v>
      </c>
      <c r="FR103" s="21">
        <f>EXP(-LN(2)/25)*FR102+(1-EXP(-LN(2)/25))/(LN(2)/25)*Calculateur!FM103*Calculateur!FO103*VLOOKUP('Données projet'!$B$16,Paramètres!$A$1:$I$89,3,0)*0.475*44/12</f>
        <v>37.553673342181824</v>
      </c>
      <c r="FS103" s="21">
        <f>EXP(-LN(2)/2)*FS102+(1-EXP(-LN(2)/2))/(LN(2)/2)*FM103*FP103*VLOOKUP('Données projet'!$B$16,Paramètres!$A$1:$I$89,3,0)*0.475*44/12</f>
        <v>1.0090946760316946</v>
      </c>
      <c r="FT103" s="22">
        <f t="shared" si="78"/>
        <v>54.529570855568387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8.9420000000000019</v>
      </c>
      <c r="FZ103" s="12">
        <f>IF('Données projet'!$A$244&gt;35,FZ102+FY103-GH102,IF(A103&lt;'Données projet'!$A$244,$FW$205^A103,IF(A103='Données projet'!$A$244,'Données projet'!$B$244,FZ102+FY103-GH102)))</f>
        <v>366.43200000000053</v>
      </c>
      <c r="GA103" s="17">
        <f>FZ103*VLOOKUP('Données projet'!$B$17,Paramètres!$A$1:$I$89,3,0)*VLOOKUP('Données projet'!$B$17,Paramètres!$A$1:$I$89,5,0)</f>
        <v>331.54767360000045</v>
      </c>
      <c r="GB103" s="13">
        <f t="shared" si="103"/>
        <v>77.751091964826287</v>
      </c>
      <c r="GC103" s="20">
        <f t="shared" si="79"/>
        <v>712.86201669207321</v>
      </c>
      <c r="GD103" s="59">
        <f t="shared" si="80"/>
        <v>1006.1953500254065</v>
      </c>
      <c r="GE103" s="59">
        <f ca="1">AVERAGE(OFFSET($GD$3,0,0,'Données projet'!$E$17+1,1))-AVERAGE(OFFSET($H$3,0,0,'Données projet'!$E$17+1,1))</f>
        <v>486.55344536255876</v>
      </c>
      <c r="GF103" s="59">
        <f t="shared" si="104"/>
        <v>231.14794884432229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25.054735908169643</v>
      </c>
      <c r="GM103" s="21">
        <f>EXP(-LN(2)/25)*GM102+(1-EXP(-LN(2)/25))/(LN(2)/25)*Calculateur!GH103*Calculateur!GJ103*VLOOKUP('Données projet'!$B$17,Paramètres!$A$1:$I$89,3,0)*0.475*44/12</f>
        <v>23.86716850485222</v>
      </c>
      <c r="GN103" s="21">
        <f>EXP(-LN(2)/2)*GN102+(1-EXP(-LN(2)/2))/(LN(2)/2)*GH103*GK103*VLOOKUP('Données projet'!$B$17,Paramètres!$A$1:$I$89,3,0)*0.475*44/12</f>
        <v>0.74152505796610368</v>
      </c>
      <c r="GO103" s="21">
        <f t="shared" si="81"/>
        <v>49.663429470987964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421.65455647479598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356.43</v>
      </c>
      <c r="L104" s="12">
        <f>VLOOKUP(A104,'Données projet'!$A$35:$I$55,9,0)</f>
        <v>8.9230000000000018</v>
      </c>
      <c r="M104" s="12">
        <f t="array" ref="M104">INDEX(L:L,MIN(IF(ISNUMBER(L104:L300),ROW(L104:L300),"")))</f>
        <v>8.9230000000000018</v>
      </c>
      <c r="N104" s="13">
        <f>IF('Données projet'!$A$36&gt;35,N103+M104-V103,IF(A104&lt;'Données projet'!$A$36,$K$205^A104,IF(A104='Données projet'!$A$36,'Données projet'!$B$36,N103+M104-V103)))</f>
        <v>356.42999999999989</v>
      </c>
      <c r="O104" s="13">
        <f>N104*VLOOKUP('Données projet'!$B$9,Paramètres!$A$1:$I$89,3,0)*VLOOKUP('Données projet'!$B$9,Paramètres!$A$1:$I$89,5,0)</f>
        <v>166.80923999999996</v>
      </c>
      <c r="P104" s="13">
        <f t="shared" si="87"/>
        <v>42.374613349678505</v>
      </c>
      <c r="Q104" s="20">
        <f t="shared" si="107"/>
        <v>364.32854458402329</v>
      </c>
      <c r="R104" s="59">
        <f t="shared" si="55"/>
        <v>657.66187791735661</v>
      </c>
      <c r="S104" s="59">
        <f ca="1">AVERAGE(OFFSET($R$3,0,0,'Données projet'!$E$9+1,1))-AVERAGE(OFFSET($H$3,0,0,'Données projet'!$E$9+1,1))</f>
        <v>252.08270526008477</v>
      </c>
      <c r="T104" s="59">
        <f t="shared" si="88"/>
        <v>239.77811108960179</v>
      </c>
      <c r="U104" s="15">
        <f>IF(ISNA(VLOOKUP(A104,'Données projet'!$A$35:$I$55,3,0)),0,VLOOKUP(A104,'Données projet'!$A$35:$I$55,3,0))</f>
        <v>8</v>
      </c>
      <c r="V104" s="15">
        <f>IF(ISNA(VLOOKUP(A104,'Données projet'!$A$35:$I$55,4,0)),0,VLOOKUP(A104,'Données projet'!$A$35:$I$55,4,0))</f>
        <v>356.43</v>
      </c>
      <c r="W104" s="16">
        <f>IF(ISNA(VLOOKUP(A104,'Données projet'!$A$35:$I$55,5,0)),0%,VLOOKUP(A104,'Données projet'!$A$35:$I$55,5,0)*VLOOKUP('Données projet'!$B$9,Paramètres!$A$1:$I$89,7,0))</f>
        <v>0.33</v>
      </c>
      <c r="X104" s="16">
        <f>IF(ISNA(VLOOKUP(A104,'Données projet'!$A$35:$I$55,6,0)),0%,VLOOKUP(A104,'Données projet'!$A$35:$I$55,6,0)*VLOOKUP('Données projet'!$B$9,Paramètres!$A$1:$I$89,7,0))</f>
        <v>0.11000000000000001</v>
      </c>
      <c r="Y104" s="16">
        <f>IF(ISNA(VLOOKUP(A104,'Données projet'!$A$35:$I$55,7,0)),0%,VLOOKUP(A104,'Données projet'!$A$35:$I$55,7,0))</f>
        <v>0.2</v>
      </c>
      <c r="Z104" s="21">
        <f>EXP(-LN(2)/35)*Z103+(1-EXP(-LN(2)/35))/(LN(2)/35)*V104*W104*VLOOKUP('Données projet'!$B$9,Paramètres!$A$1:$I$89,3,0)*0.475*44/12</f>
        <v>169.26952376421667</v>
      </c>
      <c r="AA104" s="21">
        <f>EXP(-LN(2)/25)*AA103+(1-EXP(-LN(2)/25))/(LN(2)/25)*Calculateur!V104*Calculateur!X104*VLOOKUP('Données projet'!$B$9,Paramètres!$A$1:$I$89,3,0)*0.475*44/12</f>
        <v>53.140999636744255</v>
      </c>
      <c r="AB104" s="21">
        <f>EXP(-LN(2)/2)*AB103+(1-EXP(-LN(2)/2))/(LN(2)/2)*V104*Y104*VLOOKUP('Données projet'!$B$9,Paramètres!$A$1:$I$89,3,0)*0.475*44/12</f>
        <v>38.669536376491102</v>
      </c>
      <c r="AC104" s="22">
        <f t="shared" si="57"/>
        <v>261.08005977745205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251.64326096359997</v>
      </c>
      <c r="AO104" s="59">
        <f t="shared" si="90"/>
        <v>256.72142151189894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61.655313590619407</v>
      </c>
      <c r="AV104" s="21">
        <f>EXP(-LN(2)/25)*AV103+(1-EXP(-LN(2)/25))/(LN(2)/25)*Calculateur!AQ104*Calculateur!AS104*VLOOKUP('Données projet'!$B$10,Paramètres!$A$1:$I$89,3,0)*0.475*44/12</f>
        <v>15.542453747370956</v>
      </c>
      <c r="AW104" s="21">
        <f>EXP(-LN(2)/2)*AW103+(1-EXP(-LN(2)/2))/(LN(2)/2)*AQ104*AT104*VLOOKUP('Données projet'!$B$10,Paramètres!$A$1:$I$89,3,0)*0.475*44/12</f>
        <v>4.0434973554728221E-5</v>
      </c>
      <c r="AX104" s="21">
        <f t="shared" si="60"/>
        <v>77.197807772963927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199.29783428981898</v>
      </c>
      <c r="BJ104" s="59">
        <f t="shared" si="92"/>
        <v>237.32002274562547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2.5596836373506702</v>
      </c>
      <c r="BQ104" s="21">
        <f>EXP(-LN(2)/25)*BQ103+(1-EXP(-LN(2)/25))/(LN(2)/25)*Calculateur!BL104*Calculateur!BN104*VLOOKUP('Données projet'!$B$11,Paramètres!$A$1:$I$89,3,0)*0.475*44/12</f>
        <v>9.3709815386942168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11.930665176044887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8.9989999999999952</v>
      </c>
      <c r="BY104" s="12">
        <f>IF('Données projet'!$A$114&gt;35,BY103+BX104-CG103,IF(A104&lt;'Données projet'!$A$114,$BV$205^A104,IF(A104='Données projet'!$A$114,'Données projet'!$B$114,BY103+BX104-CG103)))</f>
        <v>353.40200000000004</v>
      </c>
      <c r="BZ104" s="13">
        <f>BY104*VLOOKUP('Données projet'!$B$12,Paramètres!$A$1:$I$89,3,0)*VLOOKUP('Données projet'!$B$12,Paramètres!$A$1:$I$89,5,0)</f>
        <v>297.70584480000008</v>
      </c>
      <c r="CA104" s="13">
        <f t="shared" si="93"/>
        <v>70.695305763225292</v>
      </c>
      <c r="CB104" s="20">
        <f t="shared" si="64"/>
        <v>641.63200389761744</v>
      </c>
      <c r="CC104" s="59">
        <f t="shared" si="65"/>
        <v>934.96533723095081</v>
      </c>
      <c r="CD104" s="59">
        <f ca="1">AVERAGE(OFFSET($CC$3,0,0,'Données projet'!$E$12+1,1))-AVERAGE(OFFSET($H$3,0,0,'Données projet'!$E$12+1,1))</f>
        <v>295.59075210589327</v>
      </c>
      <c r="CE104" s="59">
        <f t="shared" si="94"/>
        <v>210.41181542059576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28.026851341810715</v>
      </c>
      <c r="CL104" s="21">
        <f>EXP(-LN(2)/25)*CL103+(1-EXP(-LN(2)/25))/(LN(2)/25)*Calculateur!CG104*Calculateur!CI104*VLOOKUP('Données projet'!$B$12,Paramètres!$A$1:$I$89,3,0)*0.475*44/12</f>
        <v>18.490878230017636</v>
      </c>
      <c r="CM104" s="21">
        <f>EXP(-LN(2)/2)*CM103+(1-EXP(-LN(2)/2))/(LN(2)/2)*CG104*CJ104*VLOOKUP('Données projet'!$B$12,Paramètres!$A$1:$I$89,3,0)*0.475*44/12</f>
        <v>8.2086945366615875E-3</v>
      </c>
      <c r="CN104" s="22">
        <f t="shared" si="66"/>
        <v>46.525938266365017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1.1368683772161603E-13</v>
      </c>
      <c r="CU104" s="17">
        <f>CT104*VLOOKUP('Données projet'!$B$13,Paramètres!$A$1:$I$89,3,0)*VLOOKUP('Données projet'!$B$13,Paramètres!$A$1:$I$89,5,0)</f>
        <v>5.1727511163335289E-14</v>
      </c>
      <c r="CV104" s="13">
        <f t="shared" si="95"/>
        <v>8.3906664221915895E-13</v>
      </c>
      <c r="CW104" s="20">
        <f t="shared" si="67"/>
        <v>1.551466483807844E-12</v>
      </c>
      <c r="CX104" s="59">
        <f t="shared" si="68"/>
        <v>293.33333333333485</v>
      </c>
      <c r="CY104" s="59">
        <f ca="1">AVERAGE(OFFSET($CX$3,0,0,'Données projet'!$E$13+1,1))-AVERAGE(OFFSET($H$3,0,0,'Données projet'!$E$13+1,1))</f>
        <v>338.22448697444298</v>
      </c>
      <c r="CZ104" s="59">
        <f t="shared" si="96"/>
        <v>293.3872365640849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140.33698264243063</v>
      </c>
      <c r="DG104" s="21">
        <f>EXP(-LN(2)/25)*DG103+(1-EXP(-LN(2)/25))/(LN(2)/25)*Calculateur!DB104*Calculateur!DD104*VLOOKUP('Données projet'!$B$13,Paramètres!$A$1:$I$89,3,0)*0.475*44/12</f>
        <v>41.345494606467277</v>
      </c>
      <c r="DH104" s="21">
        <f>EXP(-LN(2)/2)*DH103+(1-EXP(-LN(2)/2))/(LN(2)/2)*DB104*DE104*VLOOKUP('Données projet'!$B$13,Paramètres!$A$1:$I$89,3,0)*0.475*44/12</f>
        <v>5.5875087791447273E-2</v>
      </c>
      <c r="DI104" s="22">
        <f t="shared" si="69"/>
        <v>181.73835233668933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5.6843418860808015E-13</v>
      </c>
      <c r="DP104" s="17">
        <f>DO104*VLOOKUP('Données projet'!$B$14,Paramètres!$A$1:$I$89,3,0)*VLOOKUP('Données projet'!$B$14,Paramètres!$A$1:$I$89,5,0)</f>
        <v>3.177547114319168E-13</v>
      </c>
      <c r="DQ104" s="13">
        <f t="shared" si="97"/>
        <v>4.1725404435445377E-12</v>
      </c>
      <c r="DR104" s="20">
        <f t="shared" si="70"/>
        <v>7.820597394917325E-12</v>
      </c>
      <c r="DS104" s="59">
        <f t="shared" si="71"/>
        <v>293.33333333334116</v>
      </c>
      <c r="DT104" s="59">
        <f ca="1">AVERAGE(OFFSET($DS$3,0,0,'Données projet'!$E$14+1,1))-AVERAGE(OFFSET($H$3,0,0,'Données projet'!$E$14+1,1))</f>
        <v>328.15217666639006</v>
      </c>
      <c r="DU104" s="59">
        <f t="shared" si="98"/>
        <v>305.59175773326308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124.8857046868691</v>
      </c>
      <c r="EB104" s="21">
        <f>EXP(-LN(2)/25)*EB103+(1-EXP(-LN(2)/25))/(LN(2)/25)*Calculateur!DW104*Calculateur!DY104*VLOOKUP('Données projet'!$B$14,Paramètres!$A$1:$I$89,3,0)*0.475*44/12</f>
        <v>32.496961131194467</v>
      </c>
      <c r="EC104" s="21">
        <f>EXP(-LN(2)/2)*EC103+(1-EXP(-LN(2)/2))/(LN(2)/2)*DW104*DZ104*VLOOKUP('Données projet'!$B$14,Paramètres!$A$1:$I$89,3,0)*0.475*44/12</f>
        <v>1.6293477864291919E-3</v>
      </c>
      <c r="ED104" s="22">
        <f t="shared" si="72"/>
        <v>157.38429516585001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159.78276497127206</v>
      </c>
      <c r="EP104" s="59">
        <f t="shared" si="100"/>
        <v>190.72163407919857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2.9730578339573013</v>
      </c>
      <c r="EW104" s="21">
        <f>EXP(-LN(2)/25)*EW103+(1-EXP(-LN(2)/25))/(LN(2)/25)*Calculateur!ER104*Calculateur!ET104*VLOOKUP('Données projet'!$B$15,Paramètres!$A$1:$I$89,3,0)*0.475*44/12</f>
        <v>10.884341200977593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13.857399034934893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9.2583333333333311</v>
      </c>
      <c r="FE104" s="12">
        <f>IF('Données projet'!$A$218&gt;35,FE103+FD104-FM103,IF(A104&lt;'Données projet'!$A$218,$FB$205^A104,IF(A104='Données projet'!$A$218,'Données projet'!$B$218,FE103+FD104-FM103)))</f>
        <v>326.92666666666724</v>
      </c>
      <c r="FF104" s="17">
        <f>FE104*VLOOKUP('Données projet'!$B$16,Paramètres!$A$1:$I$89,3,0)*VLOOKUP('Données projet'!$B$16,Paramètres!$A$1:$I$89,5,0)</f>
        <v>280.50308000000052</v>
      </c>
      <c r="FG104" s="13">
        <f t="shared" si="101"/>
        <v>67.073313037115824</v>
      </c>
      <c r="FH104" s="20">
        <f t="shared" si="76"/>
        <v>605.36221787297757</v>
      </c>
      <c r="FI104" s="59">
        <f t="shared" si="77"/>
        <v>898.69555120631094</v>
      </c>
      <c r="FJ104" s="59">
        <f ca="1">AVERAGE(OFFSET($FI$3,0,0,'Données projet'!$E$16+1,1))-AVERAGE(OFFSET($H$3,0,0,'Données projet'!$E$16+1,1))</f>
        <v>337.15023592377008</v>
      </c>
      <c r="FK104" s="59">
        <f t="shared" si="102"/>
        <v>286.60608582587099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15.653703572502447</v>
      </c>
      <c r="FR104" s="21">
        <f>EXP(-LN(2)/25)*FR103+(1-EXP(-LN(2)/25))/(LN(2)/25)*Calculateur!FM104*Calculateur!FO104*VLOOKUP('Données projet'!$B$16,Paramètres!$A$1:$I$89,3,0)*0.475*44/12</f>
        <v>36.526766169778014</v>
      </c>
      <c r="FS104" s="21">
        <f>EXP(-LN(2)/2)*FS103+(1-EXP(-LN(2)/2))/(LN(2)/2)*FM104*FP104*VLOOKUP('Données projet'!$B$16,Paramètres!$A$1:$I$89,3,0)*0.475*44/12</f>
        <v>0.71353768828125352</v>
      </c>
      <c r="FT104" s="22">
        <f t="shared" si="78"/>
        <v>52.894007430561722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8.9420000000000019</v>
      </c>
      <c r="FZ104" s="12">
        <f>IF('Données projet'!$A$244&gt;35,FZ103+FY104-GH103,IF(A104&lt;'Données projet'!$A$244,$FW$205^A104,IF(A104='Données projet'!$A$244,'Données projet'!$B$244,FZ103+FY104-GH103)))</f>
        <v>375.37400000000054</v>
      </c>
      <c r="GA104" s="17">
        <f>FZ104*VLOOKUP('Données projet'!$B$17,Paramètres!$A$1:$I$89,3,0)*VLOOKUP('Données projet'!$B$17,Paramètres!$A$1:$I$89,5,0)</f>
        <v>339.6383952000005</v>
      </c>
      <c r="GB104" s="13">
        <f t="shared" si="103"/>
        <v>79.425231954431325</v>
      </c>
      <c r="GC104" s="20">
        <f t="shared" si="79"/>
        <v>729.86915062730213</v>
      </c>
      <c r="GD104" s="59">
        <f t="shared" si="80"/>
        <v>1023.2024839606354</v>
      </c>
      <c r="GE104" s="59">
        <f ca="1">AVERAGE(OFFSET($GD$3,0,0,'Données projet'!$E$17+1,1))-AVERAGE(OFFSET($H$3,0,0,'Données projet'!$E$17+1,1))</f>
        <v>486.55344536255876</v>
      </c>
      <c r="GF104" s="59">
        <f t="shared" si="104"/>
        <v>231.14794884432229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24.563427818890382</v>
      </c>
      <c r="GM104" s="21">
        <f>EXP(-LN(2)/25)*GM103+(1-EXP(-LN(2)/25))/(LN(2)/25)*Calculateur!GH104*Calculateur!GJ104*VLOOKUP('Données projet'!$B$17,Paramètres!$A$1:$I$89,3,0)*0.475*44/12</f>
        <v>23.214519526967194</v>
      </c>
      <c r="GN104" s="21">
        <f>EXP(-LN(2)/2)*GN103+(1-EXP(-LN(2)/2))/(LN(2)/2)*GH104*GK104*VLOOKUP('Données projet'!$B$17,Paramètres!$A$1:$I$89,3,0)*0.475*44/12</f>
        <v>0.52433739690757963</v>
      </c>
      <c r="GO104" s="21">
        <f t="shared" si="81"/>
        <v>48.302284742765153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423.24641623647949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252.08270526008477</v>
      </c>
      <c r="T105" s="59">
        <f t="shared" si="88"/>
        <v>239.77811108960179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165.95025164741537</v>
      </c>
      <c r="AA105" s="21">
        <f>EXP(-LN(2)/25)*AA104+(1-EXP(-LN(2)/25))/(LN(2)/25)*Calculateur!V105*Calculateur!X105*VLOOKUP('Données projet'!$B$9,Paramètres!$A$1:$I$89,3,0)*0.475*44/12</f>
        <v>51.687856207113768</v>
      </c>
      <c r="AB105" s="21">
        <f>EXP(-LN(2)/2)*AB104+(1-EXP(-LN(2)/2))/(LN(2)/2)*V105*Y105*VLOOKUP('Données projet'!$B$9,Paramètres!$A$1:$I$89,3,0)*0.475*44/12</f>
        <v>27.343491397156736</v>
      </c>
      <c r="AC105" s="22">
        <f t="shared" si="57"/>
        <v>244.98159925168588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251.64326096359997</v>
      </c>
      <c r="AO105" s="59">
        <f t="shared" si="90"/>
        <v>256.72142151189894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60.446290497135365</v>
      </c>
      <c r="AV105" s="21">
        <f>EXP(-LN(2)/25)*AV104+(1-EXP(-LN(2)/25))/(LN(2)/25)*Calculateur!AQ105*Calculateur!AS105*VLOOKUP('Données projet'!$B$10,Paramètres!$A$1:$I$89,3,0)*0.475*44/12</f>
        <v>15.117444532306978</v>
      </c>
      <c r="AW105" s="21">
        <f>EXP(-LN(2)/2)*AW104+(1-EXP(-LN(2)/2))/(LN(2)/2)*AQ105*AT105*VLOOKUP('Données projet'!$B$10,Paramètres!$A$1:$I$89,3,0)*0.475*44/12</f>
        <v>2.8591843997647044E-5</v>
      </c>
      <c r="AX105" s="21">
        <f t="shared" si="60"/>
        <v>75.563763621286341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199.29783428981898</v>
      </c>
      <c r="BJ105" s="59">
        <f t="shared" si="92"/>
        <v>237.32002274562547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2.5094898024750814</v>
      </c>
      <c r="BQ105" s="21">
        <f>EXP(-LN(2)/25)*BQ104+(1-EXP(-LN(2)/25))/(LN(2)/25)*Calculateur!BL105*Calculateur!BN105*VLOOKUP('Données projet'!$B$11,Paramètres!$A$1:$I$89,3,0)*0.475*44/12</f>
        <v>9.1147315557201214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11.624221358195204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8.9989999999999952</v>
      </c>
      <c r="BY105" s="12">
        <f>IF('Données projet'!$A$114&gt;35,BY104+BX105-CG104,IF(A105&lt;'Données projet'!$A$114,$BV$205^A105,IF(A105='Données projet'!$A$114,'Données projet'!$B$114,BY104+BX105-CG104)))</f>
        <v>362.40100000000007</v>
      </c>
      <c r="BZ105" s="13">
        <f>BY105*VLOOKUP('Données projet'!$B$12,Paramètres!$A$1:$I$89,3,0)*VLOOKUP('Données projet'!$B$12,Paramètres!$A$1:$I$89,5,0)</f>
        <v>305.28660240000011</v>
      </c>
      <c r="CA105" s="13">
        <f t="shared" si="93"/>
        <v>72.283609136737979</v>
      </c>
      <c r="CB105" s="20">
        <f t="shared" si="64"/>
        <v>657.60145175981881</v>
      </c>
      <c r="CC105" s="59">
        <f t="shared" si="65"/>
        <v>950.93478509315219</v>
      </c>
      <c r="CD105" s="59">
        <f ca="1">AVERAGE(OFFSET($CC$3,0,0,'Données projet'!$E$12+1,1))-AVERAGE(OFFSET($H$3,0,0,'Données projet'!$E$12+1,1))</f>
        <v>295.59075210589327</v>
      </c>
      <c r="CE105" s="59">
        <f t="shared" si="94"/>
        <v>210.41181542059576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27.477261881689167</v>
      </c>
      <c r="CL105" s="21">
        <f>EXP(-LN(2)/25)*CL104+(1-EXP(-LN(2)/25))/(LN(2)/25)*Calculateur!CG105*Calculateur!CI105*VLOOKUP('Données projet'!$B$12,Paramètres!$A$1:$I$89,3,0)*0.475*44/12</f>
        <v>17.98524419242478</v>
      </c>
      <c r="CM105" s="21">
        <f>EXP(-LN(2)/2)*CM104+(1-EXP(-LN(2)/2))/(LN(2)/2)*CG105*CJ105*VLOOKUP('Données projet'!$B$12,Paramètres!$A$1:$I$89,3,0)*0.475*44/12</f>
        <v>5.8044235715623733E-3</v>
      </c>
      <c r="CN105" s="22">
        <f t="shared" si="66"/>
        <v>45.468310497685508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1.1368683772161603E-13</v>
      </c>
      <c r="CU105" s="17">
        <f>CT105*VLOOKUP('Données projet'!$B$13,Paramètres!$A$1:$I$89,3,0)*VLOOKUP('Données projet'!$B$13,Paramètres!$A$1:$I$89,5,0)</f>
        <v>5.1727511163335289E-14</v>
      </c>
      <c r="CV105" s="13">
        <f t="shared" si="95"/>
        <v>8.3906664221915895E-13</v>
      </c>
      <c r="CW105" s="20">
        <f t="shared" si="67"/>
        <v>1.551466483807844E-12</v>
      </c>
      <c r="CX105" s="59">
        <f t="shared" si="68"/>
        <v>293.33333333333485</v>
      </c>
      <c r="CY105" s="59">
        <f ca="1">AVERAGE(OFFSET($CX$3,0,0,'Données projet'!$E$13+1,1))-AVERAGE(OFFSET($H$3,0,0,'Données projet'!$E$13+1,1))</f>
        <v>338.22448697444298</v>
      </c>
      <c r="CZ105" s="59">
        <f t="shared" si="96"/>
        <v>293.3872365640849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137.58506000991997</v>
      </c>
      <c r="DG105" s="21">
        <f>EXP(-LN(2)/25)*DG104+(1-EXP(-LN(2)/25))/(LN(2)/25)*Calculateur!DB105*Calculateur!DD105*VLOOKUP('Données projet'!$B$13,Paramètres!$A$1:$I$89,3,0)*0.475*44/12</f>
        <v>40.214899882188362</v>
      </c>
      <c r="DH105" s="21">
        <f>EXP(-LN(2)/2)*DH104+(1-EXP(-LN(2)/2))/(LN(2)/2)*DB105*DE105*VLOOKUP('Données projet'!$B$13,Paramètres!$A$1:$I$89,3,0)*0.475*44/12</f>
        <v>3.9509653476726039E-2</v>
      </c>
      <c r="DI105" s="22">
        <f t="shared" si="69"/>
        <v>177.83946954558508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5.6843418860808015E-13</v>
      </c>
      <c r="DP105" s="17">
        <f>DO105*VLOOKUP('Données projet'!$B$14,Paramètres!$A$1:$I$89,3,0)*VLOOKUP('Données projet'!$B$14,Paramètres!$A$1:$I$89,5,0)</f>
        <v>3.177547114319168E-13</v>
      </c>
      <c r="DQ105" s="13">
        <f t="shared" si="97"/>
        <v>4.1725404435445377E-12</v>
      </c>
      <c r="DR105" s="20">
        <f t="shared" si="70"/>
        <v>7.820597394917325E-12</v>
      </c>
      <c r="DS105" s="59">
        <f t="shared" si="71"/>
        <v>293.33333333334116</v>
      </c>
      <c r="DT105" s="59">
        <f ca="1">AVERAGE(OFFSET($DS$3,0,0,'Données projet'!$E$14+1,1))-AVERAGE(OFFSET($H$3,0,0,'Données projet'!$E$14+1,1))</f>
        <v>328.15217666639006</v>
      </c>
      <c r="DU105" s="59">
        <f t="shared" si="98"/>
        <v>305.59175773326308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122.43677219071803</v>
      </c>
      <c r="EB105" s="21">
        <f>EXP(-LN(2)/25)*EB104+(1-EXP(-LN(2)/25))/(LN(2)/25)*Calculateur!DW105*Calculateur!DY105*VLOOKUP('Données projet'!$B$14,Paramètres!$A$1:$I$89,3,0)*0.475*44/12</f>
        <v>31.608330020121041</v>
      </c>
      <c r="EC105" s="21">
        <f>EXP(-LN(2)/2)*EC104+(1-EXP(-LN(2)/2))/(LN(2)/2)*DW105*DZ105*VLOOKUP('Données projet'!$B$14,Paramètres!$A$1:$I$89,3,0)*0.475*44/12</f>
        <v>1.1521228686953721E-3</v>
      </c>
      <c r="ED105" s="22">
        <f t="shared" si="72"/>
        <v>154.04625433370776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159.78276497127206</v>
      </c>
      <c r="EP105" s="59">
        <f t="shared" si="100"/>
        <v>190.72163407919857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2.9147579832196202</v>
      </c>
      <c r="EW105" s="21">
        <f>EXP(-LN(2)/25)*EW104+(1-EXP(-LN(2)/25))/(LN(2)/25)*Calculateur!ER105*Calculateur!ET105*VLOOKUP('Données projet'!$B$15,Paramètres!$A$1:$I$89,3,0)*0.475*44/12</f>
        <v>10.586708318454233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13.501466301673855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9.2583333333333311</v>
      </c>
      <c r="FE105" s="12">
        <f>IF('Données projet'!$A$218&gt;35,FE104+FD105-FM104,IF(A105&lt;'Données projet'!$A$218,$FB$205^A105,IF(A105='Données projet'!$A$218,'Données projet'!$B$218,FE104+FD105-FM104)))</f>
        <v>336.18500000000057</v>
      </c>
      <c r="FF105" s="17">
        <f>FE105*VLOOKUP('Données projet'!$B$16,Paramètres!$A$1:$I$89,3,0)*VLOOKUP('Données projet'!$B$16,Paramètres!$A$1:$I$89,5,0)</f>
        <v>288.44673000000051</v>
      </c>
      <c r="FG105" s="13">
        <f t="shared" si="101"/>
        <v>68.748946363679067</v>
      </c>
      <c r="FH105" s="20">
        <f t="shared" si="76"/>
        <v>622.11580300007529</v>
      </c>
      <c r="FI105" s="59">
        <f t="shared" si="77"/>
        <v>915.44913633340866</v>
      </c>
      <c r="FJ105" s="59">
        <f ca="1">AVERAGE(OFFSET($FI$3,0,0,'Données projet'!$E$16+1,1))-AVERAGE(OFFSET($H$3,0,0,'Données projet'!$E$16+1,1))</f>
        <v>337.15023592377008</v>
      </c>
      <c r="FK105" s="59">
        <f t="shared" si="102"/>
        <v>286.60608582587099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15.346743993262084</v>
      </c>
      <c r="FR105" s="21">
        <f>EXP(-LN(2)/25)*FR104+(1-EXP(-LN(2)/25))/(LN(2)/25)*Calculateur!FM105*Calculateur!FO105*VLOOKUP('Données projet'!$B$16,Paramètres!$A$1:$I$89,3,0)*0.475*44/12</f>
        <v>35.527939828006282</v>
      </c>
      <c r="FS105" s="21">
        <f>EXP(-LN(2)/2)*FS104+(1-EXP(-LN(2)/2))/(LN(2)/2)*FM105*FP105*VLOOKUP('Données projet'!$B$16,Paramètres!$A$1:$I$89,3,0)*0.475*44/12</f>
        <v>0.50454733801584728</v>
      </c>
      <c r="FT105" s="22">
        <f t="shared" si="78"/>
        <v>51.37923115928421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8.9420000000000019</v>
      </c>
      <c r="FZ105" s="12">
        <f>IF('Données projet'!$A$244&gt;35,FZ104+FY105-GH104,IF(A105&lt;'Données projet'!$A$244,$FW$205^A105,IF(A105='Données projet'!$A$244,'Données projet'!$B$244,FZ104+FY105-GH104)))</f>
        <v>384.31600000000054</v>
      </c>
      <c r="GA105" s="17">
        <f>FZ105*VLOOKUP('Données projet'!$B$17,Paramètres!$A$1:$I$89,3,0)*VLOOKUP('Données projet'!$B$17,Paramètres!$A$1:$I$89,5,0)</f>
        <v>347.7291168000005</v>
      </c>
      <c r="GB105" s="13">
        <f t="shared" si="103"/>
        <v>81.094735802697301</v>
      </c>
      <c r="GC105" s="20">
        <f t="shared" si="79"/>
        <v>746.86820994969855</v>
      </c>
      <c r="GD105" s="59">
        <f t="shared" si="80"/>
        <v>1040.2015432830319</v>
      </c>
      <c r="GE105" s="59">
        <f ca="1">AVERAGE(OFFSET($GD$3,0,0,'Données projet'!$E$17+1,1))-AVERAGE(OFFSET($H$3,0,0,'Données projet'!$E$17+1,1))</f>
        <v>486.55344536255876</v>
      </c>
      <c r="GF105" s="59">
        <f t="shared" si="104"/>
        <v>231.14794884432229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24.081753981573542</v>
      </c>
      <c r="GM105" s="21">
        <f>EXP(-LN(2)/25)*GM104+(1-EXP(-LN(2)/25))/(LN(2)/25)*Calculateur!GH105*Calculateur!GJ105*VLOOKUP('Données projet'!$B$17,Paramètres!$A$1:$I$89,3,0)*0.475*44/12</f>
        <v>22.579717269703753</v>
      </c>
      <c r="GN105" s="21">
        <f>EXP(-LN(2)/2)*GN104+(1-EXP(-LN(2)/2))/(LN(2)/2)*GH105*GK105*VLOOKUP('Données projet'!$B$17,Paramètres!$A$1:$I$89,3,0)*0.475*44/12</f>
        <v>0.37076252898305184</v>
      </c>
      <c r="GO105" s="21">
        <f t="shared" si="81"/>
        <v>47.032233780260341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424.83791687506221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252.08270526008477</v>
      </c>
      <c r="T106" s="59">
        <f t="shared" si="88"/>
        <v>239.77811108960179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162.69606843226845</v>
      </c>
      <c r="AA106" s="21">
        <f>EXP(-LN(2)/25)*AA105+(1-EXP(-LN(2)/25))/(LN(2)/25)*Calculateur!V106*Calculateur!X106*VLOOKUP('Données projet'!$B$9,Paramètres!$A$1:$I$89,3,0)*0.475*44/12</f>
        <v>50.274449060984018</v>
      </c>
      <c r="AB106" s="21">
        <f>EXP(-LN(2)/2)*AB105+(1-EXP(-LN(2)/2))/(LN(2)/2)*V106*Y106*VLOOKUP('Données projet'!$B$9,Paramètres!$A$1:$I$89,3,0)*0.475*44/12</f>
        <v>19.334768188245555</v>
      </c>
      <c r="AC106" s="22">
        <f t="shared" si="57"/>
        <v>232.30528568149802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251.64326096359997</v>
      </c>
      <c r="AO106" s="59">
        <f t="shared" si="90"/>
        <v>256.72142151189894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59.260975609083275</v>
      </c>
      <c r="AV106" s="21">
        <f>EXP(-LN(2)/25)*AV105+(1-EXP(-LN(2)/25))/(LN(2)/25)*Calculateur!AQ106*Calculateur!AS106*VLOOKUP('Données projet'!$B$10,Paramètres!$A$1:$I$89,3,0)*0.475*44/12</f>
        <v>14.704057216579187</v>
      </c>
      <c r="AW106" s="21">
        <f>EXP(-LN(2)/2)*AW105+(1-EXP(-LN(2)/2))/(LN(2)/2)*AQ106*AT106*VLOOKUP('Données projet'!$B$10,Paramètres!$A$1:$I$89,3,0)*0.475*44/12</f>
        <v>2.021748677736411E-5</v>
      </c>
      <c r="AX106" s="21">
        <f t="shared" si="60"/>
        <v>73.96505304314924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199.29783428981898</v>
      </c>
      <c r="BJ106" s="59">
        <f t="shared" si="92"/>
        <v>237.32002274562547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2.4602802380861868</v>
      </c>
      <c r="BQ106" s="21">
        <f>EXP(-LN(2)/25)*BQ105+(1-EXP(-LN(2)/25))/(LN(2)/25)*Calculateur!BL106*Calculateur!BN106*VLOOKUP('Données projet'!$B$11,Paramètres!$A$1:$I$89,3,0)*0.475*44/12</f>
        <v>8.865488742006054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11.32576898009224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371.4</v>
      </c>
      <c r="BW106" s="12">
        <f>VLOOKUP(A106,'Données projet'!$A$113:$I$133,9,0)</f>
        <v>8.9989999999999952</v>
      </c>
      <c r="BX106" s="12">
        <f t="array" ref="BX106">INDEX(BW:BW,MIN(IF(ISNUMBER(BW106:BW302),ROW(BW106:BW302),"")))</f>
        <v>8.9989999999999952</v>
      </c>
      <c r="BY106" s="12">
        <f>IF('Données projet'!$A$114&gt;35,BY105+BX106-CG105,IF(A106&lt;'Données projet'!$A$114,$BV$205^A106,IF(A106='Données projet'!$A$114,'Données projet'!$B$114,BY105+BX106-CG105)))</f>
        <v>371.40000000000009</v>
      </c>
      <c r="BZ106" s="13">
        <f>BY106*VLOOKUP('Données projet'!$B$12,Paramètres!$A$1:$I$89,3,0)*VLOOKUP('Données projet'!$B$12,Paramètres!$A$1:$I$89,5,0)</f>
        <v>312.86736000000013</v>
      </c>
      <c r="CA106" s="13">
        <f t="shared" si="93"/>
        <v>73.867327809619979</v>
      </c>
      <c r="CB106" s="20">
        <f t="shared" si="64"/>
        <v>673.5629146017551</v>
      </c>
      <c r="CC106" s="59">
        <f t="shared" si="65"/>
        <v>966.89624793508847</v>
      </c>
      <c r="CD106" s="59">
        <f ca="1">AVERAGE(OFFSET($CC$3,0,0,'Données projet'!$E$12+1,1))-AVERAGE(OFFSET($H$3,0,0,'Données projet'!$E$12+1,1))</f>
        <v>295.59075210589327</v>
      </c>
      <c r="CE106" s="59">
        <f t="shared" si="94"/>
        <v>210.41181542059576</v>
      </c>
      <c r="CF106" s="15">
        <f>IF(ISNA(VLOOKUP(A106,'Données projet'!$A$113:$I$133,3,0)),0,VLOOKUP(A106,'Données projet'!$A$113:$I$133,3,0))</f>
        <v>9</v>
      </c>
      <c r="CG106" s="15">
        <f>IF(ISNA(VLOOKUP(A106,'Données projet'!$A$113:$I$133,4,0)),0,VLOOKUP(A106,'Données projet'!$A$113:$I$133,4,0))</f>
        <v>67.759999999999991</v>
      </c>
      <c r="CH106" s="16">
        <f>IF(ISNA(VLOOKUP(A106,'Données projet'!$A$113:$I$133,5,0)),0%,VLOOKUP(A106,'Données projet'!$A$113:$I$133,5,0)*VLOOKUP('Données projet'!$B$12,Paramètres!$A$1:$I$89,7,0))</f>
        <v>0.215</v>
      </c>
      <c r="CI106" s="16">
        <f>IF(ISNA(VLOOKUP(A106,'Données projet'!$A$113:$I$133,6,0)),0%,VLOOKUP(A106,'Données projet'!$A$113:$I$133,6,0)*VLOOKUP('Données projet'!$B$12,Paramètres!$A$1:$I$89,7,0))</f>
        <v>8.6000000000000007E-2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40.505246507727158</v>
      </c>
      <c r="CL106" s="21">
        <f>EXP(-LN(2)/25)*CL105+(1-EXP(-LN(2)/25))/(LN(2)/25)*Calculateur!CG106*Calculateur!CI106*VLOOKUP('Données projet'!$B$12,Paramètres!$A$1:$I$89,3,0)*0.475*44/12</f>
        <v>22.898788473391676</v>
      </c>
      <c r="CM106" s="21">
        <f>EXP(-LN(2)/2)*CM105+(1-EXP(-LN(2)/2))/(LN(2)/2)*CG106*CJ106*VLOOKUP('Données projet'!$B$12,Paramètres!$A$1:$I$89,3,0)*0.475*44/12</f>
        <v>4.1043472683307937E-3</v>
      </c>
      <c r="CN106" s="22">
        <f t="shared" si="66"/>
        <v>63.408139328387165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1.1368683772161603E-13</v>
      </c>
      <c r="CU106" s="17">
        <f>CT106*VLOOKUP('Données projet'!$B$13,Paramètres!$A$1:$I$89,3,0)*VLOOKUP('Données projet'!$B$13,Paramètres!$A$1:$I$89,5,0)</f>
        <v>5.1727511163335289E-14</v>
      </c>
      <c r="CV106" s="13">
        <f t="shared" si="95"/>
        <v>8.3906664221915895E-13</v>
      </c>
      <c r="CW106" s="20">
        <f t="shared" si="67"/>
        <v>1.551466483807844E-12</v>
      </c>
      <c r="CX106" s="59">
        <f t="shared" si="68"/>
        <v>293.33333333333485</v>
      </c>
      <c r="CY106" s="59">
        <f ca="1">AVERAGE(OFFSET($CX$3,0,0,'Données projet'!$E$13+1,1))-AVERAGE(OFFSET($H$3,0,0,'Données projet'!$E$13+1,1))</f>
        <v>338.22448697444298</v>
      </c>
      <c r="CZ106" s="59">
        <f t="shared" si="96"/>
        <v>293.3872365640849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134.88710090172577</v>
      </c>
      <c r="DG106" s="21">
        <f>EXP(-LN(2)/25)*DG105+(1-EXP(-LN(2)/25))/(LN(2)/25)*Calculateur!DB106*Calculateur!DD106*VLOOKUP('Données projet'!$B$13,Paramètres!$A$1:$I$89,3,0)*0.475*44/12</f>
        <v>39.115221330100248</v>
      </c>
      <c r="DH106" s="21">
        <f>EXP(-LN(2)/2)*DH105+(1-EXP(-LN(2)/2))/(LN(2)/2)*DB106*DE106*VLOOKUP('Données projet'!$B$13,Paramètres!$A$1:$I$89,3,0)*0.475*44/12</f>
        <v>2.7937543895723636E-2</v>
      </c>
      <c r="DI106" s="22">
        <f t="shared" si="69"/>
        <v>174.03025977572173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5.6843418860808015E-13</v>
      </c>
      <c r="DP106" s="17">
        <f>DO106*VLOOKUP('Données projet'!$B$14,Paramètres!$A$1:$I$89,3,0)*VLOOKUP('Données projet'!$B$14,Paramètres!$A$1:$I$89,5,0)</f>
        <v>3.177547114319168E-13</v>
      </c>
      <c r="DQ106" s="13">
        <f t="shared" si="97"/>
        <v>4.1725404435445377E-12</v>
      </c>
      <c r="DR106" s="20">
        <f t="shared" si="70"/>
        <v>7.820597394917325E-12</v>
      </c>
      <c r="DS106" s="59">
        <f t="shared" si="71"/>
        <v>293.33333333334116</v>
      </c>
      <c r="DT106" s="59">
        <f ca="1">AVERAGE(OFFSET($DS$3,0,0,'Données projet'!$E$14+1,1))-AVERAGE(OFFSET($H$3,0,0,'Données projet'!$E$14+1,1))</f>
        <v>328.15217666639006</v>
      </c>
      <c r="DU106" s="59">
        <f t="shared" si="98"/>
        <v>305.59175773326308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120.03586176711514</v>
      </c>
      <c r="EB106" s="21">
        <f>EXP(-LN(2)/25)*EB105+(1-EXP(-LN(2)/25))/(LN(2)/25)*Calculateur!DW106*Calculateur!DY106*VLOOKUP('Données projet'!$B$14,Paramètres!$A$1:$I$89,3,0)*0.475*44/12</f>
        <v>30.743998573510996</v>
      </c>
      <c r="EC106" s="21">
        <f>EXP(-LN(2)/2)*EC105+(1-EXP(-LN(2)/2))/(LN(2)/2)*DW106*DZ106*VLOOKUP('Données projet'!$B$14,Paramètres!$A$1:$I$89,3,0)*0.475*44/12</f>
        <v>8.1467389321459595E-4</v>
      </c>
      <c r="ED106" s="22">
        <f t="shared" si="72"/>
        <v>150.78067501451935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159.78276497127206</v>
      </c>
      <c r="EP106" s="59">
        <f t="shared" si="100"/>
        <v>190.72163407919857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2.8576013569955072</v>
      </c>
      <c r="EW106" s="21">
        <f>EXP(-LN(2)/25)*EW105+(1-EXP(-LN(2)/25))/(LN(2)/25)*Calculateur!ER106*Calculateur!ET106*VLOOKUP('Données projet'!$B$15,Paramètres!$A$1:$I$89,3,0)*0.475*44/12</f>
        <v>10.297214222755308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13.154815579750816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9.2583333333333311</v>
      </c>
      <c r="FE106" s="12">
        <f>IF('Données projet'!$A$218&gt;35,FE105+FD106-FM105,IF(A106&lt;'Données projet'!$A$218,$FB$205^A106,IF(A106='Données projet'!$A$218,'Données projet'!$B$218,FE105+FD106-FM105)))</f>
        <v>345.4433333333339</v>
      </c>
      <c r="FF106" s="17">
        <f>FE106*VLOOKUP('Données projet'!$B$16,Paramètres!$A$1:$I$89,3,0)*VLOOKUP('Données projet'!$B$16,Paramètres!$A$1:$I$89,5,0)</f>
        <v>296.3903800000005</v>
      </c>
      <c r="FG106" s="13">
        <f t="shared" si="101"/>
        <v>70.419216186784695</v>
      </c>
      <c r="FH106" s="20">
        <f t="shared" si="76"/>
        <v>638.86004669198417</v>
      </c>
      <c r="FI106" s="59">
        <f t="shared" si="77"/>
        <v>932.19338002531754</v>
      </c>
      <c r="FJ106" s="59">
        <f ca="1">AVERAGE(OFFSET($FI$3,0,0,'Données projet'!$E$16+1,1))-AVERAGE(OFFSET($H$3,0,0,'Données projet'!$E$16+1,1))</f>
        <v>337.15023592377008</v>
      </c>
      <c r="FK106" s="59">
        <f t="shared" si="102"/>
        <v>286.60608582587099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15.045803704143768</v>
      </c>
      <c r="FR106" s="21">
        <f>EXP(-LN(2)/25)*FR105+(1-EXP(-LN(2)/25))/(LN(2)/25)*Calculateur!FM106*Calculateur!FO106*VLOOKUP('Données projet'!$B$16,Paramètres!$A$1:$I$89,3,0)*0.475*44/12</f>
        <v>34.556426445076298</v>
      </c>
      <c r="FS106" s="21">
        <f>EXP(-LN(2)/2)*FS105+(1-EXP(-LN(2)/2))/(LN(2)/2)*FM106*FP106*VLOOKUP('Données projet'!$B$16,Paramètres!$A$1:$I$89,3,0)*0.475*44/12</f>
        <v>0.35676884414062676</v>
      </c>
      <c r="FT106" s="22">
        <f t="shared" si="78"/>
        <v>49.958998993360687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8.9420000000000019</v>
      </c>
      <c r="FZ106" s="12">
        <f>IF('Données projet'!$A$244&gt;35,FZ105+FY106-GH105,IF(A106&lt;'Données projet'!$A$244,$FW$205^A106,IF(A106='Données projet'!$A$244,'Données projet'!$B$244,FZ105+FY106-GH105)))</f>
        <v>393.25800000000055</v>
      </c>
      <c r="GA106" s="17">
        <f>FZ106*VLOOKUP('Données projet'!$B$17,Paramètres!$A$1:$I$89,3,0)*VLOOKUP('Données projet'!$B$17,Paramètres!$A$1:$I$89,5,0)</f>
        <v>355.81983840000049</v>
      </c>
      <c r="GB106" s="13">
        <f t="shared" si="103"/>
        <v>82.759723795307863</v>
      </c>
      <c r="GC106" s="20">
        <f t="shared" si="79"/>
        <v>763.85940415682887</v>
      </c>
      <c r="GD106" s="59">
        <f t="shared" si="80"/>
        <v>1057.1927374901622</v>
      </c>
      <c r="GE106" s="59">
        <f ca="1">AVERAGE(OFFSET($GD$3,0,0,'Données projet'!$E$17+1,1))-AVERAGE(OFFSET($H$3,0,0,'Données projet'!$E$17+1,1))</f>
        <v>486.55344536255876</v>
      </c>
      <c r="GF106" s="59">
        <f t="shared" si="104"/>
        <v>231.14794884432229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23.60952547441445</v>
      </c>
      <c r="GM106" s="21">
        <f>EXP(-LN(2)/25)*GM105+(1-EXP(-LN(2)/25))/(LN(2)/25)*Calculateur!GH106*Calculateur!GJ106*VLOOKUP('Données projet'!$B$17,Paramètres!$A$1:$I$89,3,0)*0.475*44/12</f>
        <v>21.96227371354798</v>
      </c>
      <c r="GN106" s="21">
        <f>EXP(-LN(2)/2)*GN105+(1-EXP(-LN(2)/2))/(LN(2)/2)*GH106*GK106*VLOOKUP('Données projet'!$B$17,Paramètres!$A$1:$I$89,3,0)*0.475*44/12</f>
        <v>0.26216869845378982</v>
      </c>
      <c r="GO106" s="21">
        <f t="shared" si="81"/>
        <v>45.833967886416218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426.42906228094421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252.08270526008477</v>
      </c>
      <c r="T107" s="59">
        <f t="shared" si="88"/>
        <v>239.77811108960179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159.50569776511477</v>
      </c>
      <c r="AA107" s="21">
        <f>EXP(-LN(2)/25)*AA106+(1-EXP(-LN(2)/25))/(LN(2)/25)*Calculateur!V107*Calculateur!X107*VLOOKUP('Données projet'!$B$9,Paramètres!$A$1:$I$89,3,0)*0.475*44/12</f>
        <v>48.899691607593041</v>
      </c>
      <c r="AB107" s="21">
        <f>EXP(-LN(2)/2)*AB106+(1-EXP(-LN(2)/2))/(LN(2)/2)*V107*Y107*VLOOKUP('Données projet'!$B$9,Paramètres!$A$1:$I$89,3,0)*0.475*44/12</f>
        <v>13.67174569857837</v>
      </c>
      <c r="AC107" s="22">
        <f t="shared" si="57"/>
        <v>222.07713507128619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251.64326096359997</v>
      </c>
      <c r="AO107" s="59">
        <f t="shared" si="90"/>
        <v>256.72142151189894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58.098904023015187</v>
      </c>
      <c r="AV107" s="21">
        <f>EXP(-LN(2)/25)*AV106+(1-EXP(-LN(2)/25))/(LN(2)/25)*Calculateur!AQ107*Calculateur!AS107*VLOOKUP('Données projet'!$B$10,Paramètres!$A$1:$I$89,3,0)*0.475*44/12</f>
        <v>14.301973998739067</v>
      </c>
      <c r="AW107" s="21">
        <f>EXP(-LN(2)/2)*AW106+(1-EXP(-LN(2)/2))/(LN(2)/2)*AQ107*AT107*VLOOKUP('Données projet'!$B$10,Paramètres!$A$1:$I$89,3,0)*0.475*44/12</f>
        <v>1.4295921998823522E-5</v>
      </c>
      <c r="AX107" s="21">
        <f t="shared" si="60"/>
        <v>72.400892317676252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199.29783428981898</v>
      </c>
      <c r="BJ107" s="59">
        <f t="shared" si="92"/>
        <v>237.32002274562547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2.4120356432400878</v>
      </c>
      <c r="BQ107" s="21">
        <f>EXP(-LN(2)/25)*BQ106+(1-EXP(-LN(2)/25))/(LN(2)/25)*Calculateur!BL107*Calculateur!BN107*VLOOKUP('Données projet'!$B$11,Paramètres!$A$1:$I$89,3,0)*0.475*44/12</f>
        <v>8.6230614861401076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11.035097129380196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8.7540000000000013</v>
      </c>
      <c r="BY107" s="12">
        <f>IF('Données projet'!$A$114&gt;35,BY106+BX107-CG106,IF(A107&lt;'Données projet'!$A$114,$BV$205^A107,IF(A107='Données projet'!$A$114,'Données projet'!$B$114,BY106+BX107-CG106)))</f>
        <v>312.39400000000012</v>
      </c>
      <c r="BZ107" s="13">
        <f>BY107*VLOOKUP('Données projet'!$B$12,Paramètres!$A$1:$I$89,3,0)*VLOOKUP('Données projet'!$B$12,Paramètres!$A$1:$I$89,5,0)</f>
        <v>263.16070560000014</v>
      </c>
      <c r="CA107" s="13">
        <f t="shared" si="93"/>
        <v>63.395638130473905</v>
      </c>
      <c r="CB107" s="20">
        <f t="shared" si="64"/>
        <v>568.75229866390896</v>
      </c>
      <c r="CC107" s="59">
        <f t="shared" si="65"/>
        <v>862.08563199724222</v>
      </c>
      <c r="CD107" s="59">
        <f ca="1">AVERAGE(OFFSET($CC$3,0,0,'Données projet'!$E$12+1,1))-AVERAGE(OFFSET($H$3,0,0,'Données projet'!$E$12+1,1))</f>
        <v>295.59075210589327</v>
      </c>
      <c r="CE107" s="59">
        <f t="shared" si="94"/>
        <v>210.41181542059576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39.710963329471504</v>
      </c>
      <c r="CL107" s="21">
        <f>EXP(-LN(2)/25)*CL106+(1-EXP(-LN(2)/25))/(LN(2)/25)*Calculateur!CG107*Calculateur!CI107*VLOOKUP('Données projet'!$B$12,Paramètres!$A$1:$I$89,3,0)*0.475*44/12</f>
        <v>22.272619898391831</v>
      </c>
      <c r="CM107" s="21">
        <f>EXP(-LN(2)/2)*CM106+(1-EXP(-LN(2)/2))/(LN(2)/2)*CG107*CJ107*VLOOKUP('Données projet'!$B$12,Paramètres!$A$1:$I$89,3,0)*0.475*44/12</f>
        <v>2.9022117857811867E-3</v>
      </c>
      <c r="CN107" s="22">
        <f t="shared" si="66"/>
        <v>61.986485439649115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1.1368683772161603E-13</v>
      </c>
      <c r="CU107" s="17">
        <f>CT107*VLOOKUP('Données projet'!$B$13,Paramètres!$A$1:$I$89,3,0)*VLOOKUP('Données projet'!$B$13,Paramètres!$A$1:$I$89,5,0)</f>
        <v>5.1727511163335289E-14</v>
      </c>
      <c r="CV107" s="13">
        <f t="shared" si="95"/>
        <v>8.3906664221915895E-13</v>
      </c>
      <c r="CW107" s="20">
        <f t="shared" si="67"/>
        <v>1.551466483807844E-12</v>
      </c>
      <c r="CX107" s="59">
        <f t="shared" si="68"/>
        <v>293.33333333333485</v>
      </c>
      <c r="CY107" s="59">
        <f ca="1">AVERAGE(OFFSET($CX$3,0,0,'Données projet'!$E$13+1,1))-AVERAGE(OFFSET($H$3,0,0,'Données projet'!$E$13+1,1))</f>
        <v>338.22448697444298</v>
      </c>
      <c r="CZ107" s="59">
        <f t="shared" si="96"/>
        <v>293.3872365640849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132.24204712605069</v>
      </c>
      <c r="DG107" s="21">
        <f>EXP(-LN(2)/25)*DG106+(1-EXP(-LN(2)/25))/(LN(2)/25)*Calculateur!DB107*Calculateur!DD107*VLOOKUP('Données projet'!$B$13,Paramètres!$A$1:$I$89,3,0)*0.475*44/12</f>
        <v>38.045613545848568</v>
      </c>
      <c r="DH107" s="21">
        <f>EXP(-LN(2)/2)*DH106+(1-EXP(-LN(2)/2))/(LN(2)/2)*DB107*DE107*VLOOKUP('Données projet'!$B$13,Paramètres!$A$1:$I$89,3,0)*0.475*44/12</f>
        <v>1.975482673836302E-2</v>
      </c>
      <c r="DI107" s="22">
        <f t="shared" si="69"/>
        <v>170.30741549863762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5.6843418860808015E-13</v>
      </c>
      <c r="DP107" s="17">
        <f>DO107*VLOOKUP('Données projet'!$B$14,Paramètres!$A$1:$I$89,3,0)*VLOOKUP('Données projet'!$B$14,Paramètres!$A$1:$I$89,5,0)</f>
        <v>3.177547114319168E-13</v>
      </c>
      <c r="DQ107" s="13">
        <f t="shared" si="97"/>
        <v>4.1725404435445377E-12</v>
      </c>
      <c r="DR107" s="20">
        <f t="shared" si="70"/>
        <v>7.820597394917325E-12</v>
      </c>
      <c r="DS107" s="59">
        <f t="shared" si="71"/>
        <v>293.33333333334116</v>
      </c>
      <c r="DT107" s="59">
        <f ca="1">AVERAGE(OFFSET($DS$3,0,0,'Données projet'!$E$14+1,1))-AVERAGE(OFFSET($H$3,0,0,'Données projet'!$E$14+1,1))</f>
        <v>328.15217666639006</v>
      </c>
      <c r="DU107" s="59">
        <f t="shared" si="98"/>
        <v>305.59175773326308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117.68203173250834</v>
      </c>
      <c r="EB107" s="21">
        <f>EXP(-LN(2)/25)*EB106+(1-EXP(-LN(2)/25))/(LN(2)/25)*Calculateur!DW107*Calculateur!DY107*VLOOKUP('Données projet'!$B$14,Paramètres!$A$1:$I$89,3,0)*0.475*44/12</f>
        <v>29.903302315761721</v>
      </c>
      <c r="EC107" s="21">
        <f>EXP(-LN(2)/2)*EC106+(1-EXP(-LN(2)/2))/(LN(2)/2)*DW107*DZ107*VLOOKUP('Données projet'!$B$14,Paramètres!$A$1:$I$89,3,0)*0.475*44/12</f>
        <v>5.7606143434768607E-4</v>
      </c>
      <c r="ED107" s="22">
        <f t="shared" si="72"/>
        <v>147.5859101097044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159.78276497127206</v>
      </c>
      <c r="EP107" s="59">
        <f t="shared" si="100"/>
        <v>190.72163407919857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2.8015655373495498</v>
      </c>
      <c r="EW107" s="21">
        <f>EXP(-LN(2)/25)*EW106+(1-EXP(-LN(2)/25))/(LN(2)/25)*Calculateur!ER107*Calculateur!ET107*VLOOKUP('Données projet'!$B$15,Paramètres!$A$1:$I$89,3,0)*0.475*44/12</f>
        <v>10.015636358327102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12.817201895676652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9.2583333333333311</v>
      </c>
      <c r="FE107" s="12">
        <f>IF('Données projet'!$A$218&gt;35,FE106+FD107-FM106,IF(A107&lt;'Données projet'!$A$218,$FB$205^A107,IF(A107='Données projet'!$A$218,'Données projet'!$B$218,FE106+FD107-FM106)))</f>
        <v>354.70166666666722</v>
      </c>
      <c r="FF107" s="17">
        <f>FE107*VLOOKUP('Données projet'!$B$16,Paramètres!$A$1:$I$89,3,0)*VLOOKUP('Données projet'!$B$16,Paramètres!$A$1:$I$89,5,0)</f>
        <v>304.3340300000005</v>
      </c>
      <c r="FG107" s="13">
        <f t="shared" si="101"/>
        <v>72.084282776501581</v>
      </c>
      <c r="FH107" s="20">
        <f t="shared" si="76"/>
        <v>655.59522808574116</v>
      </c>
      <c r="FI107" s="59">
        <f t="shared" si="77"/>
        <v>948.92856141907441</v>
      </c>
      <c r="FJ107" s="59">
        <f ca="1">AVERAGE(OFFSET($FI$3,0,0,'Données projet'!$E$16+1,1))-AVERAGE(OFFSET($H$3,0,0,'Données projet'!$E$16+1,1))</f>
        <v>337.15023592377008</v>
      </c>
      <c r="FK107" s="59">
        <f t="shared" si="102"/>
        <v>286.60608582587099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14.750764670539612</v>
      </c>
      <c r="FR107" s="21">
        <f>EXP(-LN(2)/25)*FR106+(1-EXP(-LN(2)/25))/(LN(2)/25)*Calculateur!FM107*Calculateur!FO107*VLOOKUP('Données projet'!$B$16,Paramètres!$A$1:$I$89,3,0)*0.475*44/12</f>
        <v>33.611479146692197</v>
      </c>
      <c r="FS107" s="21">
        <f>EXP(-LN(2)/2)*FS106+(1-EXP(-LN(2)/2))/(LN(2)/2)*FM107*FP107*VLOOKUP('Données projet'!$B$16,Paramètres!$A$1:$I$89,3,0)*0.475*44/12</f>
        <v>0.25227366900792364</v>
      </c>
      <c r="FT107" s="22">
        <f t="shared" si="78"/>
        <v>48.614517486239734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>
        <f>VLOOKUP(A107,'Données projet'!$A$243:$I$263,2,0)</f>
        <v>402.2</v>
      </c>
      <c r="FX107" s="12">
        <f>VLOOKUP(A107,'Données projet'!$A$243:$I$263,9,0)</f>
        <v>8.9420000000000019</v>
      </c>
      <c r="FY107" s="12">
        <f t="array" ref="FY107">INDEX(FX:FX,MIN(IF(ISNUMBER(FX107:FX303),ROW(FX107:FX303),"")))</f>
        <v>8.9420000000000019</v>
      </c>
      <c r="FZ107" s="12">
        <f>IF('Données projet'!$A$244&gt;35,FZ106+FY107-GH106,IF(A107&lt;'Données projet'!$A$244,$FW$205^A107,IF(A107='Données projet'!$A$244,'Données projet'!$B$244,FZ106+FY107-GH106)))</f>
        <v>402.20000000000056</v>
      </c>
      <c r="GA107" s="17">
        <f>FZ107*VLOOKUP('Données projet'!$B$17,Paramètres!$A$1:$I$89,3,0)*VLOOKUP('Données projet'!$B$17,Paramètres!$A$1:$I$89,5,0)</f>
        <v>363.91056000000049</v>
      </c>
      <c r="GB107" s="13">
        <f t="shared" si="103"/>
        <v>84.42031043556446</v>
      </c>
      <c r="GC107" s="20">
        <f t="shared" si="79"/>
        <v>780.84293267527562</v>
      </c>
      <c r="GD107" s="59">
        <f t="shared" si="80"/>
        <v>1074.176266008609</v>
      </c>
      <c r="GE107" s="59">
        <f ca="1">AVERAGE(OFFSET($GD$3,0,0,'Données projet'!$E$17+1,1))-AVERAGE(OFFSET($H$3,0,0,'Données projet'!$E$17+1,1))</f>
        <v>486.55344536255876</v>
      </c>
      <c r="GF107" s="59">
        <f t="shared" si="104"/>
        <v>231.14794884432229</v>
      </c>
      <c r="GG107" s="15">
        <f>IF(ISNA(VLOOKUP(A107,'Données projet'!$A$243:$I$263,3,0)),0,VLOOKUP(A107,'Données projet'!$A$243:$I$263,3,0))</f>
        <v>8</v>
      </c>
      <c r="GH107" s="15">
        <f>IF(ISNA(VLOOKUP(A107,'Données projet'!$A$243:$I$263,4,0)),0,VLOOKUP(A107,'Données projet'!$A$243:$I$263,4,0))</f>
        <v>66.089999999999975</v>
      </c>
      <c r="GI107" s="16">
        <f>IF(ISNA(VLOOKUP(A107,'Données projet'!$A$243:$I$263,5,0)),0%,VLOOKUP(A107,'Données projet'!$A$243:$I$263,5,0)*VLOOKUP('Données projet'!$B$17,Paramètres!$A$1:$I$89,7,0))</f>
        <v>0.15049999999999999</v>
      </c>
      <c r="GJ107" s="16">
        <f>IF(ISNA(VLOOKUP(A107,'Données projet'!$A$243:$I$263,6,0)),0%,VLOOKUP(A107,'Données projet'!$A$243:$I$263,6,0)*VLOOKUP('Données projet'!$B$17,Paramètres!$A$1:$I$89,7,0))</f>
        <v>8.6000000000000007E-2</v>
      </c>
      <c r="GK107" s="16">
        <f>IF(ISNA(VLOOKUP(A107,'Données projet'!$A$243:$I$263,7,0)),0%,VLOOKUP(A107,'Données projet'!$A$243:$I$263,7,0))</f>
        <v>0.1</v>
      </c>
      <c r="GL107" s="21">
        <f>EXP(-LN(2)/35)*GL106+(1-EXP(-LN(2)/35))/(LN(2)/35)*GH107*GI107*VLOOKUP('Données projet'!$B$17,Paramètres!$A$1:$I$89,3,0)*0.475*44/12</f>
        <v>33.09538580102793</v>
      </c>
      <c r="GM107" s="21">
        <f>EXP(-LN(2)/25)*GM106+(1-EXP(-LN(2)/25))/(LN(2)/25)*Calculateur!GH107*Calculateur!GJ107*VLOOKUP('Données projet'!$B$17,Paramètres!$A$1:$I$89,3,0)*0.475*44/12</f>
        <v>27.024374978935796</v>
      </c>
      <c r="GN107" s="21">
        <f>EXP(-LN(2)/2)*GN106+(1-EXP(-LN(2)/2))/(LN(2)/2)*GH107*GK107*VLOOKUP('Données projet'!$B$17,Paramètres!$A$1:$I$89,3,0)*0.475*44/12</f>
        <v>5.8275053982732432</v>
      </c>
      <c r="GO107" s="21">
        <f t="shared" si="81"/>
        <v>65.947266178236973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428.01985626539664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252.08270526008477</v>
      </c>
      <c r="T108" s="59">
        <f t="shared" si="88"/>
        <v>239.77811108960179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156.37788832081003</v>
      </c>
      <c r="AA108" s="21">
        <f>EXP(-LN(2)/25)*AA107+(1-EXP(-LN(2)/25))/(LN(2)/25)*Calculateur!V108*Calculateur!X108*VLOOKUP('Données projet'!$B$9,Paramètres!$A$1:$I$89,3,0)*0.475*44/12</f>
        <v>47.562526969060393</v>
      </c>
      <c r="AB108" s="21">
        <f>EXP(-LN(2)/2)*AB107+(1-EXP(-LN(2)/2))/(LN(2)/2)*V108*Y108*VLOOKUP('Données projet'!$B$9,Paramètres!$A$1:$I$89,3,0)*0.475*44/12</f>
        <v>9.6673840941227791</v>
      </c>
      <c r="AC108" s="22">
        <f t="shared" si="57"/>
        <v>213.60779938399321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251.64326096359997</v>
      </c>
      <c r="AO108" s="59">
        <f t="shared" si="90"/>
        <v>256.72142151189894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56.959619951956213</v>
      </c>
      <c r="AV108" s="21">
        <f>EXP(-LN(2)/25)*AV107+(1-EXP(-LN(2)/25))/(LN(2)/25)*Calculateur!AQ108*Calculateur!AS108*VLOOKUP('Données projet'!$B$10,Paramètres!$A$1:$I$89,3,0)*0.475*44/12</f>
        <v>13.910885767635422</v>
      </c>
      <c r="AW108" s="21">
        <f>EXP(-LN(2)/2)*AW107+(1-EXP(-LN(2)/2))/(LN(2)/2)*AQ108*AT108*VLOOKUP('Données projet'!$B$10,Paramètres!$A$1:$I$89,3,0)*0.475*44/12</f>
        <v>1.0108743388682055E-5</v>
      </c>
      <c r="AX108" s="21">
        <f t="shared" si="60"/>
        <v>70.870515828335016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199.29783428981898</v>
      </c>
      <c r="BJ108" s="59">
        <f t="shared" si="92"/>
        <v>237.32002274562547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2.3647370954726235</v>
      </c>
      <c r="BQ108" s="21">
        <f>EXP(-LN(2)/25)*BQ107+(1-EXP(-LN(2)/25))/(LN(2)/25)*Calculateur!BL108*Calculateur!BN108*VLOOKUP('Données projet'!$B$11,Paramètres!$A$1:$I$89,3,0)*0.475*44/12</f>
        <v>8.3872634163345108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10.752000511807134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8.7540000000000013</v>
      </c>
      <c r="BY108" s="12">
        <f>IF('Données projet'!$A$114&gt;35,BY107+BX108-CG107,IF(A108&lt;'Données projet'!$A$114,$BV$205^A108,IF(A108='Données projet'!$A$114,'Données projet'!$B$114,BY107+BX108-CG107)))</f>
        <v>321.14800000000014</v>
      </c>
      <c r="BZ108" s="13">
        <f>BY108*VLOOKUP('Données projet'!$B$12,Paramètres!$A$1:$I$89,3,0)*VLOOKUP('Données projet'!$B$12,Paramètres!$A$1:$I$89,5,0)</f>
        <v>270.53507520000011</v>
      </c>
      <c r="CA108" s="13">
        <f t="shared" si="93"/>
        <v>64.962812661895299</v>
      </c>
      <c r="CB108" s="20">
        <f t="shared" si="64"/>
        <v>584.32548802613439</v>
      </c>
      <c r="CC108" s="59">
        <f t="shared" si="65"/>
        <v>877.65882135946777</v>
      </c>
      <c r="CD108" s="59">
        <f ca="1">AVERAGE(OFFSET($CC$3,0,0,'Données projet'!$E$12+1,1))-AVERAGE(OFFSET($H$3,0,0,'Données projet'!$E$12+1,1))</f>
        <v>295.59075210589327</v>
      </c>
      <c r="CE108" s="59">
        <f t="shared" si="94"/>
        <v>210.41181542059576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38.932255559876545</v>
      </c>
      <c r="CL108" s="21">
        <f>EXP(-LN(2)/25)*CL107+(1-EXP(-LN(2)/25))/(LN(2)/25)*Calculateur!CG108*Calculateur!CI108*VLOOKUP('Données projet'!$B$12,Paramètres!$A$1:$I$89,3,0)*0.475*44/12</f>
        <v>21.663573936004131</v>
      </c>
      <c r="CM108" s="21">
        <f>EXP(-LN(2)/2)*CM107+(1-EXP(-LN(2)/2))/(LN(2)/2)*CG108*CJ108*VLOOKUP('Données projet'!$B$12,Paramètres!$A$1:$I$89,3,0)*0.475*44/12</f>
        <v>2.0521736341653969E-3</v>
      </c>
      <c r="CN108" s="22">
        <f t="shared" si="66"/>
        <v>60.597881669514841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1.1368683772161603E-13</v>
      </c>
      <c r="CU108" s="17">
        <f>CT108*VLOOKUP('Données projet'!$B$13,Paramètres!$A$1:$I$89,3,0)*VLOOKUP('Données projet'!$B$13,Paramètres!$A$1:$I$89,5,0)</f>
        <v>5.1727511163335289E-14</v>
      </c>
      <c r="CV108" s="13">
        <f t="shared" si="95"/>
        <v>8.3906664221915895E-13</v>
      </c>
      <c r="CW108" s="20">
        <f t="shared" si="67"/>
        <v>1.551466483807844E-12</v>
      </c>
      <c r="CX108" s="59">
        <f t="shared" si="68"/>
        <v>293.33333333333485</v>
      </c>
      <c r="CY108" s="59">
        <f ca="1">AVERAGE(OFFSET($CX$3,0,0,'Données projet'!$E$13+1,1))-AVERAGE(OFFSET($H$3,0,0,'Données projet'!$E$13+1,1))</f>
        <v>338.22448697444298</v>
      </c>
      <c r="CZ108" s="59">
        <f t="shared" si="96"/>
        <v>293.3872365640849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129.6488612415931</v>
      </c>
      <c r="DG108" s="21">
        <f>EXP(-LN(2)/25)*DG107+(1-EXP(-LN(2)/25))/(LN(2)/25)*Calculateur!DB108*Calculateur!DD108*VLOOKUP('Données projet'!$B$13,Paramètres!$A$1:$I$89,3,0)*0.475*44/12</f>
        <v>37.005254242705476</v>
      </c>
      <c r="DH108" s="21">
        <f>EXP(-LN(2)/2)*DH107+(1-EXP(-LN(2)/2))/(LN(2)/2)*DB108*DE108*VLOOKUP('Données projet'!$B$13,Paramètres!$A$1:$I$89,3,0)*0.475*44/12</f>
        <v>1.3968771947861818E-2</v>
      </c>
      <c r="DI108" s="22">
        <f t="shared" si="69"/>
        <v>166.66808425624646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5.6843418860808015E-13</v>
      </c>
      <c r="DP108" s="17">
        <f>DO108*VLOOKUP('Données projet'!$B$14,Paramètres!$A$1:$I$89,3,0)*VLOOKUP('Données projet'!$B$14,Paramètres!$A$1:$I$89,5,0)</f>
        <v>3.177547114319168E-13</v>
      </c>
      <c r="DQ108" s="13">
        <f t="shared" si="97"/>
        <v>4.1725404435445377E-12</v>
      </c>
      <c r="DR108" s="20">
        <f t="shared" si="70"/>
        <v>7.820597394917325E-12</v>
      </c>
      <c r="DS108" s="59">
        <f t="shared" si="71"/>
        <v>293.33333333334116</v>
      </c>
      <c r="DT108" s="59">
        <f ca="1">AVERAGE(OFFSET($DS$3,0,0,'Données projet'!$E$14+1,1))-AVERAGE(OFFSET($H$3,0,0,'Données projet'!$E$14+1,1))</f>
        <v>328.15217666639006</v>
      </c>
      <c r="DU108" s="59">
        <f t="shared" si="98"/>
        <v>305.59175773326308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115.37435886918563</v>
      </c>
      <c r="EB108" s="21">
        <f>EXP(-LN(2)/25)*EB107+(1-EXP(-LN(2)/25))/(LN(2)/25)*Calculateur!DW108*Calculateur!DY108*VLOOKUP('Données projet'!$B$14,Paramètres!$A$1:$I$89,3,0)*0.475*44/12</f>
        <v>29.085594941390891</v>
      </c>
      <c r="EC108" s="21">
        <f>EXP(-LN(2)/2)*EC107+(1-EXP(-LN(2)/2))/(LN(2)/2)*DW108*DZ108*VLOOKUP('Données projet'!$B$14,Paramètres!$A$1:$I$89,3,0)*0.475*44/12</f>
        <v>4.0733694660729798E-4</v>
      </c>
      <c r="ED108" s="22">
        <f t="shared" si="72"/>
        <v>144.46036114752312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159.78276497127206</v>
      </c>
      <c r="EP108" s="59">
        <f t="shared" si="100"/>
        <v>190.72163407919857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2.7466285459483744</v>
      </c>
      <c r="EW108" s="21">
        <f>EXP(-LN(2)/25)*EW107+(1-EXP(-LN(2)/25))/(LN(2)/25)*Calculateur!ER108*Calculateur!ET108*VLOOKUP('Données projet'!$B$15,Paramètres!$A$1:$I$89,3,0)*0.475*44/12</f>
        <v>9.7417582554092217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12.488386801357596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363.96</v>
      </c>
      <c r="FC108" s="12">
        <f>VLOOKUP(A108,'Données projet'!$A$217:$I$237,9,0)</f>
        <v>9.2583333333333311</v>
      </c>
      <c r="FD108" s="12">
        <f t="array" ref="FD108">INDEX(FC:FC,MIN(IF(ISNUMBER(FC108:FC304),ROW(FC108:FC304),"")))</f>
        <v>9.2583333333333311</v>
      </c>
      <c r="FE108" s="12">
        <f>IF('Données projet'!$A$218&gt;35,FE107+FD108-FM107,IF(A108&lt;'Données projet'!$A$218,$FB$205^A108,IF(A108='Données projet'!$A$218,'Données projet'!$B$218,FE107+FD108-FM107)))</f>
        <v>363.96000000000055</v>
      </c>
      <c r="FF108" s="17">
        <f>FE108*VLOOKUP('Données projet'!$B$16,Paramètres!$A$1:$I$89,3,0)*VLOOKUP('Données projet'!$B$16,Paramètres!$A$1:$I$89,5,0)</f>
        <v>312.27768000000049</v>
      </c>
      <c r="FG108" s="13">
        <f t="shared" si="101"/>
        <v>73.744297559707078</v>
      </c>
      <c r="FH108" s="20">
        <f t="shared" si="76"/>
        <v>672.32161091649061</v>
      </c>
      <c r="FI108" s="59">
        <f t="shared" si="77"/>
        <v>965.65494424982398</v>
      </c>
      <c r="FJ108" s="59">
        <f ca="1">AVERAGE(OFFSET($FI$3,0,0,'Données projet'!$E$16+1,1))-AVERAGE(OFFSET($H$3,0,0,'Données projet'!$E$16+1,1))</f>
        <v>337.15023592377008</v>
      </c>
      <c r="FK108" s="59">
        <f t="shared" si="102"/>
        <v>286.60608582587099</v>
      </c>
      <c r="FL108" s="15">
        <f>IF(ISNA(VLOOKUP(A108,'Données projet'!$A$217:$I$237,3,0)),0,VLOOKUP(A108,'Données projet'!$A$217:$I$237,3,0))</f>
        <v>6</v>
      </c>
      <c r="FM108" s="15">
        <f>IF(ISNA(VLOOKUP(A108,'Données projet'!$A$217:$I$237,4,0)),0,VLOOKUP(A108,'Données projet'!$A$217:$I$237,4,0))</f>
        <v>83.739999999999952</v>
      </c>
      <c r="FN108" s="16">
        <f>IF(ISNA(VLOOKUP(A108,'Données projet'!$A$217:$I$237,5,0)),0%,VLOOKUP(A108,'Données projet'!$A$217:$I$237,5,0)*VLOOKUP('Données projet'!$B$16,Paramètres!$A$1:$I$89,7,0))</f>
        <v>0.159</v>
      </c>
      <c r="FO108" s="16">
        <f>IF(ISNA(VLOOKUP(A108,'Données projet'!$A$217:$I$237,6,0)),0%,VLOOKUP(A108,'Données projet'!$A$217:$I$237,6,0)*VLOOKUP('Données projet'!$B$16,Paramètres!$A$1:$I$89,7,0))</f>
        <v>0.10600000000000001</v>
      </c>
      <c r="FP108" s="16">
        <f>IF(ISNA(VLOOKUP(A108,'Données projet'!$A$217:$I$237,7,0)),0%,VLOOKUP(A108,'Données projet'!$A$217:$I$237,7,0))</f>
        <v>0.2</v>
      </c>
      <c r="FQ108" s="21">
        <f>EXP(-LN(2)/35)*FQ107+(1-EXP(-LN(2)/35))/(LN(2)/35)*FM108*FN108*VLOOKUP('Données projet'!$B$16,Paramètres!$A$1:$I$89,3,0)*0.475*44/12</f>
        <v>27.090380777396163</v>
      </c>
      <c r="FR108" s="21">
        <f>EXP(-LN(2)/25)*FR107+(1-EXP(-LN(2)/25))/(LN(2)/25)*Calculateur!FM108*Calculateur!FO108*VLOOKUP('Données projet'!$B$16,Paramètres!$A$1:$I$89,3,0)*0.475*44/12</f>
        <v>41.078468104112659</v>
      </c>
      <c r="FS108" s="21">
        <f>EXP(-LN(2)/2)*FS107+(1-EXP(-LN(2)/2))/(LN(2)/2)*FM108*FP108*VLOOKUP('Données projet'!$B$16,Paramètres!$A$1:$I$89,3,0)*0.475*44/12</f>
        <v>13.736662383136181</v>
      </c>
      <c r="FT108" s="22">
        <f t="shared" si="78"/>
        <v>81.905511264645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8.8449999999999989</v>
      </c>
      <c r="FZ108" s="12">
        <f>IF('Données projet'!$A$244&gt;35,FZ107+FY108-GH107,IF(A108&lt;'Données projet'!$A$244,$FW$205^A108,IF(A108='Données projet'!$A$244,'Données projet'!$B$244,FZ107+FY108-GH107)))</f>
        <v>344.95500000000055</v>
      </c>
      <c r="GA108" s="17">
        <f>FZ108*VLOOKUP('Données projet'!$B$17,Paramètres!$A$1:$I$89,3,0)*VLOOKUP('Données projet'!$B$17,Paramètres!$A$1:$I$89,5,0)</f>
        <v>312.11528400000049</v>
      </c>
      <c r="GB108" s="13">
        <f t="shared" si="103"/>
        <v>73.71041067221141</v>
      </c>
      <c r="GC108" s="20">
        <f t="shared" si="79"/>
        <v>671.97975155410234</v>
      </c>
      <c r="GD108" s="59">
        <f t="shared" si="80"/>
        <v>965.31308488743571</v>
      </c>
      <c r="GE108" s="59">
        <f ca="1">AVERAGE(OFFSET($GD$3,0,0,'Données projet'!$E$17+1,1))-AVERAGE(OFFSET($H$3,0,0,'Données projet'!$E$17+1,1))</f>
        <v>486.55344536255876</v>
      </c>
      <c r="GF108" s="59">
        <f t="shared" si="104"/>
        <v>231.14794884432229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32.44640547166189</v>
      </c>
      <c r="GM108" s="21">
        <f>EXP(-LN(2)/25)*GM107+(1-EXP(-LN(2)/25))/(LN(2)/25)*Calculateur!GH108*Calculateur!GJ108*VLOOKUP('Données projet'!$B$17,Paramètres!$A$1:$I$89,3,0)*0.475*44/12</f>
        <v>26.285392023986681</v>
      </c>
      <c r="GN108" s="21">
        <f>EXP(-LN(2)/2)*GN107+(1-EXP(-LN(2)/2))/(LN(2)/2)*GH108*GK108*VLOOKUP('Données projet'!$B$17,Paramètres!$A$1:$I$89,3,0)*0.475*44/12</f>
        <v>4.1206685845202227</v>
      </c>
      <c r="GO108" s="21">
        <f t="shared" si="81"/>
        <v>62.852466080168796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429.61030256290928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252.08270526008477</v>
      </c>
      <c r="T109" s="59">
        <f t="shared" si="88"/>
        <v>239.77811108960179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153.31141331193271</v>
      </c>
      <c r="AA109" s="21">
        <f>EXP(-LN(2)/25)*AA108+(1-EXP(-LN(2)/25))/(LN(2)/25)*Calculateur!V109*Calculateur!X109*VLOOKUP('Données projet'!$B$9,Paramètres!$A$1:$I$89,3,0)*0.475*44/12</f>
        <v>46.261927167886846</v>
      </c>
      <c r="AB109" s="21">
        <f>EXP(-LN(2)/2)*AB108+(1-EXP(-LN(2)/2))/(LN(2)/2)*V109*Y109*VLOOKUP('Données projet'!$B$9,Paramètres!$A$1:$I$89,3,0)*0.475*44/12</f>
        <v>6.8358728492891867</v>
      </c>
      <c r="AC109" s="22">
        <f t="shared" si="57"/>
        <v>206.40921332910875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251.64326096359997</v>
      </c>
      <c r="AO109" s="59">
        <f t="shared" si="90"/>
        <v>256.72142151189894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55.842676546636042</v>
      </c>
      <c r="AV109" s="21">
        <f>EXP(-LN(2)/25)*AV108+(1-EXP(-LN(2)/25))/(LN(2)/25)*Calculateur!AQ109*Calculateur!AS109*VLOOKUP('Données projet'!$B$10,Paramètres!$A$1:$I$89,3,0)*0.475*44/12</f>
        <v>13.530491864777742</v>
      </c>
      <c r="AW109" s="21">
        <f>EXP(-LN(2)/2)*AW108+(1-EXP(-LN(2)/2))/(LN(2)/2)*AQ109*AT109*VLOOKUP('Données projet'!$B$10,Paramètres!$A$1:$I$89,3,0)*0.475*44/12</f>
        <v>7.147960999411761E-6</v>
      </c>
      <c r="AX109" s="21">
        <f t="shared" si="60"/>
        <v>69.373175559374786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199.29783428981898</v>
      </c>
      <c r="BJ109" s="59">
        <f t="shared" si="92"/>
        <v>237.32002274562547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2.3183660433776137</v>
      </c>
      <c r="BQ109" s="21">
        <f>EXP(-LN(2)/25)*BQ108+(1-EXP(-LN(2)/25))/(LN(2)/25)*Calculateur!BL109*Calculateur!BN109*VLOOKUP('Données projet'!$B$11,Paramètres!$A$1:$I$89,3,0)*0.475*44/12</f>
        <v>8.157913257147829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10.476279300525443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8.7540000000000013</v>
      </c>
      <c r="BY109" s="12">
        <f>IF('Données projet'!$A$114&gt;35,BY108+BX109-CG108,IF(A109&lt;'Données projet'!$A$114,$BV$205^A109,IF(A109='Données projet'!$A$114,'Données projet'!$B$114,BY108+BX109-CG108)))</f>
        <v>329.90200000000016</v>
      </c>
      <c r="BZ109" s="13">
        <f>BY109*VLOOKUP('Données projet'!$B$12,Paramètres!$A$1:$I$89,3,0)*VLOOKUP('Données projet'!$B$12,Paramètres!$A$1:$I$89,5,0)</f>
        <v>277.90944480000019</v>
      </c>
      <c r="CA109" s="13">
        <f t="shared" si="93"/>
        <v>66.525021959543892</v>
      </c>
      <c r="CB109" s="20">
        <f t="shared" si="64"/>
        <v>599.89002960620599</v>
      </c>
      <c r="CC109" s="59">
        <f t="shared" si="65"/>
        <v>893.22336293953936</v>
      </c>
      <c r="CD109" s="59">
        <f ca="1">AVERAGE(OFFSET($CC$3,0,0,'Données projet'!$E$12+1,1))-AVERAGE(OFFSET($H$3,0,0,'Données projet'!$E$12+1,1))</f>
        <v>295.59075210589327</v>
      </c>
      <c r="CE109" s="59">
        <f t="shared" si="94"/>
        <v>210.41181542059576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38.168817774678502</v>
      </c>
      <c r="CL109" s="21">
        <f>EXP(-LN(2)/25)*CL108+(1-EXP(-LN(2)/25))/(LN(2)/25)*Calculateur!CG109*Calculateur!CI109*VLOOKUP('Données projet'!$B$12,Paramètres!$A$1:$I$89,3,0)*0.475*44/12</f>
        <v>21.071182367486259</v>
      </c>
      <c r="CM109" s="21">
        <f>EXP(-LN(2)/2)*CM108+(1-EXP(-LN(2)/2))/(LN(2)/2)*CG109*CJ109*VLOOKUP('Données projet'!$B$12,Paramètres!$A$1:$I$89,3,0)*0.475*44/12</f>
        <v>1.4511058928905933E-3</v>
      </c>
      <c r="CN109" s="22">
        <f t="shared" si="66"/>
        <v>59.241451248057651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1.1368683772161603E-13</v>
      </c>
      <c r="CU109" s="17">
        <f>CT109*VLOOKUP('Données projet'!$B$13,Paramètres!$A$1:$I$89,3,0)*VLOOKUP('Données projet'!$B$13,Paramètres!$A$1:$I$89,5,0)</f>
        <v>5.1727511163335289E-14</v>
      </c>
      <c r="CV109" s="13">
        <f t="shared" si="95"/>
        <v>8.3906664221915895E-13</v>
      </c>
      <c r="CW109" s="20">
        <f t="shared" si="67"/>
        <v>1.551466483807844E-12</v>
      </c>
      <c r="CX109" s="59">
        <f t="shared" si="68"/>
        <v>293.33333333333485</v>
      </c>
      <c r="CY109" s="59">
        <f ca="1">AVERAGE(OFFSET($CX$3,0,0,'Données projet'!$E$13+1,1))-AVERAGE(OFFSET($H$3,0,0,'Données projet'!$E$13+1,1))</f>
        <v>338.22448697444298</v>
      </c>
      <c r="CZ109" s="59">
        <f t="shared" si="96"/>
        <v>293.3872365640849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127.10652615064251</v>
      </c>
      <c r="DG109" s="21">
        <f>EXP(-LN(2)/25)*DG108+(1-EXP(-LN(2)/25))/(LN(2)/25)*Calculateur!DB109*Calculateur!DD109*VLOOKUP('Données projet'!$B$13,Paramètres!$A$1:$I$89,3,0)*0.475*44/12</f>
        <v>35.993343619416947</v>
      </c>
      <c r="DH109" s="21">
        <f>EXP(-LN(2)/2)*DH108+(1-EXP(-LN(2)/2))/(LN(2)/2)*DB109*DE109*VLOOKUP('Données projet'!$B$13,Paramètres!$A$1:$I$89,3,0)*0.475*44/12</f>
        <v>9.8774133691815098E-3</v>
      </c>
      <c r="DI109" s="22">
        <f t="shared" si="69"/>
        <v>163.10974718342862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5.6843418860808015E-13</v>
      </c>
      <c r="DP109" s="17">
        <f>DO109*VLOOKUP('Données projet'!$B$14,Paramètres!$A$1:$I$89,3,0)*VLOOKUP('Données projet'!$B$14,Paramètres!$A$1:$I$89,5,0)</f>
        <v>3.177547114319168E-13</v>
      </c>
      <c r="DQ109" s="13">
        <f t="shared" si="97"/>
        <v>4.1725404435445377E-12</v>
      </c>
      <c r="DR109" s="20">
        <f t="shared" si="70"/>
        <v>7.820597394917325E-12</v>
      </c>
      <c r="DS109" s="59">
        <f t="shared" si="71"/>
        <v>293.33333333334116</v>
      </c>
      <c r="DT109" s="59">
        <f ca="1">AVERAGE(OFFSET($DS$3,0,0,'Données projet'!$E$14+1,1))-AVERAGE(OFFSET($H$3,0,0,'Données projet'!$E$14+1,1))</f>
        <v>328.15217666639006</v>
      </c>
      <c r="DU109" s="59">
        <f t="shared" si="98"/>
        <v>305.59175773326308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113.11193806317121</v>
      </c>
      <c r="EB109" s="21">
        <f>EXP(-LN(2)/25)*EB108+(1-EXP(-LN(2)/25))/(LN(2)/25)*Calculateur!DW109*Calculateur!DY109*VLOOKUP('Données projet'!$B$14,Paramètres!$A$1:$I$89,3,0)*0.475*44/12</f>
        <v>28.290247818173594</v>
      </c>
      <c r="EC109" s="21">
        <f>EXP(-LN(2)/2)*EC108+(1-EXP(-LN(2)/2))/(LN(2)/2)*DW109*DZ109*VLOOKUP('Données projet'!$B$14,Paramètres!$A$1:$I$89,3,0)*0.475*44/12</f>
        <v>2.8803071717384304E-4</v>
      </c>
      <c r="ED109" s="22">
        <f t="shared" si="72"/>
        <v>141.40247391206196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159.78276497127206</v>
      </c>
      <c r="EP109" s="59">
        <f t="shared" si="100"/>
        <v>190.72163407919857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2.6927688354403196</v>
      </c>
      <c r="EW109" s="21">
        <f>EXP(-LN(2)/25)*EW108+(1-EXP(-LN(2)/25))/(LN(2)/25)*Calculateur!ER109*Calculateur!ET109*VLOOKUP('Données projet'!$B$15,Paramètres!$A$1:$I$89,3,0)*0.475*44/12</f>
        <v>9.4753693636182543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12.168138199058575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8.4449999999999985</v>
      </c>
      <c r="FE109" s="12">
        <f>IF('Données projet'!$A$218&gt;35,FE108+FD109-FM108,IF(A109&lt;'Données projet'!$A$218,$FB$205^A109,IF(A109='Données projet'!$A$218,'Données projet'!$B$218,FE108+FD109-FM108)))</f>
        <v>288.66500000000059</v>
      </c>
      <c r="FF109" s="17">
        <f>FE109*VLOOKUP('Données projet'!$B$16,Paramètres!$A$1:$I$89,3,0)*VLOOKUP('Données projet'!$B$16,Paramètres!$A$1:$I$89,5,0)</f>
        <v>247.67457000000053</v>
      </c>
      <c r="FG109" s="13">
        <f t="shared" si="101"/>
        <v>60.08771450591631</v>
      </c>
      <c r="FH109" s="20">
        <f t="shared" si="76"/>
        <v>536.0193121811385</v>
      </c>
      <c r="FI109" s="59">
        <f t="shared" si="77"/>
        <v>829.35264551447176</v>
      </c>
      <c r="FJ109" s="59">
        <f ca="1">AVERAGE(OFFSET($FI$3,0,0,'Données projet'!$E$16+1,1))-AVERAGE(OFFSET($H$3,0,0,'Données projet'!$E$16+1,1))</f>
        <v>337.15023592377008</v>
      </c>
      <c r="FK109" s="59">
        <f t="shared" si="102"/>
        <v>286.60608582587099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26.559154933852138</v>
      </c>
      <c r="FR109" s="21">
        <f>EXP(-LN(2)/25)*FR108+(1-EXP(-LN(2)/25))/(LN(2)/25)*Calculateur!FM109*Calculateur!FO109*VLOOKUP('Données projet'!$B$16,Paramètres!$A$1:$I$89,3,0)*0.475*44/12</f>
        <v>39.955175233582949</v>
      </c>
      <c r="FS109" s="21">
        <f>EXP(-LN(2)/2)*FS108+(1-EXP(-LN(2)/2))/(LN(2)/2)*FM109*FP109*VLOOKUP('Données projet'!$B$16,Paramètres!$A$1:$I$89,3,0)*0.475*44/12</f>
        <v>9.7132871219857542</v>
      </c>
      <c r="FT109" s="22">
        <f t="shared" si="78"/>
        <v>76.227617289420849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8.8449999999999989</v>
      </c>
      <c r="FZ109" s="12">
        <f>IF('Données projet'!$A$244&gt;35,FZ108+FY109-GH108,IF(A109&lt;'Données projet'!$A$244,$FW$205^A109,IF(A109='Données projet'!$A$244,'Données projet'!$B$244,FZ108+FY109-GH108)))</f>
        <v>353.80000000000052</v>
      </c>
      <c r="GA109" s="17">
        <f>FZ109*VLOOKUP('Données projet'!$B$17,Paramètres!$A$1:$I$89,3,0)*VLOOKUP('Données projet'!$B$17,Paramètres!$A$1:$I$89,5,0)</f>
        <v>320.11824000000047</v>
      </c>
      <c r="GB109" s="13">
        <f t="shared" si="103"/>
        <v>75.377955265343587</v>
      </c>
      <c r="GC109" s="20">
        <f t="shared" si="79"/>
        <v>688.82254008714096</v>
      </c>
      <c r="GD109" s="59">
        <f t="shared" si="80"/>
        <v>982.15587342047434</v>
      </c>
      <c r="GE109" s="59">
        <f ca="1">AVERAGE(OFFSET($GD$3,0,0,'Données projet'!$E$17+1,1))-AVERAGE(OFFSET($H$3,0,0,'Données projet'!$E$17+1,1))</f>
        <v>486.55344536255876</v>
      </c>
      <c r="GF109" s="59">
        <f t="shared" si="104"/>
        <v>231.14794884432229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31.810151250715805</v>
      </c>
      <c r="GM109" s="21">
        <f>EXP(-LN(2)/25)*GM108+(1-EXP(-LN(2)/25))/(LN(2)/25)*Calculateur!GH109*Calculateur!GJ109*VLOOKUP('Données projet'!$B$17,Paramètres!$A$1:$I$89,3,0)*0.475*44/12</f>
        <v>25.566616596802074</v>
      </c>
      <c r="GN109" s="21">
        <f>EXP(-LN(2)/2)*GN108+(1-EXP(-LN(2)/2))/(LN(2)/2)*GH109*GK109*VLOOKUP('Données projet'!$B$17,Paramètres!$A$1:$I$89,3,0)*0.475*44/12</f>
        <v>2.9137526991366216</v>
      </c>
      <c r="GO109" s="21">
        <f t="shared" si="81"/>
        <v>60.290520546654506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431.20040483344633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252.08270526008477</v>
      </c>
      <c r="T110" s="59">
        <f t="shared" si="88"/>
        <v>239.77811108960179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150.3050700076144</v>
      </c>
      <c r="AA110" s="21">
        <f>EXP(-LN(2)/25)*AA109+(1-EXP(-LN(2)/25))/(LN(2)/25)*Calculateur!V110*Calculateur!X110*VLOOKUP('Données projet'!$B$9,Paramètres!$A$1:$I$89,3,0)*0.475*44/12</f>
        <v>44.996892336671962</v>
      </c>
      <c r="AB110" s="21">
        <f>EXP(-LN(2)/2)*AB109+(1-EXP(-LN(2)/2))/(LN(2)/2)*V110*Y110*VLOOKUP('Données projet'!$B$9,Paramètres!$A$1:$I$89,3,0)*0.475*44/12</f>
        <v>4.8336920470613904</v>
      </c>
      <c r="AC110" s="22">
        <f t="shared" si="57"/>
        <v>200.13565439134777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251.64326096359997</v>
      </c>
      <c r="AO110" s="59">
        <f t="shared" si="90"/>
        <v>256.72142151189894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54.747635720225993</v>
      </c>
      <c r="AV110" s="21">
        <f>EXP(-LN(2)/25)*AV109+(1-EXP(-LN(2)/25))/(LN(2)/25)*Calculateur!AQ110*Calculateur!AS110*VLOOKUP('Données projet'!$B$10,Paramètres!$A$1:$I$89,3,0)*0.475*44/12</f>
        <v>13.160499853197752</v>
      </c>
      <c r="AW110" s="21">
        <f>EXP(-LN(2)/2)*AW109+(1-EXP(-LN(2)/2))/(LN(2)/2)*AQ110*AT110*VLOOKUP('Données projet'!$B$10,Paramètres!$A$1:$I$89,3,0)*0.475*44/12</f>
        <v>5.0543716943410276E-6</v>
      </c>
      <c r="AX110" s="21">
        <f t="shared" si="60"/>
        <v>67.908140627795447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199.29783428981898</v>
      </c>
      <c r="BJ110" s="59">
        <f t="shared" si="92"/>
        <v>237.32002274562547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2.2729042993306381</v>
      </c>
      <c r="BQ110" s="21">
        <f>EXP(-LN(2)/25)*BQ109+(1-EXP(-LN(2)/25))/(LN(2)/25)*Calculateur!BL110*Calculateur!BN110*VLOOKUP('Données projet'!$B$11,Paramètres!$A$1:$I$89,3,0)*0.475*44/12</f>
        <v>7.9348346901251086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10.207738989455747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8.7540000000000013</v>
      </c>
      <c r="BY110" s="12">
        <f>IF('Données projet'!$A$114&gt;35,BY109+BX110-CG109,IF(A110&lt;'Données projet'!$A$114,$BV$205^A110,IF(A110='Données projet'!$A$114,'Données projet'!$B$114,BY109+BX110-CG109)))</f>
        <v>338.65600000000018</v>
      </c>
      <c r="BZ110" s="13">
        <f>BY110*VLOOKUP('Données projet'!$B$12,Paramètres!$A$1:$I$89,3,0)*VLOOKUP('Données projet'!$B$12,Paramètres!$A$1:$I$89,5,0)</f>
        <v>285.28381440000015</v>
      </c>
      <c r="CA110" s="13">
        <f t="shared" si="93"/>
        <v>68.082412920710397</v>
      </c>
      <c r="CB110" s="20">
        <f t="shared" si="64"/>
        <v>615.44617925023749</v>
      </c>
      <c r="CC110" s="59">
        <f t="shared" si="65"/>
        <v>908.77951258357075</v>
      </c>
      <c r="CD110" s="59">
        <f ca="1">AVERAGE(OFFSET($CC$3,0,0,'Données projet'!$E$12+1,1))-AVERAGE(OFFSET($H$3,0,0,'Données projet'!$E$12+1,1))</f>
        <v>295.59075210589327</v>
      </c>
      <c r="CE110" s="59">
        <f t="shared" si="94"/>
        <v>210.41181542059576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37.420350538797123</v>
      </c>
      <c r="CL110" s="21">
        <f>EXP(-LN(2)/25)*CL109+(1-EXP(-LN(2)/25))/(LN(2)/25)*Calculateur!CG110*Calculateur!CI110*VLOOKUP('Données projet'!$B$12,Paramètres!$A$1:$I$89,3,0)*0.475*44/12</f>
        <v>20.494989777562026</v>
      </c>
      <c r="CM110" s="21">
        <f>EXP(-LN(2)/2)*CM109+(1-EXP(-LN(2)/2))/(LN(2)/2)*CG110*CJ110*VLOOKUP('Données projet'!$B$12,Paramètres!$A$1:$I$89,3,0)*0.475*44/12</f>
        <v>1.0260868170826984E-3</v>
      </c>
      <c r="CN110" s="22">
        <f t="shared" si="66"/>
        <v>57.916366403176234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1.1368683772161603E-13</v>
      </c>
      <c r="CU110" s="17">
        <f>CT110*VLOOKUP('Données projet'!$B$13,Paramètres!$A$1:$I$89,3,0)*VLOOKUP('Données projet'!$B$13,Paramètres!$A$1:$I$89,5,0)</f>
        <v>5.1727511163335289E-14</v>
      </c>
      <c r="CV110" s="13">
        <f t="shared" si="95"/>
        <v>8.3906664221915895E-13</v>
      </c>
      <c r="CW110" s="20">
        <f t="shared" si="67"/>
        <v>1.551466483807844E-12</v>
      </c>
      <c r="CX110" s="59">
        <f t="shared" si="68"/>
        <v>293.33333333333485</v>
      </c>
      <c r="CY110" s="59">
        <f ca="1">AVERAGE(OFFSET($CX$3,0,0,'Données projet'!$E$13+1,1))-AVERAGE(OFFSET($H$3,0,0,'Données projet'!$E$13+1,1))</f>
        <v>338.22448697444298</v>
      </c>
      <c r="CZ110" s="59">
        <f t="shared" si="96"/>
        <v>293.3872365640849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124.61404470015417</v>
      </c>
      <c r="DG110" s="21">
        <f>EXP(-LN(2)/25)*DG109+(1-EXP(-LN(2)/25))/(LN(2)/25)*Calculateur!DB110*Calculateur!DD110*VLOOKUP('Données projet'!$B$13,Paramètres!$A$1:$I$89,3,0)*0.475*44/12</f>
        <v>35.009103745336311</v>
      </c>
      <c r="DH110" s="21">
        <f>EXP(-LN(2)/2)*DH109+(1-EXP(-LN(2)/2))/(LN(2)/2)*DB110*DE110*VLOOKUP('Données projet'!$B$13,Paramètres!$A$1:$I$89,3,0)*0.475*44/12</f>
        <v>6.9843859739309091E-3</v>
      </c>
      <c r="DI110" s="22">
        <f t="shared" si="69"/>
        <v>159.63013283146441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5.6843418860808015E-13</v>
      </c>
      <c r="DP110" s="17">
        <f>DO110*VLOOKUP('Données projet'!$B$14,Paramètres!$A$1:$I$89,3,0)*VLOOKUP('Données projet'!$B$14,Paramètres!$A$1:$I$89,5,0)</f>
        <v>3.177547114319168E-13</v>
      </c>
      <c r="DQ110" s="13">
        <f t="shared" si="97"/>
        <v>4.1725404435445377E-12</v>
      </c>
      <c r="DR110" s="20">
        <f t="shared" si="70"/>
        <v>7.820597394917325E-12</v>
      </c>
      <c r="DS110" s="59">
        <f t="shared" si="71"/>
        <v>293.33333333334116</v>
      </c>
      <c r="DT110" s="59">
        <f ca="1">AVERAGE(OFFSET($DS$3,0,0,'Données projet'!$E$14+1,1))-AVERAGE(OFFSET($H$3,0,0,'Données projet'!$E$14+1,1))</f>
        <v>328.15217666639006</v>
      </c>
      <c r="DU110" s="59">
        <f t="shared" si="98"/>
        <v>305.59175773326308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110.8938819492223</v>
      </c>
      <c r="EB110" s="21">
        <f>EXP(-LN(2)/25)*EB109+(1-EXP(-LN(2)/25))/(LN(2)/25)*Calculateur!DW110*Calculateur!DY110*VLOOKUP('Données projet'!$B$14,Paramètres!$A$1:$I$89,3,0)*0.475*44/12</f>
        <v>27.516649503866162</v>
      </c>
      <c r="EC110" s="21">
        <f>EXP(-LN(2)/2)*EC109+(1-EXP(-LN(2)/2))/(LN(2)/2)*DW110*DZ110*VLOOKUP('Données projet'!$B$14,Paramètres!$A$1:$I$89,3,0)*0.475*44/12</f>
        <v>2.0366847330364899E-4</v>
      </c>
      <c r="ED110" s="22">
        <f t="shared" si="72"/>
        <v>138.41073512156177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159.78276497127206</v>
      </c>
      <c r="EP110" s="59">
        <f t="shared" si="100"/>
        <v>190.72163407919857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2.6399652810041485</v>
      </c>
      <c r="EW110" s="21">
        <f>EXP(-LN(2)/25)*EW109+(1-EXP(-LN(2)/25))/(LN(2)/25)*Calculateur!ER110*Calculateur!ET110*VLOOKUP('Données projet'!$B$15,Paramètres!$A$1:$I$89,3,0)*0.475*44/12</f>
        <v>9.216264890082094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11.856230171086242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8.4449999999999985</v>
      </c>
      <c r="FE110" s="12">
        <f>IF('Données projet'!$A$218&gt;35,FE109+FD110-FM109,IF(A110&lt;'Données projet'!$A$218,$FB$205^A110,IF(A110='Données projet'!$A$218,'Données projet'!$B$218,FE109+FD110-FM109)))</f>
        <v>297.11000000000058</v>
      </c>
      <c r="FF110" s="17">
        <f>FE110*VLOOKUP('Données projet'!$B$16,Paramètres!$A$1:$I$89,3,0)*VLOOKUP('Données projet'!$B$16,Paramètres!$A$1:$I$89,5,0)</f>
        <v>254.92038000000051</v>
      </c>
      <c r="FG110" s="13">
        <f t="shared" si="101"/>
        <v>61.638368032565836</v>
      </c>
      <c r="FH110" s="20">
        <f t="shared" si="76"/>
        <v>551.33981949005295</v>
      </c>
      <c r="FI110" s="59">
        <f t="shared" si="77"/>
        <v>844.67315282338632</v>
      </c>
      <c r="FJ110" s="59">
        <f ca="1">AVERAGE(OFFSET($FI$3,0,0,'Données projet'!$E$16+1,1))-AVERAGE(OFFSET($H$3,0,0,'Données projet'!$E$16+1,1))</f>
        <v>337.15023592377008</v>
      </c>
      <c r="FK110" s="59">
        <f t="shared" si="102"/>
        <v>286.60608582587099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26.038346105084241</v>
      </c>
      <c r="FR110" s="21">
        <f>EXP(-LN(2)/25)*FR109+(1-EXP(-LN(2)/25))/(LN(2)/25)*Calculateur!FM110*Calculateur!FO110*VLOOKUP('Données projet'!$B$16,Paramètres!$A$1:$I$89,3,0)*0.475*44/12</f>
        <v>38.862598865669277</v>
      </c>
      <c r="FS110" s="21">
        <f>EXP(-LN(2)/2)*FS109+(1-EXP(-LN(2)/2))/(LN(2)/2)*FM110*FP110*VLOOKUP('Données projet'!$B$16,Paramètres!$A$1:$I$89,3,0)*0.475*44/12</f>
        <v>6.8683311915680907</v>
      </c>
      <c r="FT110" s="22">
        <f t="shared" si="78"/>
        <v>71.769276162321603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8.8449999999999989</v>
      </c>
      <c r="FZ110" s="12">
        <f>IF('Données projet'!$A$244&gt;35,FZ109+FY110-GH109,IF(A110&lt;'Données projet'!$A$244,$FW$205^A110,IF(A110='Données projet'!$A$244,'Données projet'!$B$244,FZ109+FY110-GH109)))</f>
        <v>362.64500000000055</v>
      </c>
      <c r="GA110" s="17">
        <f>FZ110*VLOOKUP('Données projet'!$B$17,Paramètres!$A$1:$I$89,3,0)*VLOOKUP('Données projet'!$B$17,Paramètres!$A$1:$I$89,5,0)</f>
        <v>328.12119600000045</v>
      </c>
      <c r="GB110" s="13">
        <f t="shared" si="103"/>
        <v>77.040653823854953</v>
      </c>
      <c r="GC110" s="20">
        <f t="shared" si="79"/>
        <v>705.65688844321483</v>
      </c>
      <c r="GD110" s="59">
        <f t="shared" si="80"/>
        <v>998.9902217765482</v>
      </c>
      <c r="GE110" s="59">
        <f ca="1">AVERAGE(OFFSET($GD$3,0,0,'Données projet'!$E$17+1,1))-AVERAGE(OFFSET($H$3,0,0,'Données projet'!$E$17+1,1))</f>
        <v>486.55344536255876</v>
      </c>
      <c r="GF110" s="59">
        <f t="shared" si="104"/>
        <v>231.14794884432229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31.186373586965715</v>
      </c>
      <c r="GM110" s="21">
        <f>EXP(-LN(2)/25)*GM109+(1-EXP(-LN(2)/25))/(LN(2)/25)*Calculateur!GH110*Calculateur!GJ110*VLOOKUP('Données projet'!$B$17,Paramètres!$A$1:$I$89,3,0)*0.475*44/12</f>
        <v>24.867496121472588</v>
      </c>
      <c r="GN110" s="21">
        <f>EXP(-LN(2)/2)*GN109+(1-EXP(-LN(2)/2))/(LN(2)/2)*GH110*GK110*VLOOKUP('Données projet'!$B$17,Paramètres!$A$1:$I$89,3,0)*0.475*44/12</f>
        <v>2.0603342922601113</v>
      </c>
      <c r="GO110" s="21">
        <f t="shared" si="81"/>
        <v>58.114204000698408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432.79016666461615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252.08270526008477</v>
      </c>
      <c r="T111" s="59">
        <f t="shared" si="88"/>
        <v>239.77811108960179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147.35767926180543</v>
      </c>
      <c r="AA111" s="21">
        <f>EXP(-LN(2)/25)*AA110+(1-EXP(-LN(2)/25))/(LN(2)/25)*Calculateur!V111*Calculateur!X111*VLOOKUP('Données projet'!$B$9,Paramètres!$A$1:$I$89,3,0)*0.475*44/12</f>
        <v>43.766449949441942</v>
      </c>
      <c r="AB111" s="21">
        <f>EXP(-LN(2)/2)*AB110+(1-EXP(-LN(2)/2))/(LN(2)/2)*V111*Y111*VLOOKUP('Données projet'!$B$9,Paramètres!$A$1:$I$89,3,0)*0.475*44/12</f>
        <v>3.4179364246445938</v>
      </c>
      <c r="AC111" s="22">
        <f t="shared" si="57"/>
        <v>194.54206563589196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251.64326096359997</v>
      </c>
      <c r="AO111" s="59">
        <f t="shared" si="90"/>
        <v>256.72142151189894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53.674067976512887</v>
      </c>
      <c r="AV111" s="21">
        <f>EXP(-LN(2)/25)*AV110+(1-EXP(-LN(2)/25))/(LN(2)/25)*Calculateur!AQ111*Calculateur!AS111*VLOOKUP('Données projet'!$B$10,Paramètres!$A$1:$I$89,3,0)*0.475*44/12</f>
        <v>12.800625292631452</v>
      </c>
      <c r="AW111" s="21">
        <f>EXP(-LN(2)/2)*AW110+(1-EXP(-LN(2)/2))/(LN(2)/2)*AQ111*AT111*VLOOKUP('Données projet'!$B$10,Paramètres!$A$1:$I$89,3,0)*0.475*44/12</f>
        <v>3.5739804997058805E-6</v>
      </c>
      <c r="AX111" s="21">
        <f t="shared" si="60"/>
        <v>66.474696843124832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199.29783428981898</v>
      </c>
      <c r="BJ111" s="59">
        <f t="shared" si="92"/>
        <v>237.32002274562547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2.2283340323554977</v>
      </c>
      <c r="BQ111" s="21">
        <f>EXP(-LN(2)/25)*BQ110+(1-EXP(-LN(2)/25))/(LN(2)/25)*Calculateur!BL111*Calculateur!BN111*VLOOKUP('Données projet'!$B$11,Paramètres!$A$1:$I$89,3,0)*0.475*44/12</f>
        <v>7.7178562182488166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9.9461902506043138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8.7540000000000013</v>
      </c>
      <c r="BY111" s="12">
        <f>IF('Données projet'!$A$114&gt;35,BY110+BX111-CG110,IF(A111&lt;'Données projet'!$A$114,$BV$205^A111,IF(A111='Données projet'!$A$114,'Données projet'!$B$114,BY110+BX111-CG110)))</f>
        <v>347.4100000000002</v>
      </c>
      <c r="BZ111" s="13">
        <f>BY111*VLOOKUP('Données projet'!$B$12,Paramètres!$A$1:$I$89,3,0)*VLOOKUP('Données projet'!$B$12,Paramètres!$A$1:$I$89,5,0)</f>
        <v>292.65818400000023</v>
      </c>
      <c r="CA111" s="13">
        <f t="shared" si="93"/>
        <v>69.635124415707679</v>
      </c>
      <c r="CB111" s="20">
        <f t="shared" si="64"/>
        <v>630.99417882402452</v>
      </c>
      <c r="CC111" s="59">
        <f t="shared" si="65"/>
        <v>924.32751215735789</v>
      </c>
      <c r="CD111" s="59">
        <f ca="1">AVERAGE(OFFSET($CC$3,0,0,'Données projet'!$E$12+1,1))-AVERAGE(OFFSET($H$3,0,0,'Données projet'!$E$12+1,1))</f>
        <v>295.59075210589327</v>
      </c>
      <c r="CE111" s="59">
        <f t="shared" si="94"/>
        <v>210.41181542059576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36.686560288891442</v>
      </c>
      <c r="CL111" s="21">
        <f>EXP(-LN(2)/25)*CL110+(1-EXP(-LN(2)/25))/(LN(2)/25)*Calculateur!CG111*Calculateur!CI111*VLOOKUP('Données projet'!$B$12,Paramètres!$A$1:$I$89,3,0)*0.475*44/12</f>
        <v>19.934553204309921</v>
      </c>
      <c r="CM111" s="21">
        <f>EXP(-LN(2)/2)*CM110+(1-EXP(-LN(2)/2))/(LN(2)/2)*CG111*CJ111*VLOOKUP('Données projet'!$B$12,Paramètres!$A$1:$I$89,3,0)*0.475*44/12</f>
        <v>7.2555294644529667E-4</v>
      </c>
      <c r="CN111" s="22">
        <f t="shared" si="66"/>
        <v>56.621839046147812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1.1368683772161603E-13</v>
      </c>
      <c r="CU111" s="17">
        <f>CT111*VLOOKUP('Données projet'!$B$13,Paramètres!$A$1:$I$89,3,0)*VLOOKUP('Données projet'!$B$13,Paramètres!$A$1:$I$89,5,0)</f>
        <v>5.1727511163335289E-14</v>
      </c>
      <c r="CV111" s="13">
        <f t="shared" si="95"/>
        <v>8.3906664221915895E-13</v>
      </c>
      <c r="CW111" s="20">
        <f t="shared" si="67"/>
        <v>1.551466483807844E-12</v>
      </c>
      <c r="CX111" s="59">
        <f t="shared" si="68"/>
        <v>293.33333333333485</v>
      </c>
      <c r="CY111" s="59">
        <f ca="1">AVERAGE(OFFSET($CX$3,0,0,'Données projet'!$E$13+1,1))-AVERAGE(OFFSET($H$3,0,0,'Données projet'!$E$13+1,1))</f>
        <v>338.22448697444298</v>
      </c>
      <c r="CZ111" s="59">
        <f t="shared" si="96"/>
        <v>293.3872365640849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122.17043929064634</v>
      </c>
      <c r="DG111" s="21">
        <f>EXP(-LN(2)/25)*DG110+(1-EXP(-LN(2)/25))/(LN(2)/25)*Calculateur!DB111*Calculateur!DD111*VLOOKUP('Données projet'!$B$13,Paramètres!$A$1:$I$89,3,0)*0.475*44/12</f>
        <v>34.051777962371339</v>
      </c>
      <c r="DH111" s="21">
        <f>EXP(-LN(2)/2)*DH110+(1-EXP(-LN(2)/2))/(LN(2)/2)*DB111*DE111*VLOOKUP('Données projet'!$B$13,Paramètres!$A$1:$I$89,3,0)*0.475*44/12</f>
        <v>4.9387066845907549E-3</v>
      </c>
      <c r="DI111" s="22">
        <f t="shared" si="69"/>
        <v>156.22715595970226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5.6843418860808015E-13</v>
      </c>
      <c r="DP111" s="17">
        <f>DO111*VLOOKUP('Données projet'!$B$14,Paramètres!$A$1:$I$89,3,0)*VLOOKUP('Données projet'!$B$14,Paramètres!$A$1:$I$89,5,0)</f>
        <v>3.177547114319168E-13</v>
      </c>
      <c r="DQ111" s="13">
        <f t="shared" si="97"/>
        <v>4.1725404435445377E-12</v>
      </c>
      <c r="DR111" s="20">
        <f t="shared" si="70"/>
        <v>7.820597394917325E-12</v>
      </c>
      <c r="DS111" s="59">
        <f t="shared" si="71"/>
        <v>293.33333333334116</v>
      </c>
      <c r="DT111" s="59">
        <f ca="1">AVERAGE(OFFSET($DS$3,0,0,'Données projet'!$E$14+1,1))-AVERAGE(OFFSET($H$3,0,0,'Données projet'!$E$14+1,1))</f>
        <v>328.15217666639006</v>
      </c>
      <c r="DU111" s="59">
        <f t="shared" si="98"/>
        <v>305.59175773326308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108.71932056278729</v>
      </c>
      <c r="EB111" s="21">
        <f>EXP(-LN(2)/25)*EB110+(1-EXP(-LN(2)/25))/(LN(2)/25)*Calculateur!DW111*Calculateur!DY111*VLOOKUP('Données projet'!$B$14,Paramètres!$A$1:$I$89,3,0)*0.475*44/12</f>
        <v>26.764205276145233</v>
      </c>
      <c r="EC111" s="21">
        <f>EXP(-LN(2)/2)*EC110+(1-EXP(-LN(2)/2))/(LN(2)/2)*DW111*DZ111*VLOOKUP('Données projet'!$B$14,Paramètres!$A$1:$I$89,3,0)*0.475*44/12</f>
        <v>1.4401535858692152E-4</v>
      </c>
      <c r="ED111" s="22">
        <f t="shared" si="72"/>
        <v>135.48366985429109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159.78276497127206</v>
      </c>
      <c r="EP111" s="59">
        <f t="shared" si="100"/>
        <v>190.72163407919857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2.5881971720634827</v>
      </c>
      <c r="EW111" s="21">
        <f>EXP(-LN(2)/25)*EW110+(1-EXP(-LN(2)/25))/(LN(2)/25)*Calculateur!ER111*Calculateur!ET111*VLOOKUP('Données projet'!$B$15,Paramètres!$A$1:$I$89,3,0)*0.475*44/12</f>
        <v>8.9642456420004919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11.552442814063975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8.4449999999999985</v>
      </c>
      <c r="FE111" s="12">
        <f>IF('Données projet'!$A$218&gt;35,FE110+FD111-FM110,IF(A111&lt;'Données projet'!$A$218,$FB$205^A111,IF(A111='Données projet'!$A$218,'Données projet'!$B$218,FE110+FD111-FM110)))</f>
        <v>305.55500000000058</v>
      </c>
      <c r="FF111" s="17">
        <f>FE111*VLOOKUP('Données projet'!$B$16,Paramètres!$A$1:$I$89,3,0)*VLOOKUP('Données projet'!$B$16,Paramètres!$A$1:$I$89,5,0)</f>
        <v>262.16619000000054</v>
      </c>
      <c r="FG111" s="13">
        <f t="shared" si="101"/>
        <v>63.183898920919454</v>
      </c>
      <c r="FH111" s="20">
        <f t="shared" si="76"/>
        <v>566.65140487060228</v>
      </c>
      <c r="FI111" s="59">
        <f t="shared" si="77"/>
        <v>859.98473820393565</v>
      </c>
      <c r="FJ111" s="59">
        <f ca="1">AVERAGE(OFFSET($FI$3,0,0,'Données projet'!$E$16+1,1))-AVERAGE(OFFSET($H$3,0,0,'Données projet'!$E$16+1,1))</f>
        <v>337.15023592377008</v>
      </c>
      <c r="FK111" s="59">
        <f t="shared" si="102"/>
        <v>286.60608582587099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25.527750019786463</v>
      </c>
      <c r="FR111" s="21">
        <f>EXP(-LN(2)/25)*FR110+(1-EXP(-LN(2)/25))/(LN(2)/25)*Calculateur!FM111*Calculateur!FO111*VLOOKUP('Données projet'!$B$16,Paramètres!$A$1:$I$89,3,0)*0.475*44/12</f>
        <v>37.799899055992299</v>
      </c>
      <c r="FS111" s="21">
        <f>EXP(-LN(2)/2)*FS110+(1-EXP(-LN(2)/2))/(LN(2)/2)*FM111*FP111*VLOOKUP('Données projet'!$B$16,Paramètres!$A$1:$I$89,3,0)*0.475*44/12</f>
        <v>4.8566435609928771</v>
      </c>
      <c r="FT111" s="22">
        <f t="shared" si="78"/>
        <v>68.184292636771644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8.8449999999999989</v>
      </c>
      <c r="FZ111" s="12">
        <f>IF('Données projet'!$A$244&gt;35,FZ110+FY111-GH110,IF(A111&lt;'Données projet'!$A$244,$FW$205^A111,IF(A111='Données projet'!$A$244,'Données projet'!$B$244,FZ110+FY111-GH110)))</f>
        <v>371.49000000000058</v>
      </c>
      <c r="GA111" s="17">
        <f>FZ111*VLOOKUP('Données projet'!$B$17,Paramètres!$A$1:$I$89,3,0)*VLOOKUP('Données projet'!$B$17,Paramètres!$A$1:$I$89,5,0)</f>
        <v>336.12415200000049</v>
      </c>
      <c r="GB111" s="13">
        <f t="shared" si="103"/>
        <v>78.698638141016232</v>
      </c>
      <c r="GC111" s="20">
        <f t="shared" si="79"/>
        <v>722.4830261622709</v>
      </c>
      <c r="GD111" s="59">
        <f t="shared" si="80"/>
        <v>1015.8163594956043</v>
      </c>
      <c r="GE111" s="59">
        <f ca="1">AVERAGE(OFFSET($GD$3,0,0,'Données projet'!$E$17+1,1))-AVERAGE(OFFSET($H$3,0,0,'Données projet'!$E$17+1,1))</f>
        <v>486.55344536255876</v>
      </c>
      <c r="GF111" s="59">
        <f t="shared" si="104"/>
        <v>231.14794884432229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30.574827822734957</v>
      </c>
      <c r="GM111" s="21">
        <f>EXP(-LN(2)/25)*GM110+(1-EXP(-LN(2)/25))/(LN(2)/25)*Calculateur!GH111*Calculateur!GJ111*VLOOKUP('Données projet'!$B$17,Paramètres!$A$1:$I$89,3,0)*0.475*44/12</f>
        <v>24.187493132306134</v>
      </c>
      <c r="GN111" s="21">
        <f>EXP(-LN(2)/2)*GN110+(1-EXP(-LN(2)/2))/(LN(2)/2)*GH111*GK111*VLOOKUP('Données projet'!$B$17,Paramètres!$A$1:$I$89,3,0)*0.475*44/12</f>
        <v>1.4568763495683108</v>
      </c>
      <c r="GO111" s="21">
        <f t="shared" si="81"/>
        <v>56.219197304609402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434.37959157375849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252.08270526008477</v>
      </c>
      <c r="T112" s="59">
        <f t="shared" si="88"/>
        <v>239.77811108960179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144.46808505079093</v>
      </c>
      <c r="AA112" s="21">
        <f>EXP(-LN(2)/25)*AA111+(1-EXP(-LN(2)/25))/(LN(2)/25)*Calculateur!V112*Calculateur!X112*VLOOKUP('Données projet'!$B$9,Paramètres!$A$1:$I$89,3,0)*0.475*44/12</f>
        <v>42.56965407399688</v>
      </c>
      <c r="AB112" s="21">
        <f>EXP(-LN(2)/2)*AB111+(1-EXP(-LN(2)/2))/(LN(2)/2)*V112*Y112*VLOOKUP('Données projet'!$B$9,Paramètres!$A$1:$I$89,3,0)*0.475*44/12</f>
        <v>2.4168460235306957</v>
      </c>
      <c r="AC112" s="22">
        <f t="shared" si="57"/>
        <v>189.4545851483185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251.64326096359997</v>
      </c>
      <c r="AO112" s="59">
        <f t="shared" si="90"/>
        <v>256.72142151189894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52.62155224144233</v>
      </c>
      <c r="AV112" s="21">
        <f>EXP(-LN(2)/25)*AV111+(1-EXP(-LN(2)/25))/(LN(2)/25)*Calculateur!AQ112*Calculateur!AS112*VLOOKUP('Données projet'!$B$10,Paramètres!$A$1:$I$89,3,0)*0.475*44/12</f>
        <v>12.450591520848816</v>
      </c>
      <c r="AW112" s="21">
        <f>EXP(-LN(2)/2)*AW111+(1-EXP(-LN(2)/2))/(LN(2)/2)*AQ112*AT112*VLOOKUP('Données projet'!$B$10,Paramètres!$A$1:$I$89,3,0)*0.475*44/12</f>
        <v>2.5271858471705138E-6</v>
      </c>
      <c r="AX112" s="21">
        <f t="shared" si="60"/>
        <v>65.07214628947699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199.29783428981898</v>
      </c>
      <c r="BJ112" s="59">
        <f t="shared" si="92"/>
        <v>237.32002274562547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2.1846377611305612</v>
      </c>
      <c r="BQ112" s="21">
        <f>EXP(-LN(2)/25)*BQ111+(1-EXP(-LN(2)/25))/(LN(2)/25)*Calculateur!BL112*Calculateur!BN112*VLOOKUP('Données projet'!$B$11,Paramètres!$A$1:$I$89,3,0)*0.475*44/12</f>
        <v>7.5068110340963834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9.691448795226945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8.7540000000000013</v>
      </c>
      <c r="BY112" s="12">
        <f>IF('Données projet'!$A$114&gt;35,BY111+BX112-CG111,IF(A112&lt;'Données projet'!$A$114,$BV$205^A112,IF(A112='Données projet'!$A$114,'Données projet'!$B$114,BY111+BX112-CG111)))</f>
        <v>356.16400000000021</v>
      </c>
      <c r="BZ112" s="13">
        <f>BY112*VLOOKUP('Données projet'!$B$12,Paramètres!$A$1:$I$89,3,0)*VLOOKUP('Données projet'!$B$12,Paramètres!$A$1:$I$89,5,0)</f>
        <v>300.0325536000002</v>
      </c>
      <c r="CA112" s="13">
        <f t="shared" si="93"/>
        <v>71.183287917548299</v>
      </c>
      <c r="CB112" s="20">
        <f t="shared" si="64"/>
        <v>646.53425730973026</v>
      </c>
      <c r="CC112" s="59">
        <f t="shared" si="65"/>
        <v>939.86759064306352</v>
      </c>
      <c r="CD112" s="59">
        <f ca="1">AVERAGE(OFFSET($CC$3,0,0,'Données projet'!$E$12+1,1))-AVERAGE(OFFSET($H$3,0,0,'Données projet'!$E$12+1,1))</f>
        <v>295.59075210589327</v>
      </c>
      <c r="CE112" s="59">
        <f t="shared" si="94"/>
        <v>210.41181542059576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35.967159218218555</v>
      </c>
      <c r="CL112" s="21">
        <f>EXP(-LN(2)/25)*CL111+(1-EXP(-LN(2)/25))/(LN(2)/25)*Calculateur!CG112*Calculateur!CI112*VLOOKUP('Données projet'!$B$12,Paramètres!$A$1:$I$89,3,0)*0.475*44/12</f>
        <v>19.389441798625473</v>
      </c>
      <c r="CM112" s="21">
        <f>EXP(-LN(2)/2)*CM111+(1-EXP(-LN(2)/2))/(LN(2)/2)*CG112*CJ112*VLOOKUP('Données projet'!$B$12,Paramètres!$A$1:$I$89,3,0)*0.475*44/12</f>
        <v>5.1304340854134922E-4</v>
      </c>
      <c r="CN112" s="22">
        <f t="shared" si="66"/>
        <v>55.357114060252563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1.1368683772161603E-13</v>
      </c>
      <c r="CU112" s="17">
        <f>CT112*VLOOKUP('Données projet'!$B$13,Paramètres!$A$1:$I$89,3,0)*VLOOKUP('Données projet'!$B$13,Paramètres!$A$1:$I$89,5,0)</f>
        <v>5.1727511163335289E-14</v>
      </c>
      <c r="CV112" s="13">
        <f t="shared" si="95"/>
        <v>8.3906664221915895E-13</v>
      </c>
      <c r="CW112" s="20">
        <f t="shared" si="67"/>
        <v>1.551466483807844E-12</v>
      </c>
      <c r="CX112" s="59">
        <f t="shared" si="68"/>
        <v>293.33333333333485</v>
      </c>
      <c r="CY112" s="59">
        <f ca="1">AVERAGE(OFFSET($CX$3,0,0,'Données projet'!$E$13+1,1))-AVERAGE(OFFSET($H$3,0,0,'Données projet'!$E$13+1,1))</f>
        <v>338.22448697444298</v>
      </c>
      <c r="CZ112" s="59">
        <f t="shared" si="96"/>
        <v>293.3872365640849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119.77475149276682</v>
      </c>
      <c r="DG112" s="21">
        <f>EXP(-LN(2)/25)*DG111+(1-EXP(-LN(2)/25))/(LN(2)/25)*Calculateur!DB112*Calculateur!DD112*VLOOKUP('Données projet'!$B$13,Paramètres!$A$1:$I$89,3,0)*0.475*44/12</f>
        <v>33.120630303285118</v>
      </c>
      <c r="DH112" s="21">
        <f>EXP(-LN(2)/2)*DH111+(1-EXP(-LN(2)/2))/(LN(2)/2)*DB112*DE112*VLOOKUP('Données projet'!$B$13,Paramètres!$A$1:$I$89,3,0)*0.475*44/12</f>
        <v>3.4921929869654545E-3</v>
      </c>
      <c r="DI112" s="22">
        <f t="shared" si="69"/>
        <v>152.89887398903889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5.6843418860808015E-13</v>
      </c>
      <c r="DP112" s="17">
        <f>DO112*VLOOKUP('Données projet'!$B$14,Paramètres!$A$1:$I$89,3,0)*VLOOKUP('Données projet'!$B$14,Paramètres!$A$1:$I$89,5,0)</f>
        <v>3.177547114319168E-13</v>
      </c>
      <c r="DQ112" s="13">
        <f t="shared" si="97"/>
        <v>4.1725404435445377E-12</v>
      </c>
      <c r="DR112" s="20">
        <f t="shared" si="70"/>
        <v>7.820597394917325E-12</v>
      </c>
      <c r="DS112" s="59">
        <f t="shared" si="71"/>
        <v>293.33333333334116</v>
      </c>
      <c r="DT112" s="59">
        <f ca="1">AVERAGE(OFFSET($DS$3,0,0,'Données projet'!$E$14+1,1))-AVERAGE(OFFSET($H$3,0,0,'Données projet'!$E$14+1,1))</f>
        <v>328.15217666639006</v>
      </c>
      <c r="DU112" s="59">
        <f t="shared" si="98"/>
        <v>305.59175773326308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106.58740099878878</v>
      </c>
      <c r="EB112" s="21">
        <f>EXP(-LN(2)/25)*EB111+(1-EXP(-LN(2)/25))/(LN(2)/25)*Calculateur!DW112*Calculateur!DY112*VLOOKUP('Données projet'!$B$14,Paramètres!$A$1:$I$89,3,0)*0.475*44/12</f>
        <v>26.032336675400657</v>
      </c>
      <c r="EC112" s="21">
        <f>EXP(-LN(2)/2)*EC111+(1-EXP(-LN(2)/2))/(LN(2)/2)*DW112*DZ112*VLOOKUP('Données projet'!$B$14,Paramètres!$A$1:$I$89,3,0)*0.475*44/12</f>
        <v>1.0183423665182449E-4</v>
      </c>
      <c r="ED112" s="22">
        <f t="shared" si="72"/>
        <v>132.61983950842608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159.78276497127206</v>
      </c>
      <c r="EP112" s="59">
        <f t="shared" si="100"/>
        <v>190.72163407919857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2.5374442041637146</v>
      </c>
      <c r="EW112" s="21">
        <f>EXP(-LN(2)/25)*EW111+(1-EXP(-LN(2)/25))/(LN(2)/25)*Calculateur!ER112*Calculateur!ET112*VLOOKUP('Données projet'!$B$15,Paramètres!$A$1:$I$89,3,0)*0.475*44/12</f>
        <v>8.7191178735107986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11.256562077674513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8.4449999999999985</v>
      </c>
      <c r="FE112" s="12">
        <f>IF('Données projet'!$A$218&gt;35,FE111+FD112-FM111,IF(A112&lt;'Données projet'!$A$218,$FB$205^A112,IF(A112='Données projet'!$A$218,'Données projet'!$B$218,FE111+FD112-FM111)))</f>
        <v>314.00000000000057</v>
      </c>
      <c r="FF112" s="17">
        <f>FE112*VLOOKUP('Données projet'!$B$16,Paramètres!$A$1:$I$89,3,0)*VLOOKUP('Données projet'!$B$16,Paramètres!$A$1:$I$89,5,0)</f>
        <v>269.41200000000055</v>
      </c>
      <c r="FG112" s="13">
        <f t="shared" si="101"/>
        <v>64.72446501836292</v>
      </c>
      <c r="FH112" s="20">
        <f t="shared" si="76"/>
        <v>581.95434324031635</v>
      </c>
      <c r="FI112" s="59">
        <f t="shared" si="77"/>
        <v>875.28767657364961</v>
      </c>
      <c r="FJ112" s="59">
        <f ca="1">AVERAGE(OFFSET($FI$3,0,0,'Données projet'!$E$16+1,1))-AVERAGE(OFFSET($H$3,0,0,'Données projet'!$E$16+1,1))</f>
        <v>337.15023592377008</v>
      </c>
      <c r="FK112" s="59">
        <f t="shared" si="102"/>
        <v>286.60608582587099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25.027166412288516</v>
      </c>
      <c r="FR112" s="21">
        <f>EXP(-LN(2)/25)*FR111+(1-EXP(-LN(2)/25))/(LN(2)/25)*Calculateur!FM112*Calculateur!FO112*VLOOKUP('Données projet'!$B$16,Paramètres!$A$1:$I$89,3,0)*0.475*44/12</f>
        <v>36.766258828495893</v>
      </c>
      <c r="FS112" s="21">
        <f>EXP(-LN(2)/2)*FS111+(1-EXP(-LN(2)/2))/(LN(2)/2)*FM112*FP112*VLOOKUP('Données projet'!$B$16,Paramètres!$A$1:$I$89,3,0)*0.475*44/12</f>
        <v>3.4341655957840453</v>
      </c>
      <c r="FT112" s="22">
        <f t="shared" si="78"/>
        <v>65.227590836568453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8.8449999999999989</v>
      </c>
      <c r="FZ112" s="12">
        <f>IF('Données projet'!$A$244&gt;35,FZ111+FY112-GH111,IF(A112&lt;'Données projet'!$A$244,$FW$205^A112,IF(A112='Données projet'!$A$244,'Données projet'!$B$244,FZ111+FY112-GH111)))</f>
        <v>380.3350000000006</v>
      </c>
      <c r="GA112" s="17">
        <f>FZ112*VLOOKUP('Données projet'!$B$17,Paramètres!$A$1:$I$89,3,0)*VLOOKUP('Données projet'!$B$17,Paramètres!$A$1:$I$89,5,0)</f>
        <v>344.12710800000053</v>
      </c>
      <c r="GB112" s="13">
        <f t="shared" si="103"/>
        <v>80.352033376279337</v>
      </c>
      <c r="GC112" s="20">
        <f t="shared" si="79"/>
        <v>739.30117123035416</v>
      </c>
      <c r="GD112" s="59">
        <f t="shared" si="80"/>
        <v>1032.6345045636874</v>
      </c>
      <c r="GE112" s="59">
        <f ca="1">AVERAGE(OFFSET($GD$3,0,0,'Données projet'!$E$17+1,1))-AVERAGE(OFFSET($H$3,0,0,'Données projet'!$E$17+1,1))</f>
        <v>486.55344536255876</v>
      </c>
      <c r="GF112" s="59">
        <f t="shared" si="104"/>
        <v>231.14794884432229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29.97527409793468</v>
      </c>
      <c r="GM112" s="21">
        <f>EXP(-LN(2)/25)*GM111+(1-EXP(-LN(2)/25))/(LN(2)/25)*Calculateur!GH112*Calculateur!GJ112*VLOOKUP('Données projet'!$B$17,Paramètres!$A$1:$I$89,3,0)*0.475*44/12</f>
        <v>23.526084860638239</v>
      </c>
      <c r="GN112" s="21">
        <f>EXP(-LN(2)/2)*GN111+(1-EXP(-LN(2)/2))/(LN(2)/2)*GH112*GK112*VLOOKUP('Données projet'!$B$17,Paramètres!$A$1:$I$89,3,0)*0.475*44/12</f>
        <v>1.0301671461300557</v>
      </c>
      <c r="GO112" s="21">
        <f t="shared" si="81"/>
        <v>54.531526104702976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435.96868300995197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252.08270526008477</v>
      </c>
      <c r="T113" s="59">
        <f t="shared" si="88"/>
        <v>239.77811108960179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141.635154019776</v>
      </c>
      <c r="AA113" s="21">
        <f>EXP(-LN(2)/25)*AA112+(1-EXP(-LN(2)/25))/(LN(2)/25)*Calculateur!V113*Calculateur!X113*VLOOKUP('Données projet'!$B$9,Paramètres!$A$1:$I$89,3,0)*0.475*44/12</f>
        <v>41.405584644702621</v>
      </c>
      <c r="AB113" s="21">
        <f>EXP(-LN(2)/2)*AB112+(1-EXP(-LN(2)/2))/(LN(2)/2)*V113*Y113*VLOOKUP('Données projet'!$B$9,Paramètres!$A$1:$I$89,3,0)*0.475*44/12</f>
        <v>1.7089682123222971</v>
      </c>
      <c r="AC113" s="22">
        <f t="shared" si="57"/>
        <v>184.74970687680093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251.64326096359997</v>
      </c>
      <c r="AO113" s="59">
        <f t="shared" si="90"/>
        <v>256.72142151189894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51.589675697965298</v>
      </c>
      <c r="AV113" s="21">
        <f>EXP(-LN(2)/25)*AV112+(1-EXP(-LN(2)/25))/(LN(2)/25)*Calculateur!AQ113*Calculateur!AS113*VLOOKUP('Données projet'!$B$10,Paramètres!$A$1:$I$89,3,0)*0.475*44/12</f>
        <v>12.110129440963053</v>
      </c>
      <c r="AW113" s="21">
        <f>EXP(-LN(2)/2)*AW112+(1-EXP(-LN(2)/2))/(LN(2)/2)*AQ113*AT113*VLOOKUP('Données projet'!$B$10,Paramètres!$A$1:$I$89,3,0)*0.475*44/12</f>
        <v>1.7869902498529403E-6</v>
      </c>
      <c r="AX113" s="21">
        <f t="shared" si="60"/>
        <v>63.699806925918601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199.29783428981898</v>
      </c>
      <c r="BJ113" s="59">
        <f t="shared" si="92"/>
        <v>237.32002274562547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2.1417983471322519</v>
      </c>
      <c r="BQ113" s="21">
        <f>EXP(-LN(2)/25)*BQ112+(1-EXP(-LN(2)/25))/(LN(2)/25)*Calculateur!BL113*Calculateur!BN113*VLOOKUP('Données projet'!$B$11,Paramètres!$A$1:$I$89,3,0)*0.475*44/12</f>
        <v>7.3015368916029821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9.4433352387352336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8.7540000000000013</v>
      </c>
      <c r="BY113" s="12">
        <f>IF('Données projet'!$A$114&gt;35,BY112+BX113-CG112,IF(A113&lt;'Données projet'!$A$114,$BV$205^A113,IF(A113='Données projet'!$A$114,'Données projet'!$B$114,BY112+BX113-CG112)))</f>
        <v>364.91800000000023</v>
      </c>
      <c r="BZ113" s="13">
        <f>BY113*VLOOKUP('Données projet'!$B$12,Paramètres!$A$1:$I$89,3,0)*VLOOKUP('Données projet'!$B$12,Paramètres!$A$1:$I$89,5,0)</f>
        <v>307.40692320000022</v>
      </c>
      <c r="CA113" s="13">
        <f t="shared" si="93"/>
        <v>72.727028067972981</v>
      </c>
      <c r="CB113" s="20">
        <f t="shared" si="64"/>
        <v>662.06663179171994</v>
      </c>
      <c r="CC113" s="59">
        <f t="shared" si="65"/>
        <v>955.39996512505331</v>
      </c>
      <c r="CD113" s="59">
        <f ca="1">AVERAGE(OFFSET($CC$3,0,0,'Données projet'!$E$12+1,1))-AVERAGE(OFFSET($H$3,0,0,'Données projet'!$E$12+1,1))</f>
        <v>295.59075210589327</v>
      </c>
      <c r="CE113" s="59">
        <f t="shared" si="94"/>
        <v>210.41181542059576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35.261865163750237</v>
      </c>
      <c r="CL113" s="21">
        <f>EXP(-LN(2)/25)*CL112+(1-EXP(-LN(2)/25))/(LN(2)/25)*Calculateur!CG113*Calculateur!CI113*VLOOKUP('Données projet'!$B$12,Paramètres!$A$1:$I$89,3,0)*0.475*44/12</f>
        <v>18.859236492995631</v>
      </c>
      <c r="CM113" s="21">
        <f>EXP(-LN(2)/2)*CM112+(1-EXP(-LN(2)/2))/(LN(2)/2)*CG113*CJ113*VLOOKUP('Données projet'!$B$12,Paramètres!$A$1:$I$89,3,0)*0.475*44/12</f>
        <v>3.6277647322264833E-4</v>
      </c>
      <c r="CN113" s="22">
        <f t="shared" si="66"/>
        <v>54.121464433219089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1.1368683772161603E-13</v>
      </c>
      <c r="CU113" s="17">
        <f>CT113*VLOOKUP('Données projet'!$B$13,Paramètres!$A$1:$I$89,3,0)*VLOOKUP('Données projet'!$B$13,Paramètres!$A$1:$I$89,5,0)</f>
        <v>5.1727511163335289E-14</v>
      </c>
      <c r="CV113" s="13">
        <f t="shared" si="95"/>
        <v>8.3906664221915895E-13</v>
      </c>
      <c r="CW113" s="20">
        <f t="shared" si="67"/>
        <v>1.551466483807844E-12</v>
      </c>
      <c r="CX113" s="59">
        <f t="shared" si="68"/>
        <v>293.33333333333485</v>
      </c>
      <c r="CY113" s="59">
        <f ca="1">AVERAGE(OFFSET($CX$3,0,0,'Données projet'!$E$13+1,1))-AVERAGE(OFFSET($H$3,0,0,'Données projet'!$E$13+1,1))</f>
        <v>338.22448697444298</v>
      </c>
      <c r="CZ113" s="59">
        <f t="shared" si="96"/>
        <v>293.3872365640849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117.42604167137846</v>
      </c>
      <c r="DG113" s="21">
        <f>EXP(-LN(2)/25)*DG112+(1-EXP(-LN(2)/25))/(LN(2)/25)*Calculateur!DB113*Calculateur!DD113*VLOOKUP('Données projet'!$B$13,Paramètres!$A$1:$I$89,3,0)*0.475*44/12</f>
        <v>32.214944925903538</v>
      </c>
      <c r="DH113" s="21">
        <f>EXP(-LN(2)/2)*DH112+(1-EXP(-LN(2)/2))/(LN(2)/2)*DB113*DE113*VLOOKUP('Données projet'!$B$13,Paramètres!$A$1:$I$89,3,0)*0.475*44/12</f>
        <v>2.4693533422953775E-3</v>
      </c>
      <c r="DI113" s="22">
        <f t="shared" si="69"/>
        <v>149.64345595062429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5.6843418860808015E-13</v>
      </c>
      <c r="DP113" s="17">
        <f>DO113*VLOOKUP('Données projet'!$B$14,Paramètres!$A$1:$I$89,3,0)*VLOOKUP('Données projet'!$B$14,Paramètres!$A$1:$I$89,5,0)</f>
        <v>3.177547114319168E-13</v>
      </c>
      <c r="DQ113" s="13">
        <f t="shared" si="97"/>
        <v>4.1725404435445377E-12</v>
      </c>
      <c r="DR113" s="20">
        <f t="shared" si="70"/>
        <v>7.820597394917325E-12</v>
      </c>
      <c r="DS113" s="59">
        <f t="shared" si="71"/>
        <v>293.33333333334116</v>
      </c>
      <c r="DT113" s="59">
        <f ca="1">AVERAGE(OFFSET($DS$3,0,0,'Données projet'!$E$14+1,1))-AVERAGE(OFFSET($H$3,0,0,'Données projet'!$E$14+1,1))</f>
        <v>328.15217666639006</v>
      </c>
      <c r="DU113" s="59">
        <f t="shared" si="98"/>
        <v>305.59175773326308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104.49728707709775</v>
      </c>
      <c r="EB113" s="21">
        <f>EXP(-LN(2)/25)*EB112+(1-EXP(-LN(2)/25))/(LN(2)/25)*Calculateur!DW113*Calculateur!DY113*VLOOKUP('Données projet'!$B$14,Paramètres!$A$1:$I$89,3,0)*0.475*44/12</f>
        <v>25.320481060030737</v>
      </c>
      <c r="EC113" s="21">
        <f>EXP(-LN(2)/2)*EC112+(1-EXP(-LN(2)/2))/(LN(2)/2)*DW113*DZ113*VLOOKUP('Données projet'!$B$14,Paramètres!$A$1:$I$89,3,0)*0.475*44/12</f>
        <v>7.2007679293460759E-5</v>
      </c>
      <c r="ED113" s="22">
        <f t="shared" si="72"/>
        <v>129.8178401448078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159.78276497127206</v>
      </c>
      <c r="EP113" s="59">
        <f t="shared" si="100"/>
        <v>190.72163407919857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2.4876864710082072</v>
      </c>
      <c r="EW113" s="21">
        <f>EXP(-LN(2)/25)*EW112+(1-EXP(-LN(2)/25))/(LN(2)/25)*Calculateur!ER113*Calculateur!ET113*VLOOKUP('Données projet'!$B$15,Paramètres!$A$1:$I$89,3,0)*0.475*44/12</f>
        <v>8.4806931367411647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10.968379607749371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8.4449999999999985</v>
      </c>
      <c r="FE113" s="12">
        <f>IF('Données projet'!$A$218&gt;35,FE112+FD113-FM112,IF(A113&lt;'Données projet'!$A$218,$FB$205^A113,IF(A113='Données projet'!$A$218,'Données projet'!$B$218,FE112+FD113-FM112)))</f>
        <v>322.44500000000056</v>
      </c>
      <c r="FF113" s="17">
        <f>FE113*VLOOKUP('Données projet'!$B$16,Paramètres!$A$1:$I$89,3,0)*VLOOKUP('Données projet'!$B$16,Paramètres!$A$1:$I$89,5,0)</f>
        <v>276.6578100000005</v>
      </c>
      <c r="FG113" s="13">
        <f t="shared" si="101"/>
        <v>66.26021519833084</v>
      </c>
      <c r="FH113" s="20">
        <f t="shared" si="76"/>
        <v>597.2488938870938</v>
      </c>
      <c r="FI113" s="59">
        <f t="shared" si="77"/>
        <v>890.58222722042706</v>
      </c>
      <c r="FJ113" s="59">
        <f ca="1">AVERAGE(OFFSET($FI$3,0,0,'Données projet'!$E$16+1,1))-AVERAGE(OFFSET($H$3,0,0,'Données projet'!$E$16+1,1))</f>
        <v>337.15023592377008</v>
      </c>
      <c r="FK113" s="59">
        <f t="shared" si="102"/>
        <v>286.60608582587099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24.53639894400775</v>
      </c>
      <c r="FR113" s="21">
        <f>EXP(-LN(2)/25)*FR112+(1-EXP(-LN(2)/25))/(LN(2)/25)*Calculateur!FM113*Calculateur!FO113*VLOOKUP('Données projet'!$B$16,Paramètres!$A$1:$I$89,3,0)*0.475*44/12</f>
        <v>35.760883547377148</v>
      </c>
      <c r="FS113" s="21">
        <f>EXP(-LN(2)/2)*FS112+(1-EXP(-LN(2)/2))/(LN(2)/2)*FM113*FP113*VLOOKUP('Données projet'!$B$16,Paramètres!$A$1:$I$89,3,0)*0.475*44/12</f>
        <v>2.4283217804964385</v>
      </c>
      <c r="FT113" s="22">
        <f t="shared" si="78"/>
        <v>62.725604271881338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8.8449999999999989</v>
      </c>
      <c r="FZ113" s="12">
        <f>IF('Données projet'!$A$244&gt;35,FZ112+FY113-GH112,IF(A113&lt;'Données projet'!$A$244,$FW$205^A113,IF(A113='Données projet'!$A$244,'Données projet'!$B$244,FZ112+FY113-GH112)))</f>
        <v>389.18000000000063</v>
      </c>
      <c r="GA113" s="17">
        <f>FZ113*VLOOKUP('Données projet'!$B$17,Paramètres!$A$1:$I$89,3,0)*VLOOKUP('Données projet'!$B$17,Paramètres!$A$1:$I$89,5,0)</f>
        <v>352.13006400000057</v>
      </c>
      <c r="GB113" s="13">
        <f t="shared" si="103"/>
        <v>82.000958535583734</v>
      </c>
      <c r="GC113" s="20">
        <f t="shared" si="79"/>
        <v>756.11153091614267</v>
      </c>
      <c r="GD113" s="59">
        <f t="shared" si="80"/>
        <v>1049.444864249476</v>
      </c>
      <c r="GE113" s="59">
        <f ca="1">AVERAGE(OFFSET($GD$3,0,0,'Données projet'!$E$17+1,1))-AVERAGE(OFFSET($H$3,0,0,'Données projet'!$E$17+1,1))</f>
        <v>486.55344536255876</v>
      </c>
      <c r="GF113" s="59">
        <f t="shared" si="104"/>
        <v>231.14794884432229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29.387477255986074</v>
      </c>
      <c r="GM113" s="21">
        <f>EXP(-LN(2)/25)*GM112+(1-EXP(-LN(2)/25))/(LN(2)/25)*Calculateur!GH113*Calculateur!GJ113*VLOOKUP('Données projet'!$B$17,Paramètres!$A$1:$I$89,3,0)*0.475*44/12</f>
        <v>22.882762832941054</v>
      </c>
      <c r="GN113" s="21">
        <f>EXP(-LN(2)/2)*GN112+(1-EXP(-LN(2)/2))/(LN(2)/2)*GH113*GK113*VLOOKUP('Données projet'!$B$17,Paramètres!$A$1:$I$89,3,0)*0.475*44/12</f>
        <v>0.7284381747841554</v>
      </c>
      <c r="GO113" s="21">
        <f t="shared" si="81"/>
        <v>52.998678263711277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437.55744435594727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252.08270526008477</v>
      </c>
      <c r="T114" s="59">
        <f t="shared" si="88"/>
        <v>239.77811108960179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138.85777503836195</v>
      </c>
      <c r="AA114" s="21">
        <f>EXP(-LN(2)/25)*AA113+(1-EXP(-LN(2)/25))/(LN(2)/25)*Calculateur!V114*Calculateur!X114*VLOOKUP('Données projet'!$B$9,Paramètres!$A$1:$I$89,3,0)*0.475*44/12</f>
        <v>40.273346755168163</v>
      </c>
      <c r="AB114" s="21">
        <f>EXP(-LN(2)/2)*AB113+(1-EXP(-LN(2)/2))/(LN(2)/2)*V114*Y114*VLOOKUP('Données projet'!$B$9,Paramètres!$A$1:$I$89,3,0)*0.475*44/12</f>
        <v>1.2084230117653478</v>
      </c>
      <c r="AC114" s="22">
        <f t="shared" si="57"/>
        <v>180.33954480529545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251.64326096359997</v>
      </c>
      <c r="AO114" s="59">
        <f t="shared" si="90"/>
        <v>256.72142151189894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50.578033624123307</v>
      </c>
      <c r="AV114" s="21">
        <f>EXP(-LN(2)/25)*AV113+(1-EXP(-LN(2)/25))/(LN(2)/25)*Calculateur!AQ114*Calculateur!AS114*VLOOKUP('Données projet'!$B$10,Paramètres!$A$1:$I$89,3,0)*0.475*44/12</f>
        <v>11.77897731455589</v>
      </c>
      <c r="AW114" s="21">
        <f>EXP(-LN(2)/2)*AW113+(1-EXP(-LN(2)/2))/(LN(2)/2)*AQ114*AT114*VLOOKUP('Données projet'!$B$10,Paramètres!$A$1:$I$89,3,0)*0.475*44/12</f>
        <v>1.2635929235852569E-6</v>
      </c>
      <c r="AX114" s="21">
        <f t="shared" si="60"/>
        <v>62.357012202272116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199.29783428981898</v>
      </c>
      <c r="BJ114" s="59">
        <f t="shared" si="92"/>
        <v>237.32002274562547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2.0997989879129872</v>
      </c>
      <c r="BQ114" s="21">
        <f>EXP(-LN(2)/25)*BQ113+(1-EXP(-LN(2)/25))/(LN(2)/25)*Calculateur!BL114*Calculateur!BN114*VLOOKUP('Données projet'!$B$11,Paramètres!$A$1:$I$89,3,0)*0.475*44/12</f>
        <v>7.1018759813309611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9.2016749692439479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8.7540000000000013</v>
      </c>
      <c r="BY114" s="12">
        <f>IF('Données projet'!$A$114&gt;35,BY113+BX114-CG113,IF(A114&lt;'Données projet'!$A$114,$BV$205^A114,IF(A114='Données projet'!$A$114,'Données projet'!$B$114,BY113+BX114-CG113)))</f>
        <v>373.67200000000025</v>
      </c>
      <c r="BZ114" s="13">
        <f>BY114*VLOOKUP('Données projet'!$B$12,Paramètres!$A$1:$I$89,3,0)*VLOOKUP('Données projet'!$B$12,Paramètres!$A$1:$I$89,5,0)</f>
        <v>314.78129280000024</v>
      </c>
      <c r="CA114" s="13">
        <f t="shared" si="93"/>
        <v>74.266463187635281</v>
      </c>
      <c r="CB114" s="20">
        <f t="shared" si="64"/>
        <v>677.59150834513196</v>
      </c>
      <c r="CC114" s="59">
        <f t="shared" si="65"/>
        <v>970.92484167846533</v>
      </c>
      <c r="CD114" s="59">
        <f ca="1">AVERAGE(OFFSET($CC$3,0,0,'Données projet'!$E$12+1,1))-AVERAGE(OFFSET($H$3,0,0,'Données projet'!$E$12+1,1))</f>
        <v>295.59075210589327</v>
      </c>
      <c r="CE114" s="59">
        <f t="shared" si="94"/>
        <v>210.41181542059576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34.570401495503141</v>
      </c>
      <c r="CL114" s="21">
        <f>EXP(-LN(2)/25)*CL113+(1-EXP(-LN(2)/25))/(LN(2)/25)*Calculateur!CG114*Calculateur!CI114*VLOOKUP('Données projet'!$B$12,Paramètres!$A$1:$I$89,3,0)*0.475*44/12</f>
        <v>18.343529679330523</v>
      </c>
      <c r="CM114" s="21">
        <f>EXP(-LN(2)/2)*CM113+(1-EXP(-LN(2)/2))/(LN(2)/2)*CG114*CJ114*VLOOKUP('Données projet'!$B$12,Paramètres!$A$1:$I$89,3,0)*0.475*44/12</f>
        <v>2.5652170427067461E-4</v>
      </c>
      <c r="CN114" s="22">
        <f t="shared" si="66"/>
        <v>52.914187696537937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1.1368683772161603E-13</v>
      </c>
      <c r="CU114" s="17">
        <f>CT114*VLOOKUP('Données projet'!$B$13,Paramètres!$A$1:$I$89,3,0)*VLOOKUP('Données projet'!$B$13,Paramètres!$A$1:$I$89,5,0)</f>
        <v>5.1727511163335289E-14</v>
      </c>
      <c r="CV114" s="13">
        <f t="shared" si="95"/>
        <v>8.3906664221915895E-13</v>
      </c>
      <c r="CW114" s="20">
        <f t="shared" si="67"/>
        <v>1.551466483807844E-12</v>
      </c>
      <c r="CX114" s="59">
        <f t="shared" si="68"/>
        <v>293.33333333333485</v>
      </c>
      <c r="CY114" s="59">
        <f ca="1">AVERAGE(OFFSET($CX$3,0,0,'Données projet'!$E$13+1,1))-AVERAGE(OFFSET($H$3,0,0,'Données projet'!$E$13+1,1))</f>
        <v>338.22448697444298</v>
      </c>
      <c r="CZ114" s="59">
        <f t="shared" si="96"/>
        <v>293.3872365640849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115.12338861701598</v>
      </c>
      <c r="DG114" s="21">
        <f>EXP(-LN(2)/25)*DG113+(1-EXP(-LN(2)/25))/(LN(2)/25)*Calculateur!DB114*Calculateur!DD114*VLOOKUP('Données projet'!$B$13,Paramètres!$A$1:$I$89,3,0)*0.475*44/12</f>
        <v>31.33402556279438</v>
      </c>
      <c r="DH114" s="21">
        <f>EXP(-LN(2)/2)*DH113+(1-EXP(-LN(2)/2))/(LN(2)/2)*DB114*DE114*VLOOKUP('Données projet'!$B$13,Paramètres!$A$1:$I$89,3,0)*0.475*44/12</f>
        <v>1.7460964934827273E-3</v>
      </c>
      <c r="DI114" s="22">
        <f t="shared" si="69"/>
        <v>146.45916027630386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5.6843418860808015E-13</v>
      </c>
      <c r="DP114" s="17">
        <f>DO114*VLOOKUP('Données projet'!$B$14,Paramètres!$A$1:$I$89,3,0)*VLOOKUP('Données projet'!$B$14,Paramètres!$A$1:$I$89,5,0)</f>
        <v>3.177547114319168E-13</v>
      </c>
      <c r="DQ114" s="13">
        <f t="shared" si="97"/>
        <v>4.1725404435445377E-12</v>
      </c>
      <c r="DR114" s="20">
        <f t="shared" si="70"/>
        <v>7.820597394917325E-12</v>
      </c>
      <c r="DS114" s="59">
        <f t="shared" si="71"/>
        <v>293.33333333334116</v>
      </c>
      <c r="DT114" s="59">
        <f ca="1">AVERAGE(OFFSET($DS$3,0,0,'Données projet'!$E$14+1,1))-AVERAGE(OFFSET($H$3,0,0,'Données projet'!$E$14+1,1))</f>
        <v>328.15217666639006</v>
      </c>
      <c r="DU114" s="59">
        <f t="shared" si="98"/>
        <v>305.59175773326308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102.44815901456747</v>
      </c>
      <c r="EB114" s="21">
        <f>EXP(-LN(2)/25)*EB113+(1-EXP(-LN(2)/25))/(LN(2)/25)*Calculateur!DW114*Calculateur!DY114*VLOOKUP('Données projet'!$B$14,Paramètres!$A$1:$I$89,3,0)*0.475*44/12</f>
        <v>24.628091173897968</v>
      </c>
      <c r="EC114" s="21">
        <f>EXP(-LN(2)/2)*EC113+(1-EXP(-LN(2)/2))/(LN(2)/2)*DW114*DZ114*VLOOKUP('Données projet'!$B$14,Paramètres!$A$1:$I$89,3,0)*0.475*44/12</f>
        <v>5.0917118325912247E-5</v>
      </c>
      <c r="ED114" s="22">
        <f t="shared" si="72"/>
        <v>127.07630110558377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159.78276497127206</v>
      </c>
      <c r="EP114" s="59">
        <f t="shared" si="100"/>
        <v>190.72163407919857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2.4389044566506586</v>
      </c>
      <c r="EW114" s="21">
        <f>EXP(-LN(2)/25)*EW113+(1-EXP(-LN(2)/25))/(LN(2)/25)*Calculateur!ER114*Calculateur!ET114*VLOOKUP('Données projet'!$B$15,Paramètres!$A$1:$I$89,3,0)*0.475*44/12</f>
        <v>8.2487881369367084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10.687692593587368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8.4449999999999985</v>
      </c>
      <c r="FE114" s="12">
        <f>IF('Données projet'!$A$218&gt;35,FE113+FD114-FM113,IF(A114&lt;'Données projet'!$A$218,$FB$205^A114,IF(A114='Données projet'!$A$218,'Données projet'!$B$218,FE113+FD114-FM113)))</f>
        <v>330.89000000000055</v>
      </c>
      <c r="FF114" s="17">
        <f>FE114*VLOOKUP('Données projet'!$B$16,Paramètres!$A$1:$I$89,3,0)*VLOOKUP('Données projet'!$B$16,Paramètres!$A$1:$I$89,5,0)</f>
        <v>283.90362000000056</v>
      </c>
      <c r="FG114" s="13">
        <f t="shared" si="101"/>
        <v>67.791290091983981</v>
      </c>
      <c r="FH114" s="20">
        <f t="shared" si="76"/>
        <v>612.53530174353966</v>
      </c>
      <c r="FI114" s="59">
        <f t="shared" si="77"/>
        <v>905.86863507687303</v>
      </c>
      <c r="FJ114" s="59">
        <f ca="1">AVERAGE(OFFSET($FI$3,0,0,'Données projet'!$E$16+1,1))-AVERAGE(OFFSET($H$3,0,0,'Données projet'!$E$16+1,1))</f>
        <v>337.15023592377008</v>
      </c>
      <c r="FK114" s="59">
        <f t="shared" si="102"/>
        <v>286.60608582587099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24.05525512644137</v>
      </c>
      <c r="FR114" s="21">
        <f>EXP(-LN(2)/25)*FR113+(1-EXP(-LN(2)/25))/(LN(2)/25)*Calculateur!FM114*Calculateur!FO114*VLOOKUP('Données projet'!$B$16,Paramètres!$A$1:$I$89,3,0)*0.475*44/12</f>
        <v>34.783000306190985</v>
      </c>
      <c r="FS114" s="21">
        <f>EXP(-LN(2)/2)*FS113+(1-EXP(-LN(2)/2))/(LN(2)/2)*FM114*FP114*VLOOKUP('Données projet'!$B$16,Paramètres!$A$1:$I$89,3,0)*0.475*44/12</f>
        <v>1.7170827978920227</v>
      </c>
      <c r="FT114" s="22">
        <f t="shared" si="78"/>
        <v>60.555338230524377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8.8449999999999989</v>
      </c>
      <c r="FZ114" s="12">
        <f>IF('Données projet'!$A$244&gt;35,FZ113+FY114-GH113,IF(A114&lt;'Données projet'!$A$244,$FW$205^A114,IF(A114='Données projet'!$A$244,'Données projet'!$B$244,FZ113+FY114-GH113)))</f>
        <v>398.02500000000066</v>
      </c>
      <c r="GA114" s="17">
        <f>FZ114*VLOOKUP('Données projet'!$B$17,Paramètres!$A$1:$I$89,3,0)*VLOOKUP('Données projet'!$B$17,Paramètres!$A$1:$I$89,5,0)</f>
        <v>360.13302000000061</v>
      </c>
      <c r="GB114" s="13">
        <f t="shared" si="103"/>
        <v>83.645526906767415</v>
      </c>
      <c r="GC114" s="20">
        <f t="shared" si="79"/>
        <v>772.91430252928774</v>
      </c>
      <c r="GD114" s="59">
        <f t="shared" si="80"/>
        <v>1066.2476358626211</v>
      </c>
      <c r="GE114" s="59">
        <f ca="1">AVERAGE(OFFSET($GD$3,0,0,'Données projet'!$E$17+1,1))-AVERAGE(OFFSET($H$3,0,0,'Données projet'!$E$17+1,1))</f>
        <v>486.55344536255876</v>
      </c>
      <c r="GF114" s="59">
        <f t="shared" si="104"/>
        <v>231.14794884432229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28.811206751587406</v>
      </c>
      <c r="GM114" s="21">
        <f>EXP(-LN(2)/25)*GM113+(1-EXP(-LN(2)/25))/(LN(2)/25)*Calculateur!GH114*Calculateur!GJ114*VLOOKUP('Données projet'!$B$17,Paramètres!$A$1:$I$89,3,0)*0.475*44/12</f>
        <v>22.257032479922085</v>
      </c>
      <c r="GN114" s="21">
        <f>EXP(-LN(2)/2)*GN113+(1-EXP(-LN(2)/2))/(LN(2)/2)*GH114*GK114*VLOOKUP('Données projet'!$B$17,Paramètres!$A$1:$I$89,3,0)*0.475*44/12</f>
        <v>0.51508357306502783</v>
      </c>
      <c r="GO114" s="21">
        <f t="shared" si="81"/>
        <v>51.583322804574522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439.1458789300288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252.08270526008477</v>
      </c>
      <c r="T115" s="59">
        <f t="shared" si="88"/>
        <v>239.77811108960179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136.13485876473953</v>
      </c>
      <c r="AA115" s="21">
        <f>EXP(-LN(2)/25)*AA114+(1-EXP(-LN(2)/25))/(LN(2)/25)*Calculateur!V115*Calculateur!X115*VLOOKUP('Données projet'!$B$9,Paramètres!$A$1:$I$89,3,0)*0.475*44/12</f>
        <v>39.172069970264829</v>
      </c>
      <c r="AB115" s="21">
        <f>EXP(-LN(2)/2)*AB114+(1-EXP(-LN(2)/2))/(LN(2)/2)*V115*Y115*VLOOKUP('Données projet'!$B$9,Paramètres!$A$1:$I$89,3,0)*0.475*44/12</f>
        <v>0.85448410616114856</v>
      </c>
      <c r="AC115" s="22">
        <f t="shared" si="57"/>
        <v>176.16141284116551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251.64326096359997</v>
      </c>
      <c r="AO115" s="59">
        <f t="shared" si="90"/>
        <v>256.72142151189894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49.586229234308618</v>
      </c>
      <c r="AV115" s="21">
        <f>EXP(-LN(2)/25)*AV114+(1-EXP(-LN(2)/25))/(LN(2)/25)*Calculateur!AQ115*Calculateur!AS115*VLOOKUP('Données projet'!$B$10,Paramètres!$A$1:$I$89,3,0)*0.475*44/12</f>
        <v>11.456880560459863</v>
      </c>
      <c r="AW115" s="21">
        <f>EXP(-LN(2)/2)*AW114+(1-EXP(-LN(2)/2))/(LN(2)/2)*AQ115*AT115*VLOOKUP('Données projet'!$B$10,Paramètres!$A$1:$I$89,3,0)*0.475*44/12</f>
        <v>8.9349512492647013E-7</v>
      </c>
      <c r="AX115" s="21">
        <f t="shared" si="60"/>
        <v>61.04311068826361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199.29783428981898</v>
      </c>
      <c r="BJ115" s="59">
        <f t="shared" si="92"/>
        <v>237.32002274562547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2.0586232105109326</v>
      </c>
      <c r="BQ115" s="21">
        <f>EXP(-LN(2)/25)*BQ114+(1-EXP(-LN(2)/25))/(LN(2)/25)*Calculateur!BL115*Calculateur!BN115*VLOOKUP('Données projet'!$B$11,Paramètres!$A$1:$I$89,3,0)*0.475*44/12</f>
        <v>6.9076748091500395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8.9662980196609716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8.7540000000000013</v>
      </c>
      <c r="BY115" s="12">
        <f>IF('Données projet'!$A$114&gt;35,BY114+BX115-CG114,IF(A115&lt;'Données projet'!$A$114,$BV$205^A115,IF(A115='Données projet'!$A$114,'Données projet'!$B$114,BY114+BX115-CG114)))</f>
        <v>382.42600000000027</v>
      </c>
      <c r="BZ115" s="13">
        <f>BY115*VLOOKUP('Données projet'!$B$12,Paramètres!$A$1:$I$89,3,0)*VLOOKUP('Données projet'!$B$12,Paramètres!$A$1:$I$89,5,0)</f>
        <v>322.15566240000027</v>
      </c>
      <c r="CA115" s="13">
        <f t="shared" si="93"/>
        <v>75.801705737131172</v>
      </c>
      <c r="CB115" s="20">
        <f t="shared" si="64"/>
        <v>693.10908283883725</v>
      </c>
      <c r="CC115" s="59">
        <f t="shared" si="65"/>
        <v>986.44241617217062</v>
      </c>
      <c r="CD115" s="59">
        <f ca="1">AVERAGE(OFFSET($CC$3,0,0,'Données projet'!$E$12+1,1))-AVERAGE(OFFSET($H$3,0,0,'Données projet'!$E$12+1,1))</f>
        <v>295.59075210589327</v>
      </c>
      <c r="CE115" s="59">
        <f t="shared" si="94"/>
        <v>210.41181542059576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33.892497008039179</v>
      </c>
      <c r="CL115" s="21">
        <f>EXP(-LN(2)/25)*CL114+(1-EXP(-LN(2)/25))/(LN(2)/25)*Calculateur!CG115*Calculateur!CI115*VLOOKUP('Données projet'!$B$12,Paramètres!$A$1:$I$89,3,0)*0.475*44/12</f>
        <v>17.841924895604929</v>
      </c>
      <c r="CM115" s="21">
        <f>EXP(-LN(2)/2)*CM114+(1-EXP(-LN(2)/2))/(LN(2)/2)*CG115*CJ115*VLOOKUP('Données projet'!$B$12,Paramètres!$A$1:$I$89,3,0)*0.475*44/12</f>
        <v>1.8138823661132417E-4</v>
      </c>
      <c r="CN115" s="22">
        <f t="shared" si="66"/>
        <v>51.734603291880717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1.1368683772161603E-13</v>
      </c>
      <c r="CU115" s="17">
        <f>CT115*VLOOKUP('Données projet'!$B$13,Paramètres!$A$1:$I$89,3,0)*VLOOKUP('Données projet'!$B$13,Paramètres!$A$1:$I$89,5,0)</f>
        <v>5.1727511163335289E-14</v>
      </c>
      <c r="CV115" s="13">
        <f t="shared" si="95"/>
        <v>8.3906664221915895E-13</v>
      </c>
      <c r="CW115" s="20">
        <f t="shared" si="67"/>
        <v>1.551466483807844E-12</v>
      </c>
      <c r="CX115" s="59">
        <f t="shared" si="68"/>
        <v>293.33333333333485</v>
      </c>
      <c r="CY115" s="59">
        <f ca="1">AVERAGE(OFFSET($CX$3,0,0,'Données projet'!$E$13+1,1))-AVERAGE(OFFSET($H$3,0,0,'Données projet'!$E$13+1,1))</f>
        <v>338.22448697444298</v>
      </c>
      <c r="CZ115" s="59">
        <f t="shared" si="96"/>
        <v>293.3872365640849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112.86588918456987</v>
      </c>
      <c r="DG115" s="21">
        <f>EXP(-LN(2)/25)*DG114+(1-EXP(-LN(2)/25))/(LN(2)/25)*Calculateur!DB115*Calculateur!DD115*VLOOKUP('Données projet'!$B$13,Paramètres!$A$1:$I$89,3,0)*0.475*44/12</f>
        <v>30.477194985994977</v>
      </c>
      <c r="DH115" s="21">
        <f>EXP(-LN(2)/2)*DH114+(1-EXP(-LN(2)/2))/(LN(2)/2)*DB115*DE115*VLOOKUP('Données projet'!$B$13,Paramètres!$A$1:$I$89,3,0)*0.475*44/12</f>
        <v>1.2346766711476887E-3</v>
      </c>
      <c r="DI115" s="22">
        <f t="shared" si="69"/>
        <v>143.344318847236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5.6843418860808015E-13</v>
      </c>
      <c r="DP115" s="17">
        <f>DO115*VLOOKUP('Données projet'!$B$14,Paramètres!$A$1:$I$89,3,0)*VLOOKUP('Données projet'!$B$14,Paramètres!$A$1:$I$89,5,0)</f>
        <v>3.177547114319168E-13</v>
      </c>
      <c r="DQ115" s="13">
        <f t="shared" si="97"/>
        <v>4.1725404435445377E-12</v>
      </c>
      <c r="DR115" s="20">
        <f t="shared" si="70"/>
        <v>7.820597394917325E-12</v>
      </c>
      <c r="DS115" s="59">
        <f t="shared" si="71"/>
        <v>293.33333333334116</v>
      </c>
      <c r="DT115" s="59">
        <f ca="1">AVERAGE(OFFSET($DS$3,0,0,'Données projet'!$E$14+1,1))-AVERAGE(OFFSET($H$3,0,0,'Données projet'!$E$14+1,1))</f>
        <v>328.15217666639006</v>
      </c>
      <c r="DU115" s="59">
        <f t="shared" si="98"/>
        <v>305.59175773326308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100.4392131034987</v>
      </c>
      <c r="EB115" s="21">
        <f>EXP(-LN(2)/25)*EB114+(1-EXP(-LN(2)/25))/(LN(2)/25)*Calculateur!DW115*Calculateur!DY115*VLOOKUP('Données projet'!$B$14,Paramètres!$A$1:$I$89,3,0)*0.475*44/12</f>
        <v>23.954634725612703</v>
      </c>
      <c r="EC115" s="21">
        <f>EXP(-LN(2)/2)*EC114+(1-EXP(-LN(2)/2))/(LN(2)/2)*DW115*DZ115*VLOOKUP('Données projet'!$B$14,Paramètres!$A$1:$I$89,3,0)*0.475*44/12</f>
        <v>3.600383964673038E-5</v>
      </c>
      <c r="ED115" s="22">
        <f t="shared" si="72"/>
        <v>124.39388383295106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159.78276497127206</v>
      </c>
      <c r="EP115" s="59">
        <f t="shared" si="100"/>
        <v>190.72163407919857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2.3910790278405711</v>
      </c>
      <c r="EW115" s="21">
        <f>EXP(-LN(2)/25)*EW114+(1-EXP(-LN(2)/25))/(LN(2)/25)*Calculateur!ER115*Calculateur!ET115*VLOOKUP('Données projet'!$B$15,Paramètres!$A$1:$I$89,3,0)*0.475*44/12</f>
        <v>8.0232245915472582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10.41430361938783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8.4449999999999985</v>
      </c>
      <c r="FE115" s="12">
        <f>IF('Données projet'!$A$218&gt;35,FE114+FD115-FM114,IF(A115&lt;'Données projet'!$A$218,$FB$205^A115,IF(A115='Données projet'!$A$218,'Données projet'!$B$218,FE114+FD115-FM114)))</f>
        <v>339.33500000000055</v>
      </c>
      <c r="FF115" s="17">
        <f>FE115*VLOOKUP('Données projet'!$B$16,Paramètres!$A$1:$I$89,3,0)*VLOOKUP('Données projet'!$B$16,Paramètres!$A$1:$I$89,5,0)</f>
        <v>291.14943000000051</v>
      </c>
      <c r="FG115" s="13">
        <f t="shared" si="101"/>
        <v>69.317822743089025</v>
      </c>
      <c r="FH115" s="20">
        <f t="shared" si="76"/>
        <v>627.81379852754765</v>
      </c>
      <c r="FI115" s="59">
        <f t="shared" si="77"/>
        <v>921.14713186088102</v>
      </c>
      <c r="FJ115" s="59">
        <f ca="1">AVERAGE(OFFSET($FI$3,0,0,'Données projet'!$E$16+1,1))-AVERAGE(OFFSET($H$3,0,0,'Données projet'!$E$16+1,1))</f>
        <v>337.15023592377008</v>
      </c>
      <c r="FK115" s="59">
        <f t="shared" si="102"/>
        <v>286.60608582587099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23.583546245668717</v>
      </c>
      <c r="FR115" s="21">
        <f>EXP(-LN(2)/25)*FR114+(1-EXP(-LN(2)/25))/(LN(2)/25)*Calculateur!FM115*Calculateur!FO115*VLOOKUP('Données projet'!$B$16,Paramètres!$A$1:$I$89,3,0)*0.475*44/12</f>
        <v>33.831857333659705</v>
      </c>
      <c r="FS115" s="21">
        <f>EXP(-LN(2)/2)*FS114+(1-EXP(-LN(2)/2))/(LN(2)/2)*FM115*FP115*VLOOKUP('Données projet'!$B$16,Paramètres!$A$1:$I$89,3,0)*0.475*44/12</f>
        <v>1.2141608902482193</v>
      </c>
      <c r="FT115" s="22">
        <f t="shared" si="78"/>
        <v>58.629564469576643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8.8449999999999989</v>
      </c>
      <c r="FZ115" s="12">
        <f>IF('Données projet'!$A$244&gt;35,FZ114+FY115-GH114,IF(A115&lt;'Données projet'!$A$244,$FW$205^A115,IF(A115='Données projet'!$A$244,'Données projet'!$B$244,FZ114+FY115-GH114)))</f>
        <v>406.87000000000069</v>
      </c>
      <c r="GA115" s="17">
        <f>FZ115*VLOOKUP('Données projet'!$B$17,Paramètres!$A$1:$I$89,3,0)*VLOOKUP('Données projet'!$B$17,Paramètres!$A$1:$I$89,5,0)</f>
        <v>368.1359760000006</v>
      </c>
      <c r="GB115" s="13">
        <f t="shared" si="103"/>
        <v>85.285846455183602</v>
      </c>
      <c r="GC115" s="20">
        <f t="shared" si="79"/>
        <v>789.70967410944593</v>
      </c>
      <c r="GD115" s="59">
        <f t="shared" si="80"/>
        <v>1083.0430074427793</v>
      </c>
      <c r="GE115" s="59">
        <f ca="1">AVERAGE(OFFSET($GD$3,0,0,'Données projet'!$E$17+1,1))-AVERAGE(OFFSET($H$3,0,0,'Données projet'!$E$17+1,1))</f>
        <v>486.55344536255876</v>
      </c>
      <c r="GF115" s="59">
        <f t="shared" si="104"/>
        <v>231.14794884432229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28.246236560289695</v>
      </c>
      <c r="GM115" s="21">
        <f>EXP(-LN(2)/25)*GM114+(1-EXP(-LN(2)/25))/(LN(2)/25)*Calculateur!GH115*Calculateur!GJ115*VLOOKUP('Données projet'!$B$17,Paramètres!$A$1:$I$89,3,0)*0.475*44/12</f>
        <v>21.648412756312148</v>
      </c>
      <c r="GN115" s="21">
        <f>EXP(-LN(2)/2)*GN114+(1-EXP(-LN(2)/2))/(LN(2)/2)*GH115*GK115*VLOOKUP('Données projet'!$B$17,Paramètres!$A$1:$I$89,3,0)*0.475*44/12</f>
        <v>0.3642190873920777</v>
      </c>
      <c r="GO115" s="21">
        <f t="shared" si="81"/>
        <v>50.258868403993922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440.73398998780704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252.08270526008477</v>
      </c>
      <c r="T116" s="59">
        <f t="shared" si="88"/>
        <v>239.77811108960179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133.46533721842789</v>
      </c>
      <c r="AA116" s="21">
        <f>EXP(-LN(2)/25)*AA115+(1-EXP(-LN(2)/25))/(LN(2)/25)*Calculateur!V116*Calculateur!X116*VLOOKUP('Données projet'!$B$9,Paramètres!$A$1:$I$89,3,0)*0.475*44/12</f>
        <v>38.100907656958306</v>
      </c>
      <c r="AB116" s="21">
        <f>EXP(-LN(2)/2)*AB115+(1-EXP(-LN(2)/2))/(LN(2)/2)*V116*Y116*VLOOKUP('Données projet'!$B$9,Paramètres!$A$1:$I$89,3,0)*0.475*44/12</f>
        <v>0.60421150588267392</v>
      </c>
      <c r="AC116" s="22">
        <f t="shared" si="57"/>
        <v>172.17045638126888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251.64326096359997</v>
      </c>
      <c r="AO116" s="59">
        <f t="shared" si="90"/>
        <v>256.72142151189894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48.613873523637253</v>
      </c>
      <c r="AV116" s="21">
        <f>EXP(-LN(2)/25)*AV115+(1-EXP(-LN(2)/25))/(LN(2)/25)*Calculateur!AQ116*Calculateur!AS116*VLOOKUP('Données projet'!$B$10,Paramètres!$A$1:$I$89,3,0)*0.475*44/12</f>
        <v>11.143591559042925</v>
      </c>
      <c r="AW116" s="21">
        <f>EXP(-LN(2)/2)*AW115+(1-EXP(-LN(2)/2))/(LN(2)/2)*AQ116*AT116*VLOOKUP('Données projet'!$B$10,Paramètres!$A$1:$I$89,3,0)*0.475*44/12</f>
        <v>6.3179646179262845E-7</v>
      </c>
      <c r="AX116" s="21">
        <f t="shared" si="60"/>
        <v>59.757465714476638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199.29783428981898</v>
      </c>
      <c r="BJ116" s="59">
        <f t="shared" si="92"/>
        <v>237.32002274562547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2.0182548649889878</v>
      </c>
      <c r="BQ116" s="21">
        <f>EXP(-LN(2)/25)*BQ115+(1-EXP(-LN(2)/25))/(LN(2)/25)*Calculateur!BL116*Calculateur!BN116*VLOOKUP('Données projet'!$B$11,Paramètres!$A$1:$I$89,3,0)*0.475*44/12</f>
        <v>6.718784078235001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8.7370389432239897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391.18</v>
      </c>
      <c r="BW116" s="12">
        <f>VLOOKUP(A116,'Données projet'!$A$113:$I$133,9,0)</f>
        <v>8.7540000000000013</v>
      </c>
      <c r="BX116" s="12">
        <f t="array" ref="BX116">INDEX(BW:BW,MIN(IF(ISNUMBER(BW116:BW312),ROW(BW116:BW312),"")))</f>
        <v>8.7540000000000013</v>
      </c>
      <c r="BY116" s="12">
        <f>IF('Données projet'!$A$114&gt;35,BY115+BX116-CG115,IF(A116&lt;'Données projet'!$A$114,$BV$205^A116,IF(A116='Données projet'!$A$114,'Données projet'!$B$114,BY115+BX116-CG115)))</f>
        <v>391.18000000000029</v>
      </c>
      <c r="BZ116" s="13">
        <f>BY116*VLOOKUP('Données projet'!$B$12,Paramètres!$A$1:$I$89,3,0)*VLOOKUP('Données projet'!$B$12,Paramètres!$A$1:$I$89,5,0)</f>
        <v>329.53003200000029</v>
      </c>
      <c r="CA116" s="13">
        <f t="shared" si="93"/>
        <v>77.332862734625849</v>
      </c>
      <c r="CB116" s="20">
        <f t="shared" si="64"/>
        <v>708.61954166280714</v>
      </c>
      <c r="CC116" s="59">
        <f t="shared" si="65"/>
        <v>1001.9528749961405</v>
      </c>
      <c r="CD116" s="59">
        <f ca="1">AVERAGE(OFFSET($CC$3,0,0,'Données projet'!$E$12+1,1))-AVERAGE(OFFSET($H$3,0,0,'Données projet'!$E$12+1,1))</f>
        <v>295.59075210589327</v>
      </c>
      <c r="CE116" s="59">
        <f t="shared" si="94"/>
        <v>210.41181542059576</v>
      </c>
      <c r="CF116" s="15">
        <f>IF(ISNA(VLOOKUP(A116,'Données projet'!$A$113:$I$133,3,0)),0,VLOOKUP(A116,'Données projet'!$A$113:$I$133,3,0))</f>
        <v>10</v>
      </c>
      <c r="CG116" s="15">
        <f>IF(ISNA(VLOOKUP(A116,'Données projet'!$A$113:$I$133,4,0)),0,VLOOKUP(A116,'Données projet'!$A$113:$I$133,4,0))</f>
        <v>68.670000000000016</v>
      </c>
      <c r="CH116" s="16">
        <f>IF(ISNA(VLOOKUP(A116,'Données projet'!$A$113:$I$133,5,0)),0%,VLOOKUP(A116,'Données projet'!$A$113:$I$133,5,0)*VLOOKUP('Données projet'!$B$12,Paramètres!$A$1:$I$89,7,0))</f>
        <v>0.215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46.976881505822647</v>
      </c>
      <c r="CL116" s="21">
        <f>EXP(-LN(2)/25)*CL115+(1-EXP(-LN(2)/25))/(LN(2)/25)*Calculateur!CG116*Calculateur!CI116*VLOOKUP('Données projet'!$B$12,Paramètres!$A$1:$I$89,3,0)*0.475*44/12</f>
        <v>22.831980783833664</v>
      </c>
      <c r="CM116" s="21">
        <f>EXP(-LN(2)/2)*CM115+(1-EXP(-LN(2)/2))/(LN(2)/2)*CG116*CJ116*VLOOKUP('Données projet'!$B$12,Paramètres!$A$1:$I$89,3,0)*0.475*44/12</f>
        <v>1.282608521353373E-4</v>
      </c>
      <c r="CN116" s="22">
        <f t="shared" si="66"/>
        <v>69.80899055050844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1.1368683772161603E-13</v>
      </c>
      <c r="CU116" s="17">
        <f>CT116*VLOOKUP('Données projet'!$B$13,Paramètres!$A$1:$I$89,3,0)*VLOOKUP('Données projet'!$B$13,Paramètres!$A$1:$I$89,5,0)</f>
        <v>5.1727511163335289E-14</v>
      </c>
      <c r="CV116" s="13">
        <f t="shared" si="95"/>
        <v>8.3906664221915895E-13</v>
      </c>
      <c r="CW116" s="20">
        <f t="shared" si="67"/>
        <v>1.551466483807844E-12</v>
      </c>
      <c r="CX116" s="59">
        <f t="shared" si="68"/>
        <v>293.33333333333485</v>
      </c>
      <c r="CY116" s="59">
        <f ca="1">AVERAGE(OFFSET($CX$3,0,0,'Données projet'!$E$13+1,1))-AVERAGE(OFFSET($H$3,0,0,'Données projet'!$E$13+1,1))</f>
        <v>338.22448697444298</v>
      </c>
      <c r="CZ116" s="59">
        <f t="shared" si="96"/>
        <v>293.3872365640849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110.65265793905533</v>
      </c>
      <c r="DG116" s="21">
        <f>EXP(-LN(2)/25)*DG115+(1-EXP(-LN(2)/25))/(LN(2)/25)*Calculateur!DB116*Calculateur!DD116*VLOOKUP('Données projet'!$B$13,Paramètres!$A$1:$I$89,3,0)*0.475*44/12</f>
        <v>29.643794486376915</v>
      </c>
      <c r="DH116" s="21">
        <f>EXP(-LN(2)/2)*DH115+(1-EXP(-LN(2)/2))/(LN(2)/2)*DB116*DE116*VLOOKUP('Données projet'!$B$13,Paramètres!$A$1:$I$89,3,0)*0.475*44/12</f>
        <v>8.7304824674136364E-4</v>
      </c>
      <c r="DI116" s="22">
        <f t="shared" si="69"/>
        <v>140.297325473679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5.6843418860808015E-13</v>
      </c>
      <c r="DP116" s="17">
        <f>DO116*VLOOKUP('Données projet'!$B$14,Paramètres!$A$1:$I$89,3,0)*VLOOKUP('Données projet'!$B$14,Paramètres!$A$1:$I$89,5,0)</f>
        <v>3.177547114319168E-13</v>
      </c>
      <c r="DQ116" s="13">
        <f t="shared" si="97"/>
        <v>4.1725404435445377E-12</v>
      </c>
      <c r="DR116" s="20">
        <f t="shared" si="70"/>
        <v>7.820597394917325E-12</v>
      </c>
      <c r="DS116" s="59">
        <f t="shared" si="71"/>
        <v>293.33333333334116</v>
      </c>
      <c r="DT116" s="59">
        <f ca="1">AVERAGE(OFFSET($DS$3,0,0,'Données projet'!$E$14+1,1))-AVERAGE(OFFSET($H$3,0,0,'Données projet'!$E$14+1,1))</f>
        <v>328.15217666639006</v>
      </c>
      <c r="DU116" s="59">
        <f t="shared" si="98"/>
        <v>305.59175773326308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98.469661396409975</v>
      </c>
      <c r="EB116" s="21">
        <f>EXP(-LN(2)/25)*EB115+(1-EXP(-LN(2)/25))/(LN(2)/25)*Calculateur!DW116*Calculateur!DY116*VLOOKUP('Données projet'!$B$14,Paramètres!$A$1:$I$89,3,0)*0.475*44/12</f>
        <v>23.299593979321333</v>
      </c>
      <c r="EC116" s="21">
        <f>EXP(-LN(2)/2)*EC115+(1-EXP(-LN(2)/2))/(LN(2)/2)*DW116*DZ116*VLOOKUP('Données projet'!$B$14,Paramètres!$A$1:$I$89,3,0)*0.475*44/12</f>
        <v>2.5458559162956124E-5</v>
      </c>
      <c r="ED116" s="22">
        <f t="shared" si="72"/>
        <v>121.76928083429047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159.78276497127206</v>
      </c>
      <c r="EP116" s="59">
        <f t="shared" si="100"/>
        <v>190.72163407919857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2.344191426518818</v>
      </c>
      <c r="EW116" s="21">
        <f>EXP(-LN(2)/25)*EW115+(1-EXP(-LN(2)/25))/(LN(2)/25)*Calculateur!ER116*Calculateur!ET116*VLOOKUP('Données projet'!$B$15,Paramètres!$A$1:$I$89,3,0)*0.475*44/12</f>
        <v>7.8038290931683543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10.148020519687172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8.4449999999999985</v>
      </c>
      <c r="FE116" s="12">
        <f>IF('Données projet'!$A$218&gt;35,FE115+FD116-FM115,IF(A116&lt;'Données projet'!$A$218,$FB$205^A116,IF(A116='Données projet'!$A$218,'Données projet'!$B$218,FE115+FD116-FM115)))</f>
        <v>347.78000000000054</v>
      </c>
      <c r="FF116" s="17">
        <f>FE116*VLOOKUP('Données projet'!$B$16,Paramètres!$A$1:$I$89,3,0)*VLOOKUP('Données projet'!$B$16,Paramètres!$A$1:$I$89,5,0)</f>
        <v>298.39524000000051</v>
      </c>
      <c r="FG116" s="13">
        <f t="shared" si="101"/>
        <v>70.83993919587239</v>
      </c>
      <c r="FH116" s="20">
        <f t="shared" si="76"/>
        <v>643.08460376614528</v>
      </c>
      <c r="FI116" s="59">
        <f t="shared" si="77"/>
        <v>936.41793709947865</v>
      </c>
      <c r="FJ116" s="59">
        <f ca="1">AVERAGE(OFFSET($FI$3,0,0,'Données projet'!$E$16+1,1))-AVERAGE(OFFSET($H$3,0,0,'Données projet'!$E$16+1,1))</f>
        <v>337.15023592377008</v>
      </c>
      <c r="FK116" s="59">
        <f t="shared" si="102"/>
        <v>286.60608582587099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23.121087288334007</v>
      </c>
      <c r="FR116" s="21">
        <f>EXP(-LN(2)/25)*FR115+(1-EXP(-LN(2)/25))/(LN(2)/25)*Calculateur!FM116*Calculateur!FO116*VLOOKUP('Données projet'!$B$16,Paramètres!$A$1:$I$89,3,0)*0.475*44/12</f>
        <v>32.906723415730724</v>
      </c>
      <c r="FS116" s="21">
        <f>EXP(-LN(2)/2)*FS115+(1-EXP(-LN(2)/2))/(LN(2)/2)*FM116*FP116*VLOOKUP('Données projet'!$B$16,Paramètres!$A$1:$I$89,3,0)*0.475*44/12</f>
        <v>0.85854139894601134</v>
      </c>
      <c r="FT116" s="22">
        <f t="shared" si="78"/>
        <v>56.886352103010744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8.8449999999999989</v>
      </c>
      <c r="FZ116" s="12">
        <f>IF('Données projet'!$A$244&gt;35,FZ115+FY116-GH115,IF(A116&lt;'Données projet'!$A$244,$FW$205^A116,IF(A116='Données projet'!$A$244,'Données projet'!$B$244,FZ115+FY116-GH115)))</f>
        <v>415.71500000000071</v>
      </c>
      <c r="GA116" s="17">
        <f>FZ116*VLOOKUP('Données projet'!$B$17,Paramètres!$A$1:$I$89,3,0)*VLOOKUP('Données projet'!$B$17,Paramètres!$A$1:$I$89,5,0)</f>
        <v>376.13893200000064</v>
      </c>
      <c r="GB116" s="13">
        <f t="shared" si="103"/>
        <v>86.922020183945492</v>
      </c>
      <c r="GC116" s="20">
        <f t="shared" si="79"/>
        <v>806.49782505370615</v>
      </c>
      <c r="GD116" s="59">
        <f t="shared" si="80"/>
        <v>1099.8311583870395</v>
      </c>
      <c r="GE116" s="59">
        <f ca="1">AVERAGE(OFFSET($GD$3,0,0,'Données projet'!$E$17+1,1))-AVERAGE(OFFSET($H$3,0,0,'Données projet'!$E$17+1,1))</f>
        <v>486.55344536255876</v>
      </c>
      <c r="GF116" s="59">
        <f t="shared" si="104"/>
        <v>231.14794884432229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27.692345089845542</v>
      </c>
      <c r="GM116" s="21">
        <f>EXP(-LN(2)/25)*GM115+(1-EXP(-LN(2)/25))/(LN(2)/25)*Calculateur!GH116*Calculateur!GJ116*VLOOKUP('Données projet'!$B$17,Paramètres!$A$1:$I$89,3,0)*0.475*44/12</f>
        <v>21.056435771050243</v>
      </c>
      <c r="GN116" s="21">
        <f>EXP(-LN(2)/2)*GN115+(1-EXP(-LN(2)/2))/(LN(2)/2)*GH116*GK116*VLOOKUP('Données projet'!$B$17,Paramètres!$A$1:$I$89,3,0)*0.475*44/12</f>
        <v>0.25754178653251392</v>
      </c>
      <c r="GO116" s="21">
        <f t="shared" si="81"/>
        <v>49.006322647428298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442.32178072394663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252.08270526008477</v>
      </c>
      <c r="T117" s="59">
        <f t="shared" si="88"/>
        <v>239.77811108960179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130.84816336139207</v>
      </c>
      <c r="AA117" s="21">
        <f>EXP(-LN(2)/25)*AA116+(1-EXP(-LN(2)/25))/(LN(2)/25)*Calculateur!V117*Calculateur!X117*VLOOKUP('Données projet'!$B$9,Paramètres!$A$1:$I$89,3,0)*0.475*44/12</f>
        <v>37.059036333439131</v>
      </c>
      <c r="AB117" s="21">
        <f>EXP(-LN(2)/2)*AB116+(1-EXP(-LN(2)/2))/(LN(2)/2)*V117*Y117*VLOOKUP('Données projet'!$B$9,Paramètres!$A$1:$I$89,3,0)*0.475*44/12</f>
        <v>0.42724205308057428</v>
      </c>
      <c r="AC117" s="22">
        <f t="shared" si="57"/>
        <v>168.33444174791177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251.64326096359997</v>
      </c>
      <c r="AO117" s="59">
        <f t="shared" si="90"/>
        <v>256.72142151189894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47.660585115373728</v>
      </c>
      <c r="AV117" s="21">
        <f>EXP(-LN(2)/25)*AV116+(1-EXP(-LN(2)/25))/(LN(2)/25)*Calculateur!AQ117*Calculateur!AS117*VLOOKUP('Données projet'!$B$10,Paramètres!$A$1:$I$89,3,0)*0.475*44/12</f>
        <v>10.838869461844885</v>
      </c>
      <c r="AW117" s="21">
        <f>EXP(-LN(2)/2)*AW116+(1-EXP(-LN(2)/2))/(LN(2)/2)*AQ117*AT117*VLOOKUP('Données projet'!$B$10,Paramètres!$A$1:$I$89,3,0)*0.475*44/12</f>
        <v>4.4674756246323506E-7</v>
      </c>
      <c r="AX117" s="21">
        <f t="shared" si="60"/>
        <v>58.499455023966178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199.29783428981898</v>
      </c>
      <c r="BJ117" s="59">
        <f t="shared" si="92"/>
        <v>237.32002274562547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1.9786781181004689</v>
      </c>
      <c r="BQ117" s="21">
        <f>EXP(-LN(2)/25)*BQ116+(1-EXP(-LN(2)/25))/(LN(2)/25)*Calculateur!BL117*Calculateur!BN117*VLOOKUP('Données projet'!$B$11,Paramètres!$A$1:$I$89,3,0)*0.475*44/12</f>
        <v>6.5350585742901659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8.5137366923906352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8.7019999999999982</v>
      </c>
      <c r="BY117" s="12">
        <f>IF('Données projet'!$A$114&gt;35,BY116+BX117-CG116,IF(A117&lt;'Données projet'!$A$114,$BV$205^A117,IF(A117='Données projet'!$A$114,'Données projet'!$B$114,BY116+BX117-CG116)))</f>
        <v>331.21200000000027</v>
      </c>
      <c r="BZ117" s="13">
        <f>BY117*VLOOKUP('Données projet'!$B$12,Paramètres!$A$1:$I$89,3,0)*VLOOKUP('Données projet'!$B$12,Paramètres!$A$1:$I$89,5,0)</f>
        <v>279.01298880000024</v>
      </c>
      <c r="CA117" s="13">
        <f t="shared" si="93"/>
        <v>66.758382192591483</v>
      </c>
      <c r="CB117" s="20">
        <f t="shared" si="64"/>
        <v>602.21847114543061</v>
      </c>
      <c r="CC117" s="59">
        <f t="shared" si="65"/>
        <v>895.55180447876387</v>
      </c>
      <c r="CD117" s="59">
        <f ca="1">AVERAGE(OFFSET($CC$3,0,0,'Données projet'!$E$12+1,1))-AVERAGE(OFFSET($H$3,0,0,'Données projet'!$E$12+1,1))</f>
        <v>295.59075210589327</v>
      </c>
      <c r="CE117" s="59">
        <f t="shared" si="94"/>
        <v>210.41181542059576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46.05569351256193</v>
      </c>
      <c r="CL117" s="21">
        <f>EXP(-LN(2)/25)*CL116+(1-EXP(-LN(2)/25))/(LN(2)/25)*Calculateur!CG117*Calculateur!CI117*VLOOKUP('Données projet'!$B$12,Paramètres!$A$1:$I$89,3,0)*0.475*44/12</f>
        <v>22.207639068618047</v>
      </c>
      <c r="CM117" s="21">
        <f>EXP(-LN(2)/2)*CM116+(1-EXP(-LN(2)/2))/(LN(2)/2)*CG117*CJ117*VLOOKUP('Données projet'!$B$12,Paramètres!$A$1:$I$89,3,0)*0.475*44/12</f>
        <v>9.0694118305662084E-5</v>
      </c>
      <c r="CN117" s="22">
        <f t="shared" si="66"/>
        <v>68.26342327529828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1.1368683772161603E-13</v>
      </c>
      <c r="CU117" s="17">
        <f>CT117*VLOOKUP('Données projet'!$B$13,Paramètres!$A$1:$I$89,3,0)*VLOOKUP('Données projet'!$B$13,Paramètres!$A$1:$I$89,5,0)</f>
        <v>5.1727511163335289E-14</v>
      </c>
      <c r="CV117" s="13">
        <f t="shared" si="95"/>
        <v>8.3906664221915895E-13</v>
      </c>
      <c r="CW117" s="20">
        <f t="shared" si="67"/>
        <v>1.551466483807844E-12</v>
      </c>
      <c r="CX117" s="59">
        <f t="shared" si="68"/>
        <v>293.33333333333485</v>
      </c>
      <c r="CY117" s="59">
        <f ca="1">AVERAGE(OFFSET($CX$3,0,0,'Données projet'!$E$13+1,1))-AVERAGE(OFFSET($H$3,0,0,'Données projet'!$E$13+1,1))</f>
        <v>338.22448697444298</v>
      </c>
      <c r="CZ117" s="59">
        <f t="shared" si="96"/>
        <v>293.3872365640849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108.48282680832757</v>
      </c>
      <c r="DG117" s="21">
        <f>EXP(-LN(2)/25)*DG116+(1-EXP(-LN(2)/25))/(LN(2)/25)*Calculateur!DB117*Calculateur!DD117*VLOOKUP('Données projet'!$B$13,Paramètres!$A$1:$I$89,3,0)*0.475*44/12</f>
        <v>28.833183367247539</v>
      </c>
      <c r="DH117" s="21">
        <f>EXP(-LN(2)/2)*DH116+(1-EXP(-LN(2)/2))/(LN(2)/2)*DB117*DE117*VLOOKUP('Données projet'!$B$13,Paramètres!$A$1:$I$89,3,0)*0.475*44/12</f>
        <v>6.1733833557384436E-4</v>
      </c>
      <c r="DI117" s="22">
        <f t="shared" si="69"/>
        <v>137.3166275139107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5.6843418860808015E-13</v>
      </c>
      <c r="DP117" s="17">
        <f>DO117*VLOOKUP('Données projet'!$B$14,Paramètres!$A$1:$I$89,3,0)*VLOOKUP('Données projet'!$B$14,Paramètres!$A$1:$I$89,5,0)</f>
        <v>3.177547114319168E-13</v>
      </c>
      <c r="DQ117" s="13">
        <f t="shared" si="97"/>
        <v>4.1725404435445377E-12</v>
      </c>
      <c r="DR117" s="20">
        <f t="shared" si="70"/>
        <v>7.820597394917325E-12</v>
      </c>
      <c r="DS117" s="59">
        <f t="shared" si="71"/>
        <v>293.33333333334116</v>
      </c>
      <c r="DT117" s="59">
        <f ca="1">AVERAGE(OFFSET($DS$3,0,0,'Données projet'!$E$14+1,1))-AVERAGE(OFFSET($H$3,0,0,'Données projet'!$E$14+1,1))</f>
        <v>328.15217666639006</v>
      </c>
      <c r="DU117" s="59">
        <f t="shared" si="98"/>
        <v>305.59175773326308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96.538731396989334</v>
      </c>
      <c r="EB117" s="21">
        <f>EXP(-LN(2)/25)*EB116+(1-EXP(-LN(2)/25))/(LN(2)/25)*Calculateur!DW117*Calculateur!DY117*VLOOKUP('Données projet'!$B$14,Paramètres!$A$1:$I$89,3,0)*0.475*44/12</f>
        <v>22.662465356684397</v>
      </c>
      <c r="EC117" s="21">
        <f>EXP(-LN(2)/2)*EC116+(1-EXP(-LN(2)/2))/(LN(2)/2)*DW117*DZ117*VLOOKUP('Données projet'!$B$14,Paramètres!$A$1:$I$89,3,0)*0.475*44/12</f>
        <v>1.800191982336519E-5</v>
      </c>
      <c r="ED117" s="22">
        <f t="shared" si="72"/>
        <v>119.20121475559355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159.78276497127206</v>
      </c>
      <c r="EP117" s="59">
        <f t="shared" si="100"/>
        <v>190.72163407919857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2.2982232624603713</v>
      </c>
      <c r="EW117" s="21">
        <f>EXP(-LN(2)/25)*EW116+(1-EXP(-LN(2)/25))/(LN(2)/25)*Calculateur!ER117*Calculateur!ET117*VLOOKUP('Données projet'!$B$15,Paramètres!$A$1:$I$89,3,0)*0.475*44/12</f>
        <v>7.5904329762301295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9.8886562386905013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8.4449999999999985</v>
      </c>
      <c r="FE117" s="12">
        <f>IF('Données projet'!$A$218&gt;35,FE116+FD117-FM116,IF(A117&lt;'Données projet'!$A$218,$FB$205^A117,IF(A117='Données projet'!$A$218,'Données projet'!$B$218,FE116+FD117-FM116)))</f>
        <v>356.22500000000053</v>
      </c>
      <c r="FF117" s="17">
        <f>FE117*VLOOKUP('Données projet'!$B$16,Paramètres!$A$1:$I$89,3,0)*VLOOKUP('Données projet'!$B$16,Paramètres!$A$1:$I$89,5,0)</f>
        <v>305.64105000000046</v>
      </c>
      <c r="FG117" s="13">
        <f t="shared" si="101"/>
        <v>72.357759024165901</v>
      </c>
      <c r="FH117" s="20">
        <f t="shared" si="76"/>
        <v>658.34792571708965</v>
      </c>
      <c r="FI117" s="59">
        <f t="shared" si="77"/>
        <v>951.68125905042302</v>
      </c>
      <c r="FJ117" s="59">
        <f ca="1">AVERAGE(OFFSET($FI$3,0,0,'Données projet'!$E$16+1,1))-AVERAGE(OFFSET($H$3,0,0,'Données projet'!$E$16+1,1))</f>
        <v>337.15023592377008</v>
      </c>
      <c r="FK117" s="59">
        <f t="shared" si="102"/>
        <v>286.60608582587099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22.667696869080519</v>
      </c>
      <c r="FR117" s="21">
        <f>EXP(-LN(2)/25)*FR116+(1-EXP(-LN(2)/25))/(LN(2)/25)*Calculateur!FM117*Calculateur!FO117*VLOOKUP('Données projet'!$B$16,Paramètres!$A$1:$I$89,3,0)*0.475*44/12</f>
        <v>32.006887333438193</v>
      </c>
      <c r="FS117" s="21">
        <f>EXP(-LN(2)/2)*FS116+(1-EXP(-LN(2)/2))/(LN(2)/2)*FM117*FP117*VLOOKUP('Données projet'!$B$16,Paramètres!$A$1:$I$89,3,0)*0.475*44/12</f>
        <v>0.60708044512410964</v>
      </c>
      <c r="FT117" s="22">
        <f t="shared" si="78"/>
        <v>55.281664647642828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>
        <f>VLOOKUP(A117,'Données projet'!$A$243:$I$263,2,0)</f>
        <v>424.56</v>
      </c>
      <c r="FX117" s="12">
        <f>VLOOKUP(A117,'Données projet'!$A$243:$I$263,9,0)</f>
        <v>8.8449999999999989</v>
      </c>
      <c r="FY117" s="12">
        <f t="array" ref="FY117">INDEX(FX:FX,MIN(IF(ISNUMBER(FX117:FX313),ROW(FX117:FX313),"")))</f>
        <v>8.8449999999999989</v>
      </c>
      <c r="FZ117" s="12">
        <f>IF('Données projet'!$A$244&gt;35,FZ116+FY117-GH116,IF(A117&lt;'Données projet'!$A$244,$FW$205^A117,IF(A117='Données projet'!$A$244,'Données projet'!$B$244,FZ116+FY117-GH116)))</f>
        <v>424.56000000000074</v>
      </c>
      <c r="GA117" s="17">
        <f>FZ117*VLOOKUP('Données projet'!$B$17,Paramètres!$A$1:$I$89,3,0)*VLOOKUP('Données projet'!$B$17,Paramètres!$A$1:$I$89,5,0)</f>
        <v>384.14188800000068</v>
      </c>
      <c r="GB117" s="13">
        <f t="shared" si="103"/>
        <v>88.554146462646884</v>
      </c>
      <c r="GC117" s="20">
        <f t="shared" si="79"/>
        <v>823.27892668911102</v>
      </c>
      <c r="GD117" s="59">
        <f t="shared" si="80"/>
        <v>1116.6122600224444</v>
      </c>
      <c r="GE117" s="59">
        <f ca="1">AVERAGE(OFFSET($GD$3,0,0,'Données projet'!$E$17+1,1))-AVERAGE(OFFSET($H$3,0,0,'Données projet'!$E$17+1,1))</f>
        <v>486.55344536255876</v>
      </c>
      <c r="GF117" s="59">
        <f t="shared" si="104"/>
        <v>231.14794884432229</v>
      </c>
      <c r="GG117" s="15">
        <f>IF(ISNA(VLOOKUP(A117,'Données projet'!$A$243:$I$263,3,0)),0,VLOOKUP(A117,'Données projet'!$A$243:$I$263,3,0))</f>
        <v>9</v>
      </c>
      <c r="GH117" s="15">
        <f>IF(ISNA(VLOOKUP(A117,'Données projet'!$A$243:$I$263,4,0)),0,VLOOKUP(A117,'Données projet'!$A$243:$I$263,4,0))</f>
        <v>61.860000000000014</v>
      </c>
      <c r="GI117" s="16">
        <f>IF(ISNA(VLOOKUP(A117,'Données projet'!$A$243:$I$263,5,0)),0%,VLOOKUP(A117,'Données projet'!$A$243:$I$263,5,0)*VLOOKUP('Données projet'!$B$17,Paramètres!$A$1:$I$89,7,0))</f>
        <v>0.15049999999999999</v>
      </c>
      <c r="GJ117" s="16">
        <f>IF(ISNA(VLOOKUP(A117,'Données projet'!$A$243:$I$263,6,0)),0%,VLOOKUP(A117,'Données projet'!$A$243:$I$263,6,0)*VLOOKUP('Données projet'!$B$17,Paramètres!$A$1:$I$89,7,0))</f>
        <v>8.6000000000000007E-2</v>
      </c>
      <c r="GK117" s="16">
        <f>IF(ISNA(VLOOKUP(A117,'Données projet'!$A$243:$I$263,7,0)),0%,VLOOKUP(A117,'Données projet'!$A$243:$I$263,7,0))</f>
        <v>0.1</v>
      </c>
      <c r="GL117" s="21">
        <f>EXP(-LN(2)/35)*GL116+(1-EXP(-LN(2)/35))/(LN(2)/35)*GH117*GI117*VLOOKUP('Données projet'!$B$17,Paramètres!$A$1:$I$89,3,0)*0.475*44/12</f>
        <v>36.461382647651561</v>
      </c>
      <c r="GM117" s="21">
        <f>EXP(-LN(2)/25)*GM116+(1-EXP(-LN(2)/25))/(LN(2)/25)*Calculateur!GH117*Calculateur!GJ117*VLOOKUP('Données projet'!$B$17,Paramètres!$A$1:$I$89,3,0)*0.475*44/12</f>
        <v>25.780876368276925</v>
      </c>
      <c r="GN117" s="21">
        <f>EXP(-LN(2)/2)*GN116+(1-EXP(-LN(2)/2))/(LN(2)/2)*GH117*GK117*VLOOKUP('Données projet'!$B$17,Paramètres!$A$1:$I$89,3,0)*0.475*44/12</f>
        <v>5.4631172440400739</v>
      </c>
      <c r="GO117" s="21">
        <f t="shared" si="81"/>
        <v>67.70537625996856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443.90925427383166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252.08270526008477</v>
      </c>
      <c r="T118" s="59">
        <f t="shared" si="88"/>
        <v>239.77811108960179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128.28231068737429</v>
      </c>
      <c r="AA118" s="21">
        <f>EXP(-LN(2)/25)*AA117+(1-EXP(-LN(2)/25))/(LN(2)/25)*Calculateur!V118*Calculateur!X118*VLOOKUP('Données projet'!$B$9,Paramètres!$A$1:$I$89,3,0)*0.475*44/12</f>
        <v>36.045655036051215</v>
      </c>
      <c r="AB118" s="21">
        <f>EXP(-LN(2)/2)*AB117+(1-EXP(-LN(2)/2))/(LN(2)/2)*V118*Y118*VLOOKUP('Données projet'!$B$9,Paramètres!$A$1:$I$89,3,0)*0.475*44/12</f>
        <v>0.30210575294133696</v>
      </c>
      <c r="AC118" s="22">
        <f t="shared" si="57"/>
        <v>164.63007147636685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251.64326096359997</v>
      </c>
      <c r="AO118" s="59">
        <f t="shared" si="90"/>
        <v>256.72142151189894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46.725990111347734</v>
      </c>
      <c r="AV118" s="21">
        <f>EXP(-LN(2)/25)*AV117+(1-EXP(-LN(2)/25))/(LN(2)/25)*Calculateur!AQ118*Calculateur!AS118*VLOOKUP('Données projet'!$B$10,Paramètres!$A$1:$I$89,3,0)*0.475*44/12</f>
        <v>10.542480006419364</v>
      </c>
      <c r="AW118" s="21">
        <f>EXP(-LN(2)/2)*AW117+(1-EXP(-LN(2)/2))/(LN(2)/2)*AQ118*AT118*VLOOKUP('Données projet'!$B$10,Paramètres!$A$1:$I$89,3,0)*0.475*44/12</f>
        <v>3.1589823089631423E-7</v>
      </c>
      <c r="AX118" s="21">
        <f t="shared" si="60"/>
        <v>57.268470433665328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199.29783428981898</v>
      </c>
      <c r="BJ118" s="59">
        <f t="shared" si="92"/>
        <v>237.32002274562547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1.9398774470790019</v>
      </c>
      <c r="BQ118" s="21">
        <f>EXP(-LN(2)/25)*BQ117+(1-EXP(-LN(2)/25))/(LN(2)/25)*Calculateur!BL118*Calculateur!BN118*VLOOKUP('Données projet'!$B$11,Paramètres!$A$1:$I$89,3,0)*0.475*44/12</f>
        <v>6.356357053912407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8.2962345009914085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8.7019999999999982</v>
      </c>
      <c r="BY118" s="12">
        <f>IF('Données projet'!$A$114&gt;35,BY117+BX118-CG117,IF(A118&lt;'Données projet'!$A$114,$BV$205^A118,IF(A118='Données projet'!$A$114,'Données projet'!$B$114,BY117+BX118-CG117)))</f>
        <v>339.91400000000027</v>
      </c>
      <c r="BZ118" s="13">
        <f>BY118*VLOOKUP('Données projet'!$B$12,Paramètres!$A$1:$I$89,3,0)*VLOOKUP('Données projet'!$B$12,Paramètres!$A$1:$I$89,5,0)</f>
        <v>286.34355360000023</v>
      </c>
      <c r="CA118" s="13">
        <f t="shared" si="93"/>
        <v>68.305831219417541</v>
      </c>
      <c r="CB118" s="20">
        <f t="shared" si="64"/>
        <v>617.68101189381935</v>
      </c>
      <c r="CC118" s="59">
        <f t="shared" si="65"/>
        <v>911.01434522715272</v>
      </c>
      <c r="CD118" s="59">
        <f ca="1">AVERAGE(OFFSET($CC$3,0,0,'Données projet'!$E$12+1,1))-AVERAGE(OFFSET($H$3,0,0,'Données projet'!$E$12+1,1))</f>
        <v>295.59075210589327</v>
      </c>
      <c r="CE118" s="59">
        <f t="shared" si="94"/>
        <v>210.41181542059576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45.152569453979858</v>
      </c>
      <c r="CL118" s="21">
        <f>EXP(-LN(2)/25)*CL117+(1-EXP(-LN(2)/25))/(LN(2)/25)*Calculateur!CG118*Calculateur!CI118*VLOOKUP('Données projet'!$B$12,Paramètres!$A$1:$I$89,3,0)*0.475*44/12</f>
        <v>21.600370010437704</v>
      </c>
      <c r="CM118" s="21">
        <f>EXP(-LN(2)/2)*CM117+(1-EXP(-LN(2)/2))/(LN(2)/2)*CG118*CJ118*VLOOKUP('Données projet'!$B$12,Paramètres!$A$1:$I$89,3,0)*0.475*44/12</f>
        <v>6.4130426067668652E-5</v>
      </c>
      <c r="CN118" s="22">
        <f t="shared" si="66"/>
        <v>66.753003594843634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1.1368683772161603E-13</v>
      </c>
      <c r="CU118" s="17">
        <f>CT118*VLOOKUP('Données projet'!$B$13,Paramètres!$A$1:$I$89,3,0)*VLOOKUP('Données projet'!$B$13,Paramètres!$A$1:$I$89,5,0)</f>
        <v>5.1727511163335289E-14</v>
      </c>
      <c r="CV118" s="13">
        <f t="shared" si="95"/>
        <v>8.3906664221915895E-13</v>
      </c>
      <c r="CW118" s="20">
        <f t="shared" si="67"/>
        <v>1.551466483807844E-12</v>
      </c>
      <c r="CX118" s="59">
        <f t="shared" si="68"/>
        <v>293.33333333333485</v>
      </c>
      <c r="CY118" s="59">
        <f ca="1">AVERAGE(OFFSET($CX$3,0,0,'Données projet'!$E$13+1,1))-AVERAGE(OFFSET($H$3,0,0,'Données projet'!$E$13+1,1))</f>
        <v>338.22448697444298</v>
      </c>
      <c r="CZ118" s="59">
        <f t="shared" si="96"/>
        <v>293.3872365640849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106.35554474260708</v>
      </c>
      <c r="DG118" s="21">
        <f>EXP(-LN(2)/25)*DG117+(1-EXP(-LN(2)/25))/(LN(2)/25)*Calculateur!DB118*Calculateur!DD118*VLOOKUP('Données projet'!$B$13,Paramètres!$A$1:$I$89,3,0)*0.475*44/12</f>
        <v>28.044738451798942</v>
      </c>
      <c r="DH118" s="21">
        <f>EXP(-LN(2)/2)*DH117+(1-EXP(-LN(2)/2))/(LN(2)/2)*DB118*DE118*VLOOKUP('Données projet'!$B$13,Paramètres!$A$1:$I$89,3,0)*0.475*44/12</f>
        <v>4.3652412337068182E-4</v>
      </c>
      <c r="DI118" s="22">
        <f t="shared" si="69"/>
        <v>134.40071971852939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5.6843418860808015E-13</v>
      </c>
      <c r="DP118" s="17">
        <f>DO118*VLOOKUP('Données projet'!$B$14,Paramètres!$A$1:$I$89,3,0)*VLOOKUP('Données projet'!$B$14,Paramètres!$A$1:$I$89,5,0)</f>
        <v>3.177547114319168E-13</v>
      </c>
      <c r="DQ118" s="13">
        <f t="shared" si="97"/>
        <v>4.1725404435445377E-12</v>
      </c>
      <c r="DR118" s="20">
        <f t="shared" si="70"/>
        <v>7.820597394917325E-12</v>
      </c>
      <c r="DS118" s="59">
        <f t="shared" si="71"/>
        <v>293.33333333334116</v>
      </c>
      <c r="DT118" s="59">
        <f ca="1">AVERAGE(OFFSET($DS$3,0,0,'Données projet'!$E$14+1,1))-AVERAGE(OFFSET($H$3,0,0,'Données projet'!$E$14+1,1))</f>
        <v>328.15217666639006</v>
      </c>
      <c r="DU118" s="59">
        <f t="shared" si="98"/>
        <v>305.59175773326308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94.645665757106329</v>
      </c>
      <c r="EB118" s="21">
        <f>EXP(-LN(2)/25)*EB117+(1-EXP(-LN(2)/25))/(LN(2)/25)*Calculateur!DW118*Calculateur!DY118*VLOOKUP('Données projet'!$B$14,Paramètres!$A$1:$I$89,3,0)*0.475*44/12</f>
        <v>22.042759049738606</v>
      </c>
      <c r="EC118" s="21">
        <f>EXP(-LN(2)/2)*EC117+(1-EXP(-LN(2)/2))/(LN(2)/2)*DW118*DZ118*VLOOKUP('Données projet'!$B$14,Paramètres!$A$1:$I$89,3,0)*0.475*44/12</f>
        <v>1.2729279581478062E-5</v>
      </c>
      <c r="ED118" s="22">
        <f t="shared" si="72"/>
        <v>116.68843753612451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159.78276497127206</v>
      </c>
      <c r="EP118" s="59">
        <f t="shared" si="100"/>
        <v>190.72163407919857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2.2531565060612997</v>
      </c>
      <c r="EW118" s="21">
        <f>EXP(-LN(2)/25)*EW117+(1-EXP(-LN(2)/25))/(LN(2)/25)*Calculateur!ER118*Calculateur!ET118*VLOOKUP('Données projet'!$B$15,Paramètres!$A$1:$I$89,3,0)*0.475*44/12</f>
        <v>7.3828721873315946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9.6360286933928947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8.4449999999999985</v>
      </c>
      <c r="FE118" s="12">
        <f>IF('Données projet'!$A$218&gt;35,FE117+FD118-FM117,IF(A118&lt;'Données projet'!$A$218,$FB$205^A118,IF(A118='Données projet'!$A$218,'Données projet'!$B$218,FE117+FD118-FM117)))</f>
        <v>364.67000000000053</v>
      </c>
      <c r="FF118" s="17">
        <f>FE118*VLOOKUP('Données projet'!$B$16,Paramètres!$A$1:$I$89,3,0)*VLOOKUP('Données projet'!$B$16,Paramètres!$A$1:$I$89,5,0)</f>
        <v>312.88686000000052</v>
      </c>
      <c r="FG118" s="13">
        <f t="shared" si="101"/>
        <v>73.871395808963157</v>
      </c>
      <c r="FH118" s="20">
        <f t="shared" si="76"/>
        <v>673.60396220061159</v>
      </c>
      <c r="FI118" s="59">
        <f t="shared" si="77"/>
        <v>966.93729553394496</v>
      </c>
      <c r="FJ118" s="59">
        <f ca="1">AVERAGE(OFFSET($FI$3,0,0,'Données projet'!$E$16+1,1))-AVERAGE(OFFSET($H$3,0,0,'Données projet'!$E$16+1,1))</f>
        <v>337.15023592377008</v>
      </c>
      <c r="FK118" s="59">
        <f t="shared" si="102"/>
        <v>286.60608582587099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22.223197159407743</v>
      </c>
      <c r="FR118" s="21">
        <f>EXP(-LN(2)/25)*FR117+(1-EXP(-LN(2)/25))/(LN(2)/25)*Calculateur!FM118*Calculateur!FO118*VLOOKUP('Données projet'!$B$16,Paramètres!$A$1:$I$89,3,0)*0.475*44/12</f>
        <v>31.131657316136273</v>
      </c>
      <c r="FS118" s="21">
        <f>EXP(-LN(2)/2)*FS117+(1-EXP(-LN(2)/2))/(LN(2)/2)*FM118*FP118*VLOOKUP('Données projet'!$B$16,Paramètres!$A$1:$I$89,3,0)*0.475*44/12</f>
        <v>0.42927069947300567</v>
      </c>
      <c r="FT118" s="22">
        <f t="shared" si="78"/>
        <v>53.784125175017024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8.9160000000000021</v>
      </c>
      <c r="FZ118" s="12">
        <f>IF('Données projet'!$A$244&gt;35,FZ117+FY118-GH117,IF(A118&lt;'Données projet'!$A$244,$FW$205^A118,IF(A118='Données projet'!$A$244,'Données projet'!$B$244,FZ117+FY118-GH117)))</f>
        <v>371.61600000000072</v>
      </c>
      <c r="GA118" s="17">
        <f>FZ118*VLOOKUP('Données projet'!$B$17,Paramètres!$A$1:$I$89,3,0)*VLOOKUP('Données projet'!$B$17,Paramètres!$A$1:$I$89,5,0)</f>
        <v>336.23815680000064</v>
      </c>
      <c r="GB118" s="13">
        <f t="shared" si="103"/>
        <v>78.722223243612518</v>
      </c>
      <c r="GC118" s="20">
        <f t="shared" si="79"/>
        <v>722.72266190929292</v>
      </c>
      <c r="GD118" s="59">
        <f t="shared" si="80"/>
        <v>1016.0559952426263</v>
      </c>
      <c r="GE118" s="59">
        <f ca="1">AVERAGE(OFFSET($GD$3,0,0,'Données projet'!$E$17+1,1))-AVERAGE(OFFSET($H$3,0,0,'Données projet'!$E$17+1,1))</f>
        <v>486.55344536255876</v>
      </c>
      <c r="GF118" s="59">
        <f t="shared" si="104"/>
        <v>231.14794884432229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35.746397173178586</v>
      </c>
      <c r="GM118" s="21">
        <f>EXP(-LN(2)/25)*GM117+(1-EXP(-LN(2)/25))/(LN(2)/25)*Calculateur!GH118*Calculateur!GJ118*VLOOKUP('Données projet'!$B$17,Paramètres!$A$1:$I$89,3,0)*0.475*44/12</f>
        <v>25.075896948229026</v>
      </c>
      <c r="GN118" s="21">
        <f>EXP(-LN(2)/2)*GN117+(1-EXP(-LN(2)/2))/(LN(2)/2)*GH118*GK118*VLOOKUP('Données projet'!$B$17,Paramètres!$A$1:$I$89,3,0)*0.475*44/12</f>
        <v>3.8630072496778993</v>
      </c>
      <c r="GO118" s="21">
        <f t="shared" si="81"/>
        <v>64.685301371085501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445.49641371517112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252.08270526008477</v>
      </c>
      <c r="T119" s="59">
        <f t="shared" si="88"/>
        <v>239.77811108960179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125.7667728192784</v>
      </c>
      <c r="AA119" s="21">
        <f>EXP(-LN(2)/25)*AA118+(1-EXP(-LN(2)/25))/(LN(2)/25)*Calculateur!V119*Calculateur!X119*VLOOKUP('Données projet'!$B$9,Paramètres!$A$1:$I$89,3,0)*0.475*44/12</f>
        <v>35.059984703531782</v>
      </c>
      <c r="AB119" s="21">
        <f>EXP(-LN(2)/2)*AB118+(1-EXP(-LN(2)/2))/(LN(2)/2)*V119*Y119*VLOOKUP('Données projet'!$B$9,Paramètres!$A$1:$I$89,3,0)*0.475*44/12</f>
        <v>0.21362102654028714</v>
      </c>
      <c r="AC119" s="22">
        <f t="shared" si="57"/>
        <v>161.04037854935046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251.64326096359997</v>
      </c>
      <c r="AO119" s="59">
        <f t="shared" si="90"/>
        <v>256.72142151189894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45.809721945304027</v>
      </c>
      <c r="AV119" s="21">
        <f>EXP(-LN(2)/25)*AV118+(1-EXP(-LN(2)/25))/(LN(2)/25)*Calculateur!AQ119*Calculateur!AS119*VLOOKUP('Données projet'!$B$10,Paramètres!$A$1:$I$89,3,0)*0.475*44/12</f>
        <v>10.254195336238897</v>
      </c>
      <c r="AW119" s="21">
        <f>EXP(-LN(2)/2)*AW118+(1-EXP(-LN(2)/2))/(LN(2)/2)*AQ119*AT119*VLOOKUP('Données projet'!$B$10,Paramètres!$A$1:$I$89,3,0)*0.475*44/12</f>
        <v>2.2337378123161753E-7</v>
      </c>
      <c r="AX119" s="21">
        <f t="shared" si="60"/>
        <v>56.063917504916709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199.29783428981898</v>
      </c>
      <c r="BJ119" s="59">
        <f t="shared" si="92"/>
        <v>237.32002274562547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1.9018376335501932</v>
      </c>
      <c r="BQ119" s="21">
        <f>EXP(-LN(2)/25)*BQ118+(1-EXP(-LN(2)/25))/(LN(2)/25)*Calculateur!BL119*Calculateur!BN119*VLOOKUP('Données projet'!$B$11,Paramètres!$A$1:$I$89,3,0)*0.475*44/12</f>
        <v>6.1825421360068828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8.084379769557076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8.7019999999999982</v>
      </c>
      <c r="BY119" s="12">
        <f>IF('Données projet'!$A$114&gt;35,BY118+BX119-CG118,IF(A119&lt;'Données projet'!$A$114,$BV$205^A119,IF(A119='Données projet'!$A$114,'Données projet'!$B$114,BY118+BX119-CG118)))</f>
        <v>348.61600000000027</v>
      </c>
      <c r="BZ119" s="13">
        <f>BY119*VLOOKUP('Données projet'!$B$12,Paramètres!$A$1:$I$89,3,0)*VLOOKUP('Données projet'!$B$12,Paramètres!$A$1:$I$89,5,0)</f>
        <v>293.67411840000022</v>
      </c>
      <c r="CA119" s="13">
        <f t="shared" si="93"/>
        <v>69.848675321079924</v>
      </c>
      <c r="CB119" s="20">
        <f t="shared" si="64"/>
        <v>633.13553239754788</v>
      </c>
      <c r="CC119" s="59">
        <f t="shared" si="65"/>
        <v>926.46886573088113</v>
      </c>
      <c r="CD119" s="59">
        <f ca="1">AVERAGE(OFFSET($CC$3,0,0,'Données projet'!$E$12+1,1))-AVERAGE(OFFSET($H$3,0,0,'Données projet'!$E$12+1,1))</f>
        <v>295.59075210589327</v>
      </c>
      <c r="CE119" s="59">
        <f t="shared" si="94"/>
        <v>210.41181542059576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44.267155107335299</v>
      </c>
      <c r="CL119" s="21">
        <f>EXP(-LN(2)/25)*CL118+(1-EXP(-LN(2)/25))/(LN(2)/25)*Calculateur!CG119*Calculateur!CI119*VLOOKUP('Données projet'!$B$12,Paramètres!$A$1:$I$89,3,0)*0.475*44/12</f>
        <v>21.009706756588194</v>
      </c>
      <c r="CM119" s="21">
        <f>EXP(-LN(2)/2)*CM118+(1-EXP(-LN(2)/2))/(LN(2)/2)*CG119*CJ119*VLOOKUP('Données projet'!$B$12,Paramètres!$A$1:$I$89,3,0)*0.475*44/12</f>
        <v>4.5347059152831042E-5</v>
      </c>
      <c r="CN119" s="22">
        <f t="shared" si="66"/>
        <v>65.276907210982657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1.1368683772161603E-13</v>
      </c>
      <c r="CU119" s="17">
        <f>CT119*VLOOKUP('Données projet'!$B$13,Paramètres!$A$1:$I$89,3,0)*VLOOKUP('Données projet'!$B$13,Paramètres!$A$1:$I$89,5,0)</f>
        <v>5.1727511163335289E-14</v>
      </c>
      <c r="CV119" s="13">
        <f t="shared" si="95"/>
        <v>8.3906664221915895E-13</v>
      </c>
      <c r="CW119" s="20">
        <f t="shared" si="67"/>
        <v>1.551466483807844E-12</v>
      </c>
      <c r="CX119" s="59">
        <f t="shared" si="68"/>
        <v>293.33333333333485</v>
      </c>
      <c r="CY119" s="59">
        <f ca="1">AVERAGE(OFFSET($CX$3,0,0,'Données projet'!$E$13+1,1))-AVERAGE(OFFSET($H$3,0,0,'Données projet'!$E$13+1,1))</f>
        <v>338.22448697444298</v>
      </c>
      <c r="CZ119" s="59">
        <f t="shared" si="96"/>
        <v>293.3872365640849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104.26997738068142</v>
      </c>
      <c r="DG119" s="21">
        <f>EXP(-LN(2)/25)*DG118+(1-EXP(-LN(2)/25))/(LN(2)/25)*Calculateur!DB119*Calculateur!DD119*VLOOKUP('Données projet'!$B$13,Paramètres!$A$1:$I$89,3,0)*0.475*44/12</f>
        <v>27.2778536040258</v>
      </c>
      <c r="DH119" s="21">
        <f>EXP(-LN(2)/2)*DH118+(1-EXP(-LN(2)/2))/(LN(2)/2)*DB119*DE119*VLOOKUP('Données projet'!$B$13,Paramètres!$A$1:$I$89,3,0)*0.475*44/12</f>
        <v>3.0866916778692218E-4</v>
      </c>
      <c r="DI119" s="22">
        <f t="shared" si="69"/>
        <v>131.54813965387501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5.6843418860808015E-13</v>
      </c>
      <c r="DP119" s="17">
        <f>DO119*VLOOKUP('Données projet'!$B$14,Paramètres!$A$1:$I$89,3,0)*VLOOKUP('Données projet'!$B$14,Paramètres!$A$1:$I$89,5,0)</f>
        <v>3.177547114319168E-13</v>
      </c>
      <c r="DQ119" s="13">
        <f t="shared" si="97"/>
        <v>4.1725404435445377E-12</v>
      </c>
      <c r="DR119" s="20">
        <f t="shared" si="70"/>
        <v>7.820597394917325E-12</v>
      </c>
      <c r="DS119" s="59">
        <f t="shared" si="71"/>
        <v>293.33333333334116</v>
      </c>
      <c r="DT119" s="59">
        <f ca="1">AVERAGE(OFFSET($DS$3,0,0,'Données projet'!$E$14+1,1))-AVERAGE(OFFSET($H$3,0,0,'Données projet'!$E$14+1,1))</f>
        <v>328.15217666639006</v>
      </c>
      <c r="DU119" s="59">
        <f t="shared" si="98"/>
        <v>305.59175773326308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92.789721979765403</v>
      </c>
      <c r="EB119" s="21">
        <f>EXP(-LN(2)/25)*EB118+(1-EXP(-LN(2)/25))/(LN(2)/25)*Calculateur!DW119*Calculateur!DY119*VLOOKUP('Données projet'!$B$14,Paramètres!$A$1:$I$89,3,0)*0.475*44/12</f>
        <v>21.439998644345184</v>
      </c>
      <c r="EC119" s="21">
        <f>EXP(-LN(2)/2)*EC118+(1-EXP(-LN(2)/2))/(LN(2)/2)*DW119*DZ119*VLOOKUP('Données projet'!$B$14,Paramètres!$A$1:$I$89,3,0)*0.475*44/12</f>
        <v>9.0009599116825949E-6</v>
      </c>
      <c r="ED119" s="22">
        <f t="shared" si="72"/>
        <v>114.22972962507049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159.78276497127206</v>
      </c>
      <c r="EP119" s="59">
        <f t="shared" si="100"/>
        <v>190.72163407919857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2.2089734812672064</v>
      </c>
      <c r="EW119" s="21">
        <f>EXP(-LN(2)/25)*EW118+(1-EXP(-LN(2)/25))/(LN(2)/25)*Calculateur!ER119*Calculateur!ET119*VLOOKUP('Données projet'!$B$15,Paramètres!$A$1:$I$89,3,0)*0.475*44/12</f>
        <v>7.1809871591206376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9.3899606403878444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8.4449999999999985</v>
      </c>
      <c r="FE119" s="12">
        <f>IF('Données projet'!$A$218&gt;35,FE118+FD119-FM118,IF(A119&lt;'Données projet'!$A$218,$FB$205^A119,IF(A119='Données projet'!$A$218,'Données projet'!$B$218,FE118+FD119-FM118)))</f>
        <v>373.11500000000052</v>
      </c>
      <c r="FF119" s="17">
        <f>FE119*VLOOKUP('Données projet'!$B$16,Paramètres!$A$1:$I$89,3,0)*VLOOKUP('Données projet'!$B$16,Paramètres!$A$1:$I$89,5,0)</f>
        <v>320.13267000000047</v>
      </c>
      <c r="FG119" s="13">
        <f t="shared" si="101"/>
        <v>75.380957570491191</v>
      </c>
      <c r="FH119" s="20">
        <f t="shared" si="76"/>
        <v>688.85290135193964</v>
      </c>
      <c r="FI119" s="59">
        <f t="shared" si="77"/>
        <v>982.18623468527289</v>
      </c>
      <c r="FJ119" s="59">
        <f ca="1">AVERAGE(OFFSET($FI$3,0,0,'Données projet'!$E$16+1,1))-AVERAGE(OFFSET($H$3,0,0,'Données projet'!$E$16+1,1))</f>
        <v>337.15023592377008</v>
      </c>
      <c r="FK119" s="59">
        <f t="shared" si="102"/>
        <v>286.60608582587099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21.787413817923596</v>
      </c>
      <c r="FR119" s="21">
        <f>EXP(-LN(2)/25)*FR118+(1-EXP(-LN(2)/25))/(LN(2)/25)*Calculateur!FM119*Calculateur!FO119*VLOOKUP('Données projet'!$B$16,Paramètres!$A$1:$I$89,3,0)*0.475*44/12</f>
        <v>30.28036050968382</v>
      </c>
      <c r="FS119" s="21">
        <f>EXP(-LN(2)/2)*FS118+(1-EXP(-LN(2)/2))/(LN(2)/2)*FM119*FP119*VLOOKUP('Données projet'!$B$16,Paramètres!$A$1:$I$89,3,0)*0.475*44/12</f>
        <v>0.30354022256205482</v>
      </c>
      <c r="FT119" s="22">
        <f t="shared" si="78"/>
        <v>52.371314550169473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8.9160000000000021</v>
      </c>
      <c r="FZ119" s="12">
        <f>IF('Données projet'!$A$244&gt;35,FZ118+FY119-GH118,IF(A119&lt;'Données projet'!$A$244,$FW$205^A119,IF(A119='Données projet'!$A$244,'Données projet'!$B$244,FZ118+FY119-GH118)))</f>
        <v>380.53200000000072</v>
      </c>
      <c r="GA119" s="17">
        <f>FZ119*VLOOKUP('Données projet'!$B$17,Paramètres!$A$1:$I$89,3,0)*VLOOKUP('Données projet'!$B$17,Paramètres!$A$1:$I$89,5,0)</f>
        <v>344.30535360000061</v>
      </c>
      <c r="GB119" s="13">
        <f t="shared" si="103"/>
        <v>80.388807253544201</v>
      </c>
      <c r="GC119" s="20">
        <f t="shared" si="79"/>
        <v>739.67566348659057</v>
      </c>
      <c r="GD119" s="59">
        <f t="shared" si="80"/>
        <v>1033.0089968199238</v>
      </c>
      <c r="GE119" s="59">
        <f ca="1">AVERAGE(OFFSET($GD$3,0,0,'Données projet'!$E$17+1,1))-AVERAGE(OFFSET($H$3,0,0,'Données projet'!$E$17+1,1))</f>
        <v>486.55344536255876</v>
      </c>
      <c r="GF119" s="59">
        <f t="shared" si="104"/>
        <v>231.14794884432229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35.045432127761948</v>
      </c>
      <c r="GM119" s="21">
        <f>EXP(-LN(2)/25)*GM118+(1-EXP(-LN(2)/25))/(LN(2)/25)*Calculateur!GH119*Calculateur!GJ119*VLOOKUP('Données projet'!$B$17,Paramètres!$A$1:$I$89,3,0)*0.475*44/12</f>
        <v>24.390195227495596</v>
      </c>
      <c r="GN119" s="21">
        <f>EXP(-LN(2)/2)*GN118+(1-EXP(-LN(2)/2))/(LN(2)/2)*GH119*GK119*VLOOKUP('Données projet'!$B$17,Paramètres!$A$1:$I$89,3,0)*0.475*44/12</f>
        <v>2.7315586220200374</v>
      </c>
      <c r="GO119" s="21">
        <f t="shared" si="81"/>
        <v>62.167185977277583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447.08326206954797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252.08270526008477</v>
      </c>
      <c r="T120" s="59">
        <f t="shared" si="88"/>
        <v>239.77811108960179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123.30056311444928</v>
      </c>
      <c r="AA120" s="21">
        <f>EXP(-LN(2)/25)*AA119+(1-EXP(-LN(2)/25))/(LN(2)/25)*Calculateur!V120*Calculateur!X120*VLOOKUP('Données projet'!$B$9,Paramètres!$A$1:$I$89,3,0)*0.475*44/12</f>
        <v>34.101267578089242</v>
      </c>
      <c r="AB120" s="21">
        <f>EXP(-LN(2)/2)*AB119+(1-EXP(-LN(2)/2))/(LN(2)/2)*V120*Y120*VLOOKUP('Données projet'!$B$9,Paramètres!$A$1:$I$89,3,0)*0.475*44/12</f>
        <v>0.15105287647066848</v>
      </c>
      <c r="AC120" s="22">
        <f t="shared" si="57"/>
        <v>157.55288356900917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251.64326096359997</v>
      </c>
      <c r="AO120" s="59">
        <f t="shared" si="90"/>
        <v>256.72142151189894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44.911421239128039</v>
      </c>
      <c r="AV120" s="21">
        <f>EXP(-LN(2)/25)*AV119+(1-EXP(-LN(2)/25))/(LN(2)/25)*Calculateur!AQ120*Calculateur!AS120*VLOOKUP('Données projet'!$B$10,Paramètres!$A$1:$I$89,3,0)*0.475*44/12</f>
        <v>9.9737938255247478</v>
      </c>
      <c r="AW120" s="21">
        <f>EXP(-LN(2)/2)*AW119+(1-EXP(-LN(2)/2))/(LN(2)/2)*AQ120*AT120*VLOOKUP('Données projet'!$B$10,Paramètres!$A$1:$I$89,3,0)*0.475*44/12</f>
        <v>1.5794911544815711E-7</v>
      </c>
      <c r="AX120" s="21">
        <f t="shared" si="60"/>
        <v>54.8852152226019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199.29783428981898</v>
      </c>
      <c r="BJ120" s="59">
        <f t="shared" si="92"/>
        <v>237.32002274562547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1.8645437575626893</v>
      </c>
      <c r="BQ120" s="21">
        <f>EXP(-LN(2)/25)*BQ119+(1-EXP(-LN(2)/25))/(LN(2)/25)*Calculateur!BL120*Calculateur!BN120*VLOOKUP('Données projet'!$B$11,Paramètres!$A$1:$I$89,3,0)*0.475*44/12</f>
        <v>6.0134801961720141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7.8780239537347034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8.7019999999999982</v>
      </c>
      <c r="BY120" s="12">
        <f>IF('Données projet'!$A$114&gt;35,BY119+BX120-CG119,IF(A120&lt;'Données projet'!$A$114,$BV$205^A120,IF(A120='Données projet'!$A$114,'Données projet'!$B$114,BY119+BX120-CG119)))</f>
        <v>357.31800000000027</v>
      </c>
      <c r="BZ120" s="13">
        <f>BY120*VLOOKUP('Données projet'!$B$12,Paramètres!$A$1:$I$89,3,0)*VLOOKUP('Données projet'!$B$12,Paramètres!$A$1:$I$89,5,0)</f>
        <v>301.00468320000027</v>
      </c>
      <c r="CA120" s="13">
        <f t="shared" si="93"/>
        <v>71.387042664112414</v>
      </c>
      <c r="CB120" s="20">
        <f t="shared" si="64"/>
        <v>648.5822558799963</v>
      </c>
      <c r="CC120" s="59">
        <f t="shared" si="65"/>
        <v>941.91558921332967</v>
      </c>
      <c r="CD120" s="59">
        <f ca="1">AVERAGE(OFFSET($CC$3,0,0,'Données projet'!$E$12+1,1))-AVERAGE(OFFSET($H$3,0,0,'Données projet'!$E$12+1,1))</f>
        <v>295.59075210589327</v>
      </c>
      <c r="CE120" s="59">
        <f t="shared" si="94"/>
        <v>210.41181542059576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43.399103195979009</v>
      </c>
      <c r="CL120" s="21">
        <f>EXP(-LN(2)/25)*CL119+(1-EXP(-LN(2)/25))/(LN(2)/25)*Calculateur!CG120*Calculateur!CI120*VLOOKUP('Données projet'!$B$12,Paramètres!$A$1:$I$89,3,0)*0.475*44/12</f>
        <v>20.435195220476832</v>
      </c>
      <c r="CM120" s="21">
        <f>EXP(-LN(2)/2)*CM119+(1-EXP(-LN(2)/2))/(LN(2)/2)*CG120*CJ120*VLOOKUP('Données projet'!$B$12,Paramètres!$A$1:$I$89,3,0)*0.475*44/12</f>
        <v>3.2065213033834326E-5</v>
      </c>
      <c r="CN120" s="22">
        <f t="shared" si="66"/>
        <v>63.834330481668871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1.1368683772161603E-13</v>
      </c>
      <c r="CU120" s="17">
        <f>CT120*VLOOKUP('Données projet'!$B$13,Paramètres!$A$1:$I$89,3,0)*VLOOKUP('Données projet'!$B$13,Paramètres!$A$1:$I$89,5,0)</f>
        <v>5.1727511163335289E-14</v>
      </c>
      <c r="CV120" s="13">
        <f t="shared" si="95"/>
        <v>8.3906664221915895E-13</v>
      </c>
      <c r="CW120" s="20">
        <f t="shared" si="67"/>
        <v>1.551466483807844E-12</v>
      </c>
      <c r="CX120" s="59">
        <f t="shared" si="68"/>
        <v>293.33333333333485</v>
      </c>
      <c r="CY120" s="59">
        <f ca="1">AVERAGE(OFFSET($CX$3,0,0,'Données projet'!$E$13+1,1))-AVERAGE(OFFSET($H$3,0,0,'Données projet'!$E$13+1,1))</f>
        <v>338.22448697444298</v>
      </c>
      <c r="CZ120" s="59">
        <f t="shared" si="96"/>
        <v>293.3872365640849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102.22530672265265</v>
      </c>
      <c r="DG120" s="21">
        <f>EXP(-LN(2)/25)*DG119+(1-EXP(-LN(2)/25))/(LN(2)/25)*Calculateur!DB120*Calculateur!DD120*VLOOKUP('Données projet'!$B$13,Paramètres!$A$1:$I$89,3,0)*0.475*44/12</f>
        <v>26.531939262743737</v>
      </c>
      <c r="DH120" s="21">
        <f>EXP(-LN(2)/2)*DH119+(1-EXP(-LN(2)/2))/(LN(2)/2)*DB120*DE120*VLOOKUP('Données projet'!$B$13,Paramètres!$A$1:$I$89,3,0)*0.475*44/12</f>
        <v>2.1826206168534091E-4</v>
      </c>
      <c r="DI120" s="22">
        <f t="shared" si="69"/>
        <v>128.75746424745807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5.6843418860808015E-13</v>
      </c>
      <c r="DP120" s="17">
        <f>DO120*VLOOKUP('Données projet'!$B$14,Paramètres!$A$1:$I$89,3,0)*VLOOKUP('Données projet'!$B$14,Paramètres!$A$1:$I$89,5,0)</f>
        <v>3.177547114319168E-13</v>
      </c>
      <c r="DQ120" s="13">
        <f t="shared" si="97"/>
        <v>4.1725404435445377E-12</v>
      </c>
      <c r="DR120" s="20">
        <f t="shared" si="70"/>
        <v>7.820597394917325E-12</v>
      </c>
      <c r="DS120" s="59">
        <f t="shared" si="71"/>
        <v>293.33333333334116</v>
      </c>
      <c r="DT120" s="59">
        <f ca="1">AVERAGE(OFFSET($DS$3,0,0,'Données projet'!$E$14+1,1))-AVERAGE(OFFSET($H$3,0,0,'Données projet'!$E$14+1,1))</f>
        <v>328.15217666639006</v>
      </c>
      <c r="DU120" s="59">
        <f t="shared" si="98"/>
        <v>305.59175773326308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90.970172127884211</v>
      </c>
      <c r="EB120" s="21">
        <f>EXP(-LN(2)/25)*EB119+(1-EXP(-LN(2)/25))/(LN(2)/25)*Calculateur!DW120*Calculateur!DY120*VLOOKUP('Données projet'!$B$14,Paramètres!$A$1:$I$89,3,0)*0.475*44/12</f>
        <v>20.85372075393504</v>
      </c>
      <c r="EC120" s="21">
        <f>EXP(-LN(2)/2)*EC119+(1-EXP(-LN(2)/2))/(LN(2)/2)*DW120*DZ120*VLOOKUP('Données projet'!$B$14,Paramètres!$A$1:$I$89,3,0)*0.475*44/12</f>
        <v>6.3646397907390309E-6</v>
      </c>
      <c r="ED120" s="22">
        <f t="shared" si="72"/>
        <v>111.82389924645904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159.78276497127206</v>
      </c>
      <c r="EP120" s="59">
        <f t="shared" si="100"/>
        <v>190.72163407919857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2.1656568586403413</v>
      </c>
      <c r="EW120" s="21">
        <f>EXP(-LN(2)/25)*EW119+(1-EXP(-LN(2)/25))/(LN(2)/25)*Calculateur!ER120*Calculateur!ET120*VLOOKUP('Données projet'!$B$15,Paramètres!$A$1:$I$89,3,0)*0.475*44/12</f>
        <v>6.9846226876227817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9.150279546263123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>
        <f>VLOOKUP(A120,'Données projet'!$A$217:$I$237,2,0)</f>
        <v>381.56</v>
      </c>
      <c r="FC120" s="12">
        <f>VLOOKUP(A120,'Données projet'!$A$217:$I$237,9,0)</f>
        <v>8.4449999999999985</v>
      </c>
      <c r="FD120" s="12">
        <f t="array" ref="FD120">INDEX(FC:FC,MIN(IF(ISNUMBER(FC120:FC316),ROW(FC120:FC316),"")))</f>
        <v>8.4449999999999985</v>
      </c>
      <c r="FE120" s="12">
        <f>IF('Données projet'!$A$218&gt;35,FE119+FD120-FM119,IF(A120&lt;'Données projet'!$A$218,$FB$205^A120,IF(A120='Données projet'!$A$218,'Données projet'!$B$218,FE119+FD120-FM119)))</f>
        <v>381.56000000000051</v>
      </c>
      <c r="FF120" s="17">
        <f>FE120*VLOOKUP('Données projet'!$B$16,Paramètres!$A$1:$I$89,3,0)*VLOOKUP('Données projet'!$B$16,Paramètres!$A$1:$I$89,5,0)</f>
        <v>327.37848000000048</v>
      </c>
      <c r="FG120" s="13">
        <f t="shared" si="101"/>
        <v>76.886547160062776</v>
      </c>
      <c r="FH120" s="20">
        <f t="shared" si="76"/>
        <v>704.09492230377691</v>
      </c>
      <c r="FI120" s="59">
        <f t="shared" si="77"/>
        <v>997.42825563711017</v>
      </c>
      <c r="FJ120" s="59">
        <f ca="1">AVERAGE(OFFSET($FI$3,0,0,'Données projet'!$E$16+1,1))-AVERAGE(OFFSET($H$3,0,0,'Données projet'!$E$16+1,1))</f>
        <v>337.15023592377008</v>
      </c>
      <c r="FK120" s="59">
        <f t="shared" si="102"/>
        <v>286.60608582587099</v>
      </c>
      <c r="FL120" s="15">
        <f>IF(ISNA(VLOOKUP(A120,'Données projet'!$A$217:$I$237,3,0)),0,VLOOKUP(A120,'Données projet'!$A$217:$I$237,3,0))</f>
        <v>7</v>
      </c>
      <c r="FM120" s="15">
        <f>IF(ISNA(VLOOKUP(A120,'Données projet'!$A$217:$I$237,4,0)),0,VLOOKUP(A120,'Données projet'!$A$217:$I$237,4,0))</f>
        <v>73.949999999999989</v>
      </c>
      <c r="FN120" s="16">
        <f>IF(ISNA(VLOOKUP(A120,'Données projet'!$A$217:$I$237,5,0)),0%,VLOOKUP(A120,'Données projet'!$A$217:$I$237,5,0)*VLOOKUP('Données projet'!$B$16,Paramètres!$A$1:$I$89,7,0))</f>
        <v>0.159</v>
      </c>
      <c r="FO120" s="16">
        <f>IF(ISNA(VLOOKUP(A120,'Données projet'!$A$217:$I$237,6,0)),0%,VLOOKUP(A120,'Données projet'!$A$217:$I$237,6,0)*VLOOKUP('Données projet'!$B$16,Paramètres!$A$1:$I$89,7,0))</f>
        <v>0.10600000000000001</v>
      </c>
      <c r="FP120" s="16">
        <f>IF(ISNA(VLOOKUP(A120,'Données projet'!$A$217:$I$237,7,0)),0%,VLOOKUP(A120,'Données projet'!$A$217:$I$237,7,0))</f>
        <v>0.2</v>
      </c>
      <c r="FQ120" s="21">
        <f>EXP(-LN(2)/35)*FQ119+(1-EXP(-LN(2)/35))/(LN(2)/35)*FM120*FN120*VLOOKUP('Données projet'!$B$16,Paramètres!$A$1:$I$89,3,0)*0.475*44/12</f>
        <v>32.512610926590192</v>
      </c>
      <c r="FR120" s="21">
        <f>EXP(-LN(2)/25)*FR119+(1-EXP(-LN(2)/25))/(LN(2)/25)*Calculateur!FM120*Calculateur!FO120*VLOOKUP('Données projet'!$B$16,Paramètres!$A$1:$I$89,3,0)*0.475*44/12</f>
        <v>36.858024871572724</v>
      </c>
      <c r="FS120" s="21">
        <f>EXP(-LN(2)/2)*FS119+(1-EXP(-LN(2)/2))/(LN(2)/2)*FM120*FP120*VLOOKUP('Données projet'!$B$16,Paramètres!$A$1:$I$89,3,0)*0.475*44/12</f>
        <v>12.18782206123425</v>
      </c>
      <c r="FT120" s="22">
        <f t="shared" si="78"/>
        <v>81.558457859397151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8.9160000000000021</v>
      </c>
      <c r="FZ120" s="12">
        <f>IF('Données projet'!$A$244&gt;35,FZ119+FY120-GH119,IF(A120&lt;'Données projet'!$A$244,$FW$205^A120,IF(A120='Données projet'!$A$244,'Données projet'!$B$244,FZ119+FY120-GH119)))</f>
        <v>389.44800000000072</v>
      </c>
      <c r="GA120" s="17">
        <f>FZ120*VLOOKUP('Données projet'!$B$17,Paramètres!$A$1:$I$89,3,0)*VLOOKUP('Données projet'!$B$17,Paramètres!$A$1:$I$89,5,0)</f>
        <v>352.37255040000065</v>
      </c>
      <c r="GB120" s="13">
        <f t="shared" si="103"/>
        <v>82.050851753476593</v>
      </c>
      <c r="GC120" s="20">
        <f t="shared" si="79"/>
        <v>756.62075875063954</v>
      </c>
      <c r="GD120" s="59">
        <f t="shared" si="80"/>
        <v>1049.9540920839729</v>
      </c>
      <c r="GE120" s="59">
        <f ca="1">AVERAGE(OFFSET($GD$3,0,0,'Données projet'!$E$17+1,1))-AVERAGE(OFFSET($H$3,0,0,'Données projet'!$E$17+1,1))</f>
        <v>486.55344536255876</v>
      </c>
      <c r="GF120" s="59">
        <f t="shared" si="104"/>
        <v>231.14794884432229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34.358212579339472</v>
      </c>
      <c r="GM120" s="21">
        <f>EXP(-LN(2)/25)*GM119+(1-EXP(-LN(2)/25))/(LN(2)/25)*Calculateur!GH120*Calculateur!GJ120*VLOOKUP('Données projet'!$B$17,Paramètres!$A$1:$I$89,3,0)*0.475*44/12</f>
        <v>23.723244056375105</v>
      </c>
      <c r="GN120" s="21">
        <f>EXP(-LN(2)/2)*GN119+(1-EXP(-LN(2)/2))/(LN(2)/2)*GH120*GK120*VLOOKUP('Données projet'!$B$17,Paramètres!$A$1:$I$89,3,0)*0.475*44/12</f>
        <v>1.9315036248389501</v>
      </c>
      <c r="GO120" s="21">
        <f t="shared" si="81"/>
        <v>60.012960260553527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448.66980230391312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252.08270526008477</v>
      </c>
      <c r="T121" s="59">
        <f t="shared" si="88"/>
        <v>239.77811108960179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120.88271427769246</v>
      </c>
      <c r="AA121" s="21">
        <f>EXP(-LN(2)/25)*AA120+(1-EXP(-LN(2)/25))/(LN(2)/25)*Calculateur!V121*Calculateur!X121*VLOOKUP('Données projet'!$B$9,Paramètres!$A$1:$I$89,3,0)*0.475*44/12</f>
        <v>33.168766622858669</v>
      </c>
      <c r="AB121" s="21">
        <f>EXP(-LN(2)/2)*AB120+(1-EXP(-LN(2)/2))/(LN(2)/2)*V121*Y121*VLOOKUP('Données projet'!$B$9,Paramètres!$A$1:$I$89,3,0)*0.475*44/12</f>
        <v>0.10681051327014357</v>
      </c>
      <c r="AC121" s="22">
        <f t="shared" si="57"/>
        <v>154.15829141382127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251.64326096359997</v>
      </c>
      <c r="AO121" s="59">
        <f t="shared" si="90"/>
        <v>256.72142151189894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44.030735661890837</v>
      </c>
      <c r="AV121" s="21">
        <f>EXP(-LN(2)/25)*AV120+(1-EXP(-LN(2)/25))/(LN(2)/25)*Calculateur!AQ121*Calculateur!AS121*VLOOKUP('Données projet'!$B$10,Paramètres!$A$1:$I$89,3,0)*0.475*44/12</f>
        <v>9.7010599088667515</v>
      </c>
      <c r="AW121" s="21">
        <f>EXP(-LN(2)/2)*AW120+(1-EXP(-LN(2)/2))/(LN(2)/2)*AQ121*AT121*VLOOKUP('Données projet'!$B$10,Paramètres!$A$1:$I$89,3,0)*0.475*44/12</f>
        <v>1.1168689061580877E-7</v>
      </c>
      <c r="AX121" s="21">
        <f t="shared" si="60"/>
        <v>53.731795682444478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199.29783428981898</v>
      </c>
      <c r="BJ121" s="59">
        <f t="shared" si="92"/>
        <v>237.32002274562547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1.827981191736282</v>
      </c>
      <c r="BQ121" s="21">
        <f>EXP(-LN(2)/25)*BQ120+(1-EXP(-LN(2)/25))/(LN(2)/25)*Calculateur!BL121*Calculateur!BN121*VLOOKUP('Données projet'!$B$11,Paramètres!$A$1:$I$89,3,0)*0.475*44/12</f>
        <v>5.8490412639725111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7.6770224557087934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8.7019999999999982</v>
      </c>
      <c r="BY121" s="12">
        <f>IF('Données projet'!$A$114&gt;35,BY120+BX121-CG120,IF(A121&lt;'Données projet'!$A$114,$BV$205^A121,IF(A121='Données projet'!$A$114,'Données projet'!$B$114,BY120+BX121-CG120)))</f>
        <v>366.02000000000027</v>
      </c>
      <c r="BZ121" s="13">
        <f>BY121*VLOOKUP('Données projet'!$B$12,Paramètres!$A$1:$I$89,3,0)*VLOOKUP('Données projet'!$B$12,Paramètres!$A$1:$I$89,5,0)</f>
        <v>308.33524800000026</v>
      </c>
      <c r="CA121" s="13">
        <f t="shared" si="93"/>
        <v>72.921054816468583</v>
      </c>
      <c r="CB121" s="20">
        <f t="shared" si="64"/>
        <v>664.02139407201662</v>
      </c>
      <c r="CC121" s="59">
        <f t="shared" si="65"/>
        <v>957.35472740534988</v>
      </c>
      <c r="CD121" s="59">
        <f ca="1">AVERAGE(OFFSET($CC$3,0,0,'Données projet'!$E$12+1,1))-AVERAGE(OFFSET($H$3,0,0,'Données projet'!$E$12+1,1))</f>
        <v>295.59075210589327</v>
      </c>
      <c r="CE121" s="59">
        <f t="shared" si="94"/>
        <v>210.41181542059576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42.548073253145034</v>
      </c>
      <c r="CL121" s="21">
        <f>EXP(-LN(2)/25)*CL120+(1-EXP(-LN(2)/25))/(LN(2)/25)*Calculateur!CG121*Calculateur!CI121*VLOOKUP('Données projet'!$B$12,Paramètres!$A$1:$I$89,3,0)*0.475*44/12</f>
        <v>19.87639373253268</v>
      </c>
      <c r="CM121" s="21">
        <f>EXP(-LN(2)/2)*CM120+(1-EXP(-LN(2)/2))/(LN(2)/2)*CG121*CJ121*VLOOKUP('Données projet'!$B$12,Paramètres!$A$1:$I$89,3,0)*0.475*44/12</f>
        <v>2.2673529576415521E-5</v>
      </c>
      <c r="CN121" s="22">
        <f t="shared" si="66"/>
        <v>62.424489659207289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1.1368683772161603E-13</v>
      </c>
      <c r="CU121" s="17">
        <f>CT121*VLOOKUP('Données projet'!$B$13,Paramètres!$A$1:$I$89,3,0)*VLOOKUP('Données projet'!$B$13,Paramètres!$A$1:$I$89,5,0)</f>
        <v>5.1727511163335289E-14</v>
      </c>
      <c r="CV121" s="13">
        <f t="shared" si="95"/>
        <v>8.3906664221915895E-13</v>
      </c>
      <c r="CW121" s="20">
        <f t="shared" si="67"/>
        <v>1.551466483807844E-12</v>
      </c>
      <c r="CX121" s="59">
        <f t="shared" si="68"/>
        <v>293.33333333333485</v>
      </c>
      <c r="CY121" s="59">
        <f ca="1">AVERAGE(OFFSET($CX$3,0,0,'Données projet'!$E$13+1,1))-AVERAGE(OFFSET($H$3,0,0,'Données projet'!$E$13+1,1))</f>
        <v>338.22448697444298</v>
      </c>
      <c r="CZ121" s="59">
        <f t="shared" si="96"/>
        <v>293.3872365640849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100.22073080910185</v>
      </c>
      <c r="DG121" s="21">
        <f>EXP(-LN(2)/25)*DG120+(1-EXP(-LN(2)/25))/(LN(2)/25)*Calculateur!DB121*Calculateur!DD121*VLOOKUP('Données projet'!$B$13,Paramètres!$A$1:$I$89,3,0)*0.475*44/12</f>
        <v>25.806421988349964</v>
      </c>
      <c r="DH121" s="21">
        <f>EXP(-LN(2)/2)*DH120+(1-EXP(-LN(2)/2))/(LN(2)/2)*DB121*DE121*VLOOKUP('Données projet'!$B$13,Paramètres!$A$1:$I$89,3,0)*0.475*44/12</f>
        <v>1.5433458389346109E-4</v>
      </c>
      <c r="DI121" s="22">
        <f t="shared" si="69"/>
        <v>126.02730713203572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5.6843418860808015E-13</v>
      </c>
      <c r="DP121" s="17">
        <f>DO121*VLOOKUP('Données projet'!$B$14,Paramètres!$A$1:$I$89,3,0)*VLOOKUP('Données projet'!$B$14,Paramètres!$A$1:$I$89,5,0)</f>
        <v>3.177547114319168E-13</v>
      </c>
      <c r="DQ121" s="13">
        <f t="shared" si="97"/>
        <v>4.1725404435445377E-12</v>
      </c>
      <c r="DR121" s="20">
        <f t="shared" si="70"/>
        <v>7.820597394917325E-12</v>
      </c>
      <c r="DS121" s="59">
        <f t="shared" si="71"/>
        <v>293.33333333334116</v>
      </c>
      <c r="DT121" s="59">
        <f ca="1">AVERAGE(OFFSET($DS$3,0,0,'Données projet'!$E$14+1,1))-AVERAGE(OFFSET($H$3,0,0,'Données projet'!$E$14+1,1))</f>
        <v>328.15217666639006</v>
      </c>
      <c r="DU121" s="59">
        <f t="shared" si="98"/>
        <v>305.59175773326308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89.186302538782584</v>
      </c>
      <c r="EB121" s="21">
        <f>EXP(-LN(2)/25)*EB120+(1-EXP(-LN(2)/25))/(LN(2)/25)*Calculateur!DW121*Calculateur!DY121*VLOOKUP('Données projet'!$B$14,Paramètres!$A$1:$I$89,3,0)*0.475*44/12</f>
        <v>20.283474663269175</v>
      </c>
      <c r="EC121" s="21">
        <f>EXP(-LN(2)/2)*EC120+(1-EXP(-LN(2)/2))/(LN(2)/2)*DW121*DZ121*VLOOKUP('Données projet'!$B$14,Paramètres!$A$1:$I$89,3,0)*0.475*44/12</f>
        <v>4.5004799558412974E-6</v>
      </c>
      <c r="ED121" s="22">
        <f t="shared" si="72"/>
        <v>109.46978170253172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159.78276497127206</v>
      </c>
      <c r="EP121" s="59">
        <f t="shared" si="100"/>
        <v>190.72163407919857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2.1231896485626578</v>
      </c>
      <c r="EW121" s="21">
        <f>EXP(-LN(2)/25)*EW120+(1-EXP(-LN(2)/25))/(LN(2)/25)*Calculateur!ER121*Calculateur!ET121*VLOOKUP('Données projet'!$B$15,Paramètres!$A$1:$I$89,3,0)*0.475*44/12</f>
        <v>6.7936278129243934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8.9168174614870512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7.6799999999999971</v>
      </c>
      <c r="FE121" s="12">
        <f>IF('Données projet'!$A$218&gt;35,FE120+FD121-FM120,IF(A121&lt;'Données projet'!$A$218,$FB$205^A121,IF(A121='Données projet'!$A$218,'Données projet'!$B$218,FE120+FD121-FM120)))</f>
        <v>315.29000000000053</v>
      </c>
      <c r="FF121" s="17">
        <f>FE121*VLOOKUP('Données projet'!$B$16,Paramètres!$A$1:$I$89,3,0)*VLOOKUP('Données projet'!$B$16,Paramètres!$A$1:$I$89,5,0)</f>
        <v>270.51882000000046</v>
      </c>
      <c r="FG121" s="13">
        <f t="shared" si="101"/>
        <v>64.959363681042007</v>
      </c>
      <c r="FH121" s="20">
        <f t="shared" si="76"/>
        <v>584.29116991114904</v>
      </c>
      <c r="FI121" s="59">
        <f t="shared" si="77"/>
        <v>877.62450324448241</v>
      </c>
      <c r="FJ121" s="59">
        <f ca="1">AVERAGE(OFFSET($FI$3,0,0,'Données projet'!$E$16+1,1))-AVERAGE(OFFSET($H$3,0,0,'Données projet'!$E$16+1,1))</f>
        <v>337.15023592377008</v>
      </c>
      <c r="FK121" s="59">
        <f t="shared" si="102"/>
        <v>286.60608582587099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31.875058457054301</v>
      </c>
      <c r="FR121" s="21">
        <f>EXP(-LN(2)/25)*FR120+(1-EXP(-LN(2)/25))/(LN(2)/25)*Calculateur!FM121*Calculateur!FO121*VLOOKUP('Données projet'!$B$16,Paramètres!$A$1:$I$89,3,0)*0.475*44/12</f>
        <v>35.850140243180277</v>
      </c>
      <c r="FS121" s="21">
        <f>EXP(-LN(2)/2)*FS120+(1-EXP(-LN(2)/2))/(LN(2)/2)*FM121*FP121*VLOOKUP('Données projet'!$B$16,Paramètres!$A$1:$I$89,3,0)*0.475*44/12</f>
        <v>8.6180916273937438</v>
      </c>
      <c r="FT121" s="22">
        <f t="shared" si="78"/>
        <v>76.343290327628324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8.9160000000000021</v>
      </c>
      <c r="FZ121" s="12">
        <f>IF('Données projet'!$A$244&gt;35,FZ120+FY121-GH120,IF(A121&lt;'Données projet'!$A$244,$FW$205^A121,IF(A121='Données projet'!$A$244,'Données projet'!$B$244,FZ120+FY121-GH120)))</f>
        <v>398.36400000000071</v>
      </c>
      <c r="GA121" s="17">
        <f>FZ121*VLOOKUP('Données projet'!$B$17,Paramètres!$A$1:$I$89,3,0)*VLOOKUP('Données projet'!$B$17,Paramètres!$A$1:$I$89,5,0)</f>
        <v>360.43974720000062</v>
      </c>
      <c r="GB121" s="13">
        <f t="shared" si="103"/>
        <v>83.708472633827739</v>
      </c>
      <c r="GC121" s="20">
        <f t="shared" si="79"/>
        <v>773.55814954391769</v>
      </c>
      <c r="GD121" s="59">
        <f t="shared" si="80"/>
        <v>1066.8914828772511</v>
      </c>
      <c r="GE121" s="59">
        <f ca="1">AVERAGE(OFFSET($GD$3,0,0,'Données projet'!$E$17+1,1))-AVERAGE(OFFSET($H$3,0,0,'Données projet'!$E$17+1,1))</f>
        <v>486.55344536255876</v>
      </c>
      <c r="GF121" s="59">
        <f t="shared" si="104"/>
        <v>231.14794884432229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33.684468987099024</v>
      </c>
      <c r="GM121" s="21">
        <f>EXP(-LN(2)/25)*GM120+(1-EXP(-LN(2)/25))/(LN(2)/25)*Calculateur!GH121*Calculateur!GJ121*VLOOKUP('Données projet'!$B$17,Paramètres!$A$1:$I$89,3,0)*0.475*44/12</f>
        <v>23.074530700102343</v>
      </c>
      <c r="GN121" s="21">
        <f>EXP(-LN(2)/2)*GN120+(1-EXP(-LN(2)/2))/(LN(2)/2)*GH121*GK121*VLOOKUP('Données projet'!$B$17,Paramètres!$A$1:$I$89,3,0)*0.475*44/12</f>
        <v>1.3657793110100189</v>
      </c>
      <c r="GO121" s="21">
        <f t="shared" si="81"/>
        <v>58.124778998211383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450.25603733202803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252.08270526008477</v>
      </c>
      <c r="T122" s="59">
        <f t="shared" si="88"/>
        <v>239.77811108960179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118.51227798188226</v>
      </c>
      <c r="AA122" s="21">
        <f>EXP(-LN(2)/25)*AA121+(1-EXP(-LN(2)/25))/(LN(2)/25)*Calculateur!V122*Calculateur!X122*VLOOKUP('Données projet'!$B$9,Paramètres!$A$1:$I$89,3,0)*0.475*44/12</f>
        <v>32.261764955286971</v>
      </c>
      <c r="AB122" s="21">
        <f>EXP(-LN(2)/2)*AB121+(1-EXP(-LN(2)/2))/(LN(2)/2)*V122*Y122*VLOOKUP('Données projet'!$B$9,Paramètres!$A$1:$I$89,3,0)*0.475*44/12</f>
        <v>7.552643823533424E-2</v>
      </c>
      <c r="AC122" s="22">
        <f t="shared" si="57"/>
        <v>150.84956937540457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251.64326096359997</v>
      </c>
      <c r="AO122" s="59">
        <f t="shared" si="90"/>
        <v>256.72142151189894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43.167319791658095</v>
      </c>
      <c r="AV122" s="21">
        <f>EXP(-LN(2)/25)*AV121+(1-EXP(-LN(2)/25))/(LN(2)/25)*Calculateur!AQ122*Calculateur!AS122*VLOOKUP('Données projet'!$B$10,Paramètres!$A$1:$I$89,3,0)*0.475*44/12</f>
        <v>9.4357839155022223</v>
      </c>
      <c r="AW122" s="21">
        <f>EXP(-LN(2)/2)*AW121+(1-EXP(-LN(2)/2))/(LN(2)/2)*AQ122*AT122*VLOOKUP('Données projet'!$B$10,Paramètres!$A$1:$I$89,3,0)*0.475*44/12</f>
        <v>7.8974557724078556E-8</v>
      </c>
      <c r="AX122" s="21">
        <f t="shared" si="60"/>
        <v>52.603103786134874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199.29783428981898</v>
      </c>
      <c r="BJ122" s="59">
        <f t="shared" si="92"/>
        <v>237.32002274562547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1.7921355955247675</v>
      </c>
      <c r="BQ122" s="21">
        <f>EXP(-LN(2)/25)*BQ121+(1-EXP(-LN(2)/25))/(LN(2)/25)*Calculateur!BL122*Calculateur!BN122*VLOOKUP('Données projet'!$B$11,Paramètres!$A$1:$I$89,3,0)*0.475*44/12</f>
        <v>5.6890989230214712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7.4812345185462386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8.7019999999999982</v>
      </c>
      <c r="BY122" s="12">
        <f>IF('Données projet'!$A$114&gt;35,BY121+BX122-CG121,IF(A122&lt;'Données projet'!$A$114,$BV$205^A122,IF(A122='Données projet'!$A$114,'Données projet'!$B$114,BY121+BX122-CG121)))</f>
        <v>374.72200000000026</v>
      </c>
      <c r="BZ122" s="13">
        <f>BY122*VLOOKUP('Données projet'!$B$12,Paramètres!$A$1:$I$89,3,0)*VLOOKUP('Données projet'!$B$12,Paramètres!$A$1:$I$89,5,0)</f>
        <v>315.66581280000025</v>
      </c>
      <c r="CA122" s="13">
        <f t="shared" si="93"/>
        <v>74.450827235928642</v>
      </c>
      <c r="CB122" s="20">
        <f t="shared" si="64"/>
        <v>679.45314806257602</v>
      </c>
      <c r="CC122" s="59">
        <f t="shared" si="65"/>
        <v>972.78648139590928</v>
      </c>
      <c r="CD122" s="59">
        <f ca="1">AVERAGE(OFFSET($CC$3,0,0,'Données projet'!$E$12+1,1))-AVERAGE(OFFSET($H$3,0,0,'Données projet'!$E$12+1,1))</f>
        <v>295.59075210589327</v>
      </c>
      <c r="CE122" s="59">
        <f t="shared" si="94"/>
        <v>210.41181542059576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41.713731488413018</v>
      </c>
      <c r="CL122" s="21">
        <f>EXP(-LN(2)/25)*CL121+(1-EXP(-LN(2)/25))/(LN(2)/25)*Calculateur!CG122*Calculateur!CI122*VLOOKUP('Données projet'!$B$12,Paramètres!$A$1:$I$89,3,0)*0.475*44/12</f>
        <v>19.332872700662456</v>
      </c>
      <c r="CM122" s="21">
        <f>EXP(-LN(2)/2)*CM121+(1-EXP(-LN(2)/2))/(LN(2)/2)*CG122*CJ122*VLOOKUP('Données projet'!$B$12,Paramètres!$A$1:$I$89,3,0)*0.475*44/12</f>
        <v>1.6032606516917163E-5</v>
      </c>
      <c r="CN122" s="22">
        <f t="shared" si="66"/>
        <v>61.046620221681991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1.1368683772161603E-13</v>
      </c>
      <c r="CU122" s="17">
        <f>CT122*VLOOKUP('Données projet'!$B$13,Paramètres!$A$1:$I$89,3,0)*VLOOKUP('Données projet'!$B$13,Paramètres!$A$1:$I$89,5,0)</f>
        <v>5.1727511163335289E-14</v>
      </c>
      <c r="CV122" s="13">
        <f t="shared" si="95"/>
        <v>8.3906664221915895E-13</v>
      </c>
      <c r="CW122" s="20">
        <f t="shared" si="67"/>
        <v>1.551466483807844E-12</v>
      </c>
      <c r="CX122" s="59">
        <f t="shared" si="68"/>
        <v>293.33333333333485</v>
      </c>
      <c r="CY122" s="59">
        <f ca="1">AVERAGE(OFFSET($CX$3,0,0,'Données projet'!$E$13+1,1))-AVERAGE(OFFSET($H$3,0,0,'Données projet'!$E$13+1,1))</f>
        <v>338.22448697444298</v>
      </c>
      <c r="CZ122" s="59">
        <f t="shared" si="96"/>
        <v>293.3872365640849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98.255463406545203</v>
      </c>
      <c r="DG122" s="21">
        <f>EXP(-LN(2)/25)*DG121+(1-EXP(-LN(2)/25))/(LN(2)/25)*Calculateur!DB122*Calculateur!DD122*VLOOKUP('Données projet'!$B$13,Paramètres!$A$1:$I$89,3,0)*0.475*44/12</f>
        <v>25.100744021977782</v>
      </c>
      <c r="DH122" s="21">
        <f>EXP(-LN(2)/2)*DH121+(1-EXP(-LN(2)/2))/(LN(2)/2)*DB122*DE122*VLOOKUP('Données projet'!$B$13,Paramètres!$A$1:$I$89,3,0)*0.475*44/12</f>
        <v>1.0913103084267045E-4</v>
      </c>
      <c r="DI122" s="22">
        <f t="shared" si="69"/>
        <v>123.35631655955383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5.6843418860808015E-13</v>
      </c>
      <c r="DP122" s="17">
        <f>DO122*VLOOKUP('Données projet'!$B$14,Paramètres!$A$1:$I$89,3,0)*VLOOKUP('Données projet'!$B$14,Paramètres!$A$1:$I$89,5,0)</f>
        <v>3.177547114319168E-13</v>
      </c>
      <c r="DQ122" s="13">
        <f t="shared" si="97"/>
        <v>4.1725404435445377E-12</v>
      </c>
      <c r="DR122" s="20">
        <f t="shared" si="70"/>
        <v>7.820597394917325E-12</v>
      </c>
      <c r="DS122" s="59">
        <f t="shared" si="71"/>
        <v>293.33333333334116</v>
      </c>
      <c r="DT122" s="59">
        <f ca="1">AVERAGE(OFFSET($DS$3,0,0,'Données projet'!$E$14+1,1))-AVERAGE(OFFSET($H$3,0,0,'Données projet'!$E$14+1,1))</f>
        <v>328.15217666639006</v>
      </c>
      <c r="DU122" s="59">
        <f t="shared" si="98"/>
        <v>305.59175773326308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87.437413544270228</v>
      </c>
      <c r="EB122" s="21">
        <f>EXP(-LN(2)/25)*EB121+(1-EXP(-LN(2)/25))/(LN(2)/25)*Calculateur!DW122*Calculateur!DY122*VLOOKUP('Données projet'!$B$14,Paramètres!$A$1:$I$89,3,0)*0.475*44/12</f>
        <v>19.728821981940506</v>
      </c>
      <c r="EC122" s="21">
        <f>EXP(-LN(2)/2)*EC121+(1-EXP(-LN(2)/2))/(LN(2)/2)*DW122*DZ122*VLOOKUP('Données projet'!$B$14,Paramètres!$A$1:$I$89,3,0)*0.475*44/12</f>
        <v>3.1823198953695154E-6</v>
      </c>
      <c r="ED122" s="22">
        <f t="shared" si="72"/>
        <v>107.16623870853063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159.78276497127206</v>
      </c>
      <c r="EP122" s="59">
        <f t="shared" si="100"/>
        <v>190.72163407919857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2.0815551945721573</v>
      </c>
      <c r="EW122" s="21">
        <f>EXP(-LN(2)/25)*EW121+(1-EXP(-LN(2)/25))/(LN(2)/25)*Calculateur!ER122*Calculateur!ET122*VLOOKUP('Données projet'!$B$15,Paramètres!$A$1:$I$89,3,0)*0.475*44/12</f>
        <v>6.6078557031186165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8.6894108976907738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7.6799999999999971</v>
      </c>
      <c r="FE122" s="12">
        <f>IF('Données projet'!$A$218&gt;35,FE121+FD122-FM121,IF(A122&lt;'Données projet'!$A$218,$FB$205^A122,IF(A122='Données projet'!$A$218,'Données projet'!$B$218,FE121+FD122-FM121)))</f>
        <v>322.97000000000054</v>
      </c>
      <c r="FF122" s="17">
        <f>FE122*VLOOKUP('Données projet'!$B$16,Paramètres!$A$1:$I$89,3,0)*VLOOKUP('Données projet'!$B$16,Paramètres!$A$1:$I$89,5,0)</f>
        <v>277.10826000000048</v>
      </c>
      <c r="FG122" s="13">
        <f t="shared" si="101"/>
        <v>66.355532354125188</v>
      </c>
      <c r="FH122" s="20">
        <f t="shared" si="76"/>
        <v>598.19943835010224</v>
      </c>
      <c r="FI122" s="59">
        <f t="shared" si="77"/>
        <v>891.53277168343561</v>
      </c>
      <c r="FJ122" s="59">
        <f ca="1">AVERAGE(OFFSET($FI$3,0,0,'Données projet'!$E$16+1,1))-AVERAGE(OFFSET($H$3,0,0,'Données projet'!$E$16+1,1))</f>
        <v>337.15023592377008</v>
      </c>
      <c r="FK122" s="59">
        <f t="shared" si="102"/>
        <v>286.60608582587099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31.250008002577399</v>
      </c>
      <c r="FR122" s="21">
        <f>EXP(-LN(2)/25)*FR121+(1-EXP(-LN(2)/25))/(LN(2)/25)*Calculateur!FM122*Calculateur!FO122*VLOOKUP('Données projet'!$B$16,Paramètres!$A$1:$I$89,3,0)*0.475*44/12</f>
        <v>34.869816272953571</v>
      </c>
      <c r="FS122" s="21">
        <f>EXP(-LN(2)/2)*FS121+(1-EXP(-LN(2)/2))/(LN(2)/2)*FM122*FP122*VLOOKUP('Données projet'!$B$16,Paramètres!$A$1:$I$89,3,0)*0.475*44/12</f>
        <v>6.093911030617126</v>
      </c>
      <c r="FT122" s="22">
        <f t="shared" si="78"/>
        <v>72.213735306148095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8.9160000000000021</v>
      </c>
      <c r="FZ122" s="12">
        <f>IF('Données projet'!$A$244&gt;35,FZ121+FY122-GH121,IF(A122&lt;'Données projet'!$A$244,$FW$205^A122,IF(A122='Données projet'!$A$244,'Données projet'!$B$244,FZ121+FY122-GH121)))</f>
        <v>407.28000000000071</v>
      </c>
      <c r="GA122" s="17">
        <f>FZ122*VLOOKUP('Données projet'!$B$17,Paramètres!$A$1:$I$89,3,0)*VLOOKUP('Données projet'!$B$17,Paramètres!$A$1:$I$89,5,0)</f>
        <v>368.5069440000006</v>
      </c>
      <c r="GB122" s="13">
        <f t="shared" si="103"/>
        <v>85.361780301252097</v>
      </c>
      <c r="GC122" s="20">
        <f t="shared" si="79"/>
        <v>790.48802815801503</v>
      </c>
      <c r="GD122" s="59">
        <f t="shared" si="80"/>
        <v>1083.8213614913484</v>
      </c>
      <c r="GE122" s="59">
        <f ca="1">AVERAGE(OFFSET($GD$3,0,0,'Données projet'!$E$17+1,1))-AVERAGE(OFFSET($H$3,0,0,'Données projet'!$E$17+1,1))</f>
        <v>486.55344536255876</v>
      </c>
      <c r="GF122" s="59">
        <f t="shared" si="104"/>
        <v>231.14794884432229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33.023937095759393</v>
      </c>
      <c r="GM122" s="21">
        <f>EXP(-LN(2)/25)*GM121+(1-EXP(-LN(2)/25))/(LN(2)/25)*Calculateur!GH122*Calculateur!GJ122*VLOOKUP('Données projet'!$B$17,Paramètres!$A$1:$I$89,3,0)*0.475*44/12</f>
        <v>22.443556444671213</v>
      </c>
      <c r="GN122" s="21">
        <f>EXP(-LN(2)/2)*GN121+(1-EXP(-LN(2)/2))/(LN(2)/2)*GH122*GK122*VLOOKUP('Données projet'!$B$17,Paramètres!$A$1:$I$89,3,0)*0.475*44/12</f>
        <v>0.96575181241947516</v>
      </c>
      <c r="GO122" s="21">
        <f t="shared" si="81"/>
        <v>56.433245352850086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451.84197001585653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252.08270526008477</v>
      </c>
      <c r="T123" s="59">
        <f t="shared" si="88"/>
        <v>239.77811108960179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116.18832449600954</v>
      </c>
      <c r="AA123" s="21">
        <f>EXP(-LN(2)/25)*AA122+(1-EXP(-LN(2)/25))/(LN(2)/25)*Calculateur!V123*Calculateur!X123*VLOOKUP('Données projet'!$B$9,Paramètres!$A$1:$I$89,3,0)*0.475*44/12</f>
        <v>31.379565296012164</v>
      </c>
      <c r="AB123" s="21">
        <f>EXP(-LN(2)/2)*AB122+(1-EXP(-LN(2)/2))/(LN(2)/2)*V123*Y123*VLOOKUP('Données projet'!$B$9,Paramètres!$A$1:$I$89,3,0)*0.475*44/12</f>
        <v>5.3405256635071785E-2</v>
      </c>
      <c r="AC123" s="22">
        <f t="shared" si="57"/>
        <v>147.62129504865678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251.64326096359997</v>
      </c>
      <c r="AO123" s="59">
        <f t="shared" si="90"/>
        <v>256.72142151189894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42.320834980008932</v>
      </c>
      <c r="AV123" s="21">
        <f>EXP(-LN(2)/25)*AV122+(1-EXP(-LN(2)/25))/(LN(2)/25)*Calculateur!AQ123*Calculateur!AS123*VLOOKUP('Données projet'!$B$10,Paramètres!$A$1:$I$89,3,0)*0.475*44/12</f>
        <v>9.1777619081265041</v>
      </c>
      <c r="AW123" s="21">
        <f>EXP(-LN(2)/2)*AW122+(1-EXP(-LN(2)/2))/(LN(2)/2)*AQ123*AT123*VLOOKUP('Données projet'!$B$10,Paramètres!$A$1:$I$89,3,0)*0.475*44/12</f>
        <v>5.5843445307904383E-8</v>
      </c>
      <c r="AX123" s="21">
        <f t="shared" si="60"/>
        <v>51.498596943978882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199.29783428981898</v>
      </c>
      <c r="BJ123" s="59">
        <f t="shared" si="92"/>
        <v>237.32002274562547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1.7569929095913059</v>
      </c>
      <c r="BQ123" s="21">
        <f>EXP(-LN(2)/25)*BQ122+(1-EXP(-LN(2)/25))/(LN(2)/25)*Calculateur!BL123*Calculateur!BN123*VLOOKUP('Données projet'!$B$11,Paramètres!$A$1:$I$89,3,0)*0.475*44/12</f>
        <v>5.5335302137947391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7.2905231233860448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8.7019999999999982</v>
      </c>
      <c r="BY123" s="12">
        <f>IF('Données projet'!$A$114&gt;35,BY122+BX123-CG122,IF(A123&lt;'Données projet'!$A$114,$BV$205^A123,IF(A123='Données projet'!$A$114,'Données projet'!$B$114,BY122+BX123-CG122)))</f>
        <v>383.42400000000026</v>
      </c>
      <c r="BZ123" s="13">
        <f>BY123*VLOOKUP('Données projet'!$B$12,Paramètres!$A$1:$I$89,3,0)*VLOOKUP('Données projet'!$B$12,Paramètres!$A$1:$I$89,5,0)</f>
        <v>322.99637760000024</v>
      </c>
      <c r="CA123" s="13">
        <f t="shared" si="93"/>
        <v>75.976469711859707</v>
      </c>
      <c r="CB123" s="20">
        <f t="shared" si="64"/>
        <v>694.87770906815604</v>
      </c>
      <c r="CC123" s="59">
        <f t="shared" si="65"/>
        <v>988.21104240148929</v>
      </c>
      <c r="CD123" s="59">
        <f ca="1">AVERAGE(OFFSET($CC$3,0,0,'Données projet'!$E$12+1,1))-AVERAGE(OFFSET($H$3,0,0,'Données projet'!$E$12+1,1))</f>
        <v>295.59075210589327</v>
      </c>
      <c r="CE123" s="59">
        <f t="shared" si="94"/>
        <v>210.41181542059576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40.895750656789176</v>
      </c>
      <c r="CL123" s="21">
        <f>EXP(-LN(2)/25)*CL122+(1-EXP(-LN(2)/25))/(LN(2)/25)*Calculateur!CG123*Calculateur!CI123*VLOOKUP('Données projet'!$B$12,Paramètres!$A$1:$I$89,3,0)*0.475*44/12</f>
        <v>18.804214279991253</v>
      </c>
      <c r="CM123" s="21">
        <f>EXP(-LN(2)/2)*CM122+(1-EXP(-LN(2)/2))/(LN(2)/2)*CG123*CJ123*VLOOKUP('Données projet'!$B$12,Paramètres!$A$1:$I$89,3,0)*0.475*44/12</f>
        <v>1.133676478820776E-5</v>
      </c>
      <c r="CN123" s="22">
        <f t="shared" si="66"/>
        <v>59.699976273545218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1.1368683772161603E-13</v>
      </c>
      <c r="CU123" s="17">
        <f>CT123*VLOOKUP('Données projet'!$B$13,Paramètres!$A$1:$I$89,3,0)*VLOOKUP('Données projet'!$B$13,Paramètres!$A$1:$I$89,5,0)</f>
        <v>5.1727511163335289E-14</v>
      </c>
      <c r="CV123" s="13">
        <f t="shared" si="95"/>
        <v>8.3906664221915895E-13</v>
      </c>
      <c r="CW123" s="20">
        <f t="shared" si="67"/>
        <v>1.551466483807844E-12</v>
      </c>
      <c r="CX123" s="59">
        <f t="shared" si="68"/>
        <v>293.33333333333485</v>
      </c>
      <c r="CY123" s="59">
        <f ca="1">AVERAGE(OFFSET($CX$3,0,0,'Données projet'!$E$13+1,1))-AVERAGE(OFFSET($H$3,0,0,'Données projet'!$E$13+1,1))</f>
        <v>338.22448697444298</v>
      </c>
      <c r="CZ123" s="59">
        <f t="shared" si="96"/>
        <v>293.3872365640849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96.328733699057949</v>
      </c>
      <c r="DG123" s="21">
        <f>EXP(-LN(2)/25)*DG122+(1-EXP(-LN(2)/25))/(LN(2)/25)*Calculateur!DB123*Calculateur!DD123*VLOOKUP('Données projet'!$B$13,Paramètres!$A$1:$I$89,3,0)*0.475*44/12</f>
        <v>24.414362856706038</v>
      </c>
      <c r="DH123" s="21">
        <f>EXP(-LN(2)/2)*DH122+(1-EXP(-LN(2)/2))/(LN(2)/2)*DB123*DE123*VLOOKUP('Données projet'!$B$13,Paramètres!$A$1:$I$89,3,0)*0.475*44/12</f>
        <v>7.7167291946730546E-5</v>
      </c>
      <c r="DI123" s="22">
        <f t="shared" si="69"/>
        <v>120.74317372305593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5.6843418860808015E-13</v>
      </c>
      <c r="DP123" s="17">
        <f>DO123*VLOOKUP('Données projet'!$B$14,Paramètres!$A$1:$I$89,3,0)*VLOOKUP('Données projet'!$B$14,Paramètres!$A$1:$I$89,5,0)</f>
        <v>3.177547114319168E-13</v>
      </c>
      <c r="DQ123" s="13">
        <f t="shared" si="97"/>
        <v>4.1725404435445377E-12</v>
      </c>
      <c r="DR123" s="20">
        <f t="shared" si="70"/>
        <v>7.820597394917325E-12</v>
      </c>
      <c r="DS123" s="59">
        <f t="shared" si="71"/>
        <v>293.33333333334116</v>
      </c>
      <c r="DT123" s="59">
        <f ca="1">AVERAGE(OFFSET($DS$3,0,0,'Données projet'!$E$14+1,1))-AVERAGE(OFFSET($H$3,0,0,'Données projet'!$E$14+1,1))</f>
        <v>328.15217666639006</v>
      </c>
      <c r="DU123" s="59">
        <f t="shared" si="98"/>
        <v>305.59175773326308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85.722819196223298</v>
      </c>
      <c r="EB123" s="21">
        <f>EXP(-LN(2)/25)*EB122+(1-EXP(-LN(2)/25))/(LN(2)/25)*Calculateur!DW123*Calculateur!DY123*VLOOKUP('Données projet'!$B$14,Paramètres!$A$1:$I$89,3,0)*0.475*44/12</f>
        <v>19.189336307350686</v>
      </c>
      <c r="EC123" s="21">
        <f>EXP(-LN(2)/2)*EC122+(1-EXP(-LN(2)/2))/(LN(2)/2)*DW123*DZ123*VLOOKUP('Données projet'!$B$14,Paramètres!$A$1:$I$89,3,0)*0.475*44/12</f>
        <v>2.2502399779206487E-6</v>
      </c>
      <c r="ED123" s="22">
        <f t="shared" si="72"/>
        <v>104.91215775381396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159.78276497127206</v>
      </c>
      <c r="EP123" s="59">
        <f t="shared" si="100"/>
        <v>190.72163407919857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2.040737166829901</v>
      </c>
      <c r="EW123" s="21">
        <f>EXP(-LN(2)/25)*EW122+(1-EXP(-LN(2)/25))/(LN(2)/25)*Calculateur!ER123*Calculateur!ET123*VLOOKUP('Données projet'!$B$15,Paramètres!$A$1:$I$89,3,0)*0.475*44/12</f>
        <v>6.4271635414248092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8.4679007082547102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7.6799999999999971</v>
      </c>
      <c r="FE123" s="12">
        <f>IF('Données projet'!$A$218&gt;35,FE122+FD123-FM122,IF(A123&lt;'Données projet'!$A$218,$FB$205^A123,IF(A123='Données projet'!$A$218,'Données projet'!$B$218,FE122+FD123-FM122)))</f>
        <v>330.65000000000055</v>
      </c>
      <c r="FF123" s="17">
        <f>FE123*VLOOKUP('Données projet'!$B$16,Paramètres!$A$1:$I$89,3,0)*VLOOKUP('Données projet'!$B$16,Paramètres!$A$1:$I$89,5,0)</f>
        <v>283.69770000000051</v>
      </c>
      <c r="FG123" s="13">
        <f t="shared" si="101"/>
        <v>67.747841516414979</v>
      </c>
      <c r="FH123" s="20">
        <f t="shared" si="76"/>
        <v>612.10098480775684</v>
      </c>
      <c r="FI123" s="59">
        <f t="shared" si="77"/>
        <v>905.43431814109022</v>
      </c>
      <c r="FJ123" s="59">
        <f ca="1">AVERAGE(OFFSET($FI$3,0,0,'Données projet'!$E$16+1,1))-AVERAGE(OFFSET($H$3,0,0,'Données projet'!$E$16+1,1))</f>
        <v>337.15023592377008</v>
      </c>
      <c r="FK123" s="59">
        <f t="shared" si="102"/>
        <v>286.60608582587099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30.637214406269656</v>
      </c>
      <c r="FR123" s="21">
        <f>EXP(-LN(2)/25)*FR122+(1-EXP(-LN(2)/25))/(LN(2)/25)*Calculateur!FM123*Calculateur!FO123*VLOOKUP('Données projet'!$B$16,Paramètres!$A$1:$I$89,3,0)*0.475*44/12</f>
        <v>33.916299313245716</v>
      </c>
      <c r="FS123" s="21">
        <f>EXP(-LN(2)/2)*FS122+(1-EXP(-LN(2)/2))/(LN(2)/2)*FM123*FP123*VLOOKUP('Données projet'!$B$16,Paramètres!$A$1:$I$89,3,0)*0.475*44/12</f>
        <v>4.3090458136968728</v>
      </c>
      <c r="FT123" s="22">
        <f t="shared" si="78"/>
        <v>68.862559533212234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8.9160000000000021</v>
      </c>
      <c r="FZ123" s="12">
        <f>IF('Données projet'!$A$244&gt;35,FZ122+FY123-GH122,IF(A123&lt;'Données projet'!$A$244,$FW$205^A123,IF(A123='Données projet'!$A$244,'Données projet'!$B$244,FZ122+FY123-GH122)))</f>
        <v>416.19600000000071</v>
      </c>
      <c r="GA123" s="17">
        <f>FZ123*VLOOKUP('Données projet'!$B$17,Paramètres!$A$1:$I$89,3,0)*VLOOKUP('Données projet'!$B$17,Paramètres!$A$1:$I$89,5,0)</f>
        <v>376.57414080000063</v>
      </c>
      <c r="GB123" s="13">
        <f t="shared" si="103"/>
        <v>87.010880052402811</v>
      </c>
      <c r="GC123" s="20">
        <f t="shared" si="79"/>
        <v>807.41057798460258</v>
      </c>
      <c r="GD123" s="59">
        <f t="shared" si="80"/>
        <v>1100.743911317936</v>
      </c>
      <c r="GE123" s="59">
        <f ca="1">AVERAGE(OFFSET($GD$3,0,0,'Données projet'!$E$17+1,1))-AVERAGE(OFFSET($H$3,0,0,'Données projet'!$E$17+1,1))</f>
        <v>486.55344536255876</v>
      </c>
      <c r="GF123" s="59">
        <f t="shared" si="104"/>
        <v>231.14794884432229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32.37635783192426</v>
      </c>
      <c r="GM123" s="21">
        <f>EXP(-LN(2)/25)*GM122+(1-EXP(-LN(2)/25))/(LN(2)/25)*Calculateur!GH123*Calculateur!GJ123*VLOOKUP('Données projet'!$B$17,Paramètres!$A$1:$I$89,3,0)*0.475*44/12</f>
        <v>21.829836213436341</v>
      </c>
      <c r="GN123" s="21">
        <f>EXP(-LN(2)/2)*GN122+(1-EXP(-LN(2)/2))/(LN(2)/2)*GH123*GK123*VLOOKUP('Données projet'!$B$17,Paramètres!$A$1:$I$89,3,0)*0.475*44/12</f>
        <v>0.68288965550500957</v>
      </c>
      <c r="GO123" s="21">
        <f t="shared" si="81"/>
        <v>54.889083700865612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453.42760316690999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252.08270526008477</v>
      </c>
      <c r="T124" s="59">
        <f t="shared" si="88"/>
        <v>239.77811108960179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113.90994232052311</v>
      </c>
      <c r="AA124" s="21">
        <f>EXP(-LN(2)/25)*AA123+(1-EXP(-LN(2)/25))/(LN(2)/25)*Calculateur!V124*Calculateur!X124*VLOOKUP('Données projet'!$B$9,Paramètres!$A$1:$I$89,3,0)*0.475*44/12</f>
        <v>30.521489432813091</v>
      </c>
      <c r="AB124" s="21">
        <f>EXP(-LN(2)/2)*AB123+(1-EXP(-LN(2)/2))/(LN(2)/2)*V124*Y124*VLOOKUP('Données projet'!$B$9,Paramètres!$A$1:$I$89,3,0)*0.475*44/12</f>
        <v>3.776321911766712E-2</v>
      </c>
      <c r="AC124" s="22">
        <f t="shared" si="57"/>
        <v>144.46919497245386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251.64326096359997</v>
      </c>
      <c r="AO124" s="59">
        <f t="shared" si="90"/>
        <v>256.72142151189894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41.490949219211458</v>
      </c>
      <c r="AV124" s="21">
        <f>EXP(-LN(2)/25)*AV123+(1-EXP(-LN(2)/25))/(LN(2)/25)*Calculateur!AQ124*Calculateur!AS124*VLOOKUP('Données projet'!$B$10,Paramètres!$A$1:$I$89,3,0)*0.475*44/12</f>
        <v>8.9267955261112615</v>
      </c>
      <c r="AW124" s="21">
        <f>EXP(-LN(2)/2)*AW123+(1-EXP(-LN(2)/2))/(LN(2)/2)*AQ124*AT124*VLOOKUP('Données projet'!$B$10,Paramètres!$A$1:$I$89,3,0)*0.475*44/12</f>
        <v>3.9487278862039278E-8</v>
      </c>
      <c r="AX124" s="21">
        <f t="shared" si="60"/>
        <v>50.417744784809997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199.29783428981898</v>
      </c>
      <c r="BJ124" s="59">
        <f t="shared" si="92"/>
        <v>237.32002274562547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1.7225393502940776</v>
      </c>
      <c r="BQ124" s="21">
        <f>EXP(-LN(2)/25)*BQ123+(1-EXP(-LN(2)/25))/(LN(2)/25)*Calculateur!BL124*Calculateur!BN124*VLOOKUP('Données projet'!$B$11,Paramètres!$A$1:$I$89,3,0)*0.475*44/12</f>
        <v>5.3822155391028152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7.1047548893968928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8.7019999999999982</v>
      </c>
      <c r="BY124" s="12">
        <f>IF('Données projet'!$A$114&gt;35,BY123+BX124-CG123,IF(A124&lt;'Données projet'!$A$114,$BV$205^A124,IF(A124='Données projet'!$A$114,'Données projet'!$B$114,BY123+BX124-CG123)))</f>
        <v>392.12600000000026</v>
      </c>
      <c r="BZ124" s="13">
        <f>BY124*VLOOKUP('Données projet'!$B$12,Paramètres!$A$1:$I$89,3,0)*VLOOKUP('Données projet'!$B$12,Paramètres!$A$1:$I$89,5,0)</f>
        <v>330.32694240000023</v>
      </c>
      <c r="CA124" s="13">
        <f t="shared" si="93"/>
        <v>77.498086765741931</v>
      </c>
      <c r="CB124" s="20">
        <f t="shared" si="64"/>
        <v>710.29525913033433</v>
      </c>
      <c r="CC124" s="59">
        <f t="shared" si="65"/>
        <v>1003.6285924636677</v>
      </c>
      <c r="CD124" s="59">
        <f ca="1">AVERAGE(OFFSET($CC$3,0,0,'Données projet'!$E$12+1,1))-AVERAGE(OFFSET($H$3,0,0,'Données projet'!$E$12+1,1))</f>
        <v>295.59075210589327</v>
      </c>
      <c r="CE124" s="59">
        <f t="shared" si="94"/>
        <v>210.41181542059576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40.093809930354432</v>
      </c>
      <c r="CL124" s="21">
        <f>EXP(-LN(2)/25)*CL123+(1-EXP(-LN(2)/25))/(LN(2)/25)*Calculateur!CG124*Calculateur!CI124*VLOOKUP('Données projet'!$B$12,Paramètres!$A$1:$I$89,3,0)*0.475*44/12</f>
        <v>18.290012051634243</v>
      </c>
      <c r="CM124" s="21">
        <f>EXP(-LN(2)/2)*CM123+(1-EXP(-LN(2)/2))/(LN(2)/2)*CG124*CJ124*VLOOKUP('Données projet'!$B$12,Paramètres!$A$1:$I$89,3,0)*0.475*44/12</f>
        <v>8.0163032584585815E-6</v>
      </c>
      <c r="CN124" s="22">
        <f t="shared" si="66"/>
        <v>58.38382999829193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5.1727511163335289E-14</v>
      </c>
      <c r="CV124" s="13">
        <f t="shared" si="95"/>
        <v>8.3906664221915895E-13</v>
      </c>
      <c r="CW124" s="20">
        <f t="shared" si="67"/>
        <v>1.551466483807844E-12</v>
      </c>
      <c r="CX124" s="59">
        <f t="shared" si="68"/>
        <v>293.33333333333485</v>
      </c>
      <c r="CY124" s="59">
        <f ca="1">AVERAGE(OFFSET($CX$3,0,0,'Données projet'!$E$13+1,1))-AVERAGE(OFFSET($H$3,0,0,'Données projet'!$E$13+1,1))</f>
        <v>338.22448697444298</v>
      </c>
      <c r="CZ124" s="59">
        <f t="shared" si="96"/>
        <v>293.3872365640849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94.439785985945434</v>
      </c>
      <c r="DG124" s="21">
        <f>EXP(-LN(2)/25)*DG123+(1-EXP(-LN(2)/25))/(LN(2)/25)*Calculateur!DB124*Calculateur!DD124*VLOOKUP('Données projet'!$B$13,Paramètres!$A$1:$I$89,3,0)*0.475*44/12</f>
        <v>23.746750820493869</v>
      </c>
      <c r="DH124" s="21">
        <f>EXP(-LN(2)/2)*DH123+(1-EXP(-LN(2)/2))/(LN(2)/2)*DB124*DE124*VLOOKUP('Données projet'!$B$13,Paramètres!$A$1:$I$89,3,0)*0.475*44/12</f>
        <v>5.4565515421335227E-5</v>
      </c>
      <c r="DI124" s="22">
        <f t="shared" si="69"/>
        <v>118.18659137195473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5.6843418860808015E-13</v>
      </c>
      <c r="DP124" s="17">
        <f>DO124*VLOOKUP('Données projet'!$B$14,Paramètres!$A$1:$I$89,3,0)*VLOOKUP('Données projet'!$B$14,Paramètres!$A$1:$I$89,5,0)</f>
        <v>3.177547114319168E-13</v>
      </c>
      <c r="DQ124" s="13">
        <f t="shared" si="97"/>
        <v>4.1725404435445377E-12</v>
      </c>
      <c r="DR124" s="20">
        <f t="shared" si="70"/>
        <v>7.820597394917325E-12</v>
      </c>
      <c r="DS124" s="59">
        <f t="shared" si="71"/>
        <v>293.33333333334116</v>
      </c>
      <c r="DT124" s="59">
        <f ca="1">AVERAGE(OFFSET($DS$3,0,0,'Données projet'!$E$14+1,1))-AVERAGE(OFFSET($H$3,0,0,'Données projet'!$E$14+1,1))</f>
        <v>328.15217666639006</v>
      </c>
      <c r="DU124" s="59">
        <f t="shared" si="98"/>
        <v>305.59175773326308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84.041846997542279</v>
      </c>
      <c r="EB124" s="21">
        <f>EXP(-LN(2)/25)*EB123+(1-EXP(-LN(2)/25))/(LN(2)/25)*Calculateur!DW124*Calculateur!DY124*VLOOKUP('Données projet'!$B$14,Paramètres!$A$1:$I$89,3,0)*0.475*44/12</f>
        <v>18.664602896902842</v>
      </c>
      <c r="EC124" s="21">
        <f>EXP(-LN(2)/2)*EC123+(1-EXP(-LN(2)/2))/(LN(2)/2)*DW124*DZ124*VLOOKUP('Données projet'!$B$14,Paramètres!$A$1:$I$89,3,0)*0.475*44/12</f>
        <v>1.5911599476847577E-6</v>
      </c>
      <c r="ED124" s="22">
        <f t="shared" si="72"/>
        <v>102.70645148560506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159.78276497127206</v>
      </c>
      <c r="EP124" s="59">
        <f t="shared" si="100"/>
        <v>190.72163407919857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2.0007195557151318</v>
      </c>
      <c r="EW124" s="21">
        <f>EXP(-LN(2)/25)*EW123+(1-EXP(-LN(2)/25))/(LN(2)/25)*Calculateur!ER124*Calculateur!ET124*VLOOKUP('Données projet'!$B$15,Paramètres!$A$1:$I$89,3,0)*0.475*44/12</f>
        <v>6.2514124163947065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8.2521319721098383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7.6799999999999971</v>
      </c>
      <c r="FE124" s="12">
        <f>IF('Données projet'!$A$218&gt;35,FE123+FD124-FM123,IF(A124&lt;'Données projet'!$A$218,$FB$205^A124,IF(A124='Données projet'!$A$218,'Données projet'!$B$218,FE123+FD124-FM123)))</f>
        <v>338.33000000000055</v>
      </c>
      <c r="FF124" s="17">
        <f>FE124*VLOOKUP('Données projet'!$B$16,Paramètres!$A$1:$I$89,3,0)*VLOOKUP('Données projet'!$B$16,Paramètres!$A$1:$I$89,5,0)</f>
        <v>290.28714000000053</v>
      </c>
      <c r="FG124" s="13">
        <f t="shared" si="101"/>
        <v>69.136391130333024</v>
      </c>
      <c r="FH124" s="20">
        <f t="shared" si="76"/>
        <v>625.99598338533099</v>
      </c>
      <c r="FI124" s="59">
        <f t="shared" si="77"/>
        <v>919.32931671866436</v>
      </c>
      <c r="FJ124" s="59">
        <f ca="1">AVERAGE(OFFSET($FI$3,0,0,'Données projet'!$E$16+1,1))-AVERAGE(OFFSET($H$3,0,0,'Données projet'!$E$16+1,1))</f>
        <v>337.15023592377008</v>
      </c>
      <c r="FK124" s="59">
        <f t="shared" si="102"/>
        <v>286.60608582587099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30.036437318618322</v>
      </c>
      <c r="FR124" s="21">
        <f>EXP(-LN(2)/25)*FR123+(1-EXP(-LN(2)/25))/(LN(2)/25)*Calculateur!FM124*Calculateur!FO124*VLOOKUP('Données projet'!$B$16,Paramètres!$A$1:$I$89,3,0)*0.475*44/12</f>
        <v>32.988856324944351</v>
      </c>
      <c r="FS124" s="21">
        <f>EXP(-LN(2)/2)*FS123+(1-EXP(-LN(2)/2))/(LN(2)/2)*FM124*FP124*VLOOKUP('Données projet'!$B$16,Paramètres!$A$1:$I$89,3,0)*0.475*44/12</f>
        <v>3.0469555153085635</v>
      </c>
      <c r="FT124" s="22">
        <f t="shared" si="78"/>
        <v>66.072249158871244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8.9160000000000021</v>
      </c>
      <c r="FZ124" s="12">
        <f>IF('Données projet'!$A$244&gt;35,FZ123+FY124-GH123,IF(A124&lt;'Données projet'!$A$244,$FW$205^A124,IF(A124='Données projet'!$A$244,'Données projet'!$B$244,FZ123+FY124-GH123)))</f>
        <v>425.11200000000071</v>
      </c>
      <c r="GA124" s="17">
        <f>FZ124*VLOOKUP('Données projet'!$B$17,Paramètres!$A$1:$I$89,3,0)*VLOOKUP('Données projet'!$B$17,Paramètres!$A$1:$I$89,5,0)</f>
        <v>384.64133760000061</v>
      </c>
      <c r="GB124" s="13">
        <f t="shared" si="103"/>
        <v>88.65587241476193</v>
      </c>
      <c r="GC124" s="20">
        <f t="shared" si="79"/>
        <v>824.32597410904464</v>
      </c>
      <c r="GD124" s="59">
        <f t="shared" si="80"/>
        <v>1117.6593074423779</v>
      </c>
      <c r="GE124" s="59">
        <f ca="1">AVERAGE(OFFSET($GD$3,0,0,'Données projet'!$E$17+1,1))-AVERAGE(OFFSET($H$3,0,0,'Données projet'!$E$17+1,1))</f>
        <v>486.55344536255876</v>
      </c>
      <c r="GF124" s="59">
        <f t="shared" si="104"/>
        <v>231.14794884432229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31.741477202468587</v>
      </c>
      <c r="GM124" s="21">
        <f>EXP(-LN(2)/25)*GM123+(1-EXP(-LN(2)/25))/(LN(2)/25)*Calculateur!GH124*Calculateur!GJ124*VLOOKUP('Données projet'!$B$17,Paramètres!$A$1:$I$89,3,0)*0.475*44/12</f>
        <v>21.232898194198729</v>
      </c>
      <c r="GN124" s="21">
        <f>EXP(-LN(2)/2)*GN123+(1-EXP(-LN(2)/2))/(LN(2)/2)*GH124*GK124*VLOOKUP('Données projet'!$B$17,Paramètres!$A$1:$I$89,3,0)*0.475*44/12</f>
        <v>0.48287590620973764</v>
      </c>
      <c r="GO124" s="21">
        <f t="shared" si="81"/>
        <v>53.457251302877047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455.01293954754578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252.08270526008477</v>
      </c>
      <c r="T125" s="59">
        <f t="shared" si="88"/>
        <v>239.77811108960179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111.67623782982207</v>
      </c>
      <c r="AA125" s="21">
        <f>EXP(-LN(2)/25)*AA124+(1-EXP(-LN(2)/25))/(LN(2)/25)*Calculateur!V125*Calculateur!X125*VLOOKUP('Données projet'!$B$9,Paramètres!$A$1:$I$89,3,0)*0.475*44/12</f>
        <v>29.686877699217444</v>
      </c>
      <c r="AB125" s="21">
        <f>EXP(-LN(2)/2)*AB124+(1-EXP(-LN(2)/2))/(LN(2)/2)*V125*Y125*VLOOKUP('Données projet'!$B$9,Paramètres!$A$1:$I$89,3,0)*0.475*44/12</f>
        <v>2.6702628317535892E-2</v>
      </c>
      <c r="AC125" s="22">
        <f t="shared" si="57"/>
        <v>141.38981815735704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251.64326096359997</v>
      </c>
      <c r="AO125" s="59">
        <f t="shared" si="90"/>
        <v>256.72142151189894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40.677337012002887</v>
      </c>
      <c r="AV125" s="21">
        <f>EXP(-LN(2)/25)*AV124+(1-EXP(-LN(2)/25))/(LN(2)/25)*Calculateur!AQ125*Calculateur!AS125*VLOOKUP('Données projet'!$B$10,Paramètres!$A$1:$I$89,3,0)*0.475*44/12</f>
        <v>8.682691833009974</v>
      </c>
      <c r="AW125" s="21">
        <f>EXP(-LN(2)/2)*AW124+(1-EXP(-LN(2)/2))/(LN(2)/2)*AQ125*AT125*VLOOKUP('Données projet'!$B$10,Paramètres!$A$1:$I$89,3,0)*0.475*44/12</f>
        <v>2.7921722653952191E-8</v>
      </c>
      <c r="AX125" s="21">
        <f t="shared" si="60"/>
        <v>49.360028872934585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199.29783428981898</v>
      </c>
      <c r="BJ125" s="59">
        <f t="shared" si="92"/>
        <v>237.32002274562547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1.6887614042800718</v>
      </c>
      <c r="BQ125" s="21">
        <f>EXP(-LN(2)/25)*BQ124+(1-EXP(-LN(2)/25))/(LN(2)/25)*Calculateur!BL125*Calculateur!BN125*VLOOKUP('Données projet'!$B$11,Paramètres!$A$1:$I$89,3,0)*0.475*44/12</f>
        <v>5.2350385721476345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6.9237999764277065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8.7019999999999982</v>
      </c>
      <c r="BY125" s="12">
        <f>IF('Données projet'!$A$114&gt;35,BY124+BX125-CG124,IF(A125&lt;'Données projet'!$A$114,$BV$205^A125,IF(A125='Données projet'!$A$114,'Données projet'!$B$114,BY124+BX125-CG124)))</f>
        <v>400.82800000000026</v>
      </c>
      <c r="BZ125" s="13">
        <f>BY125*VLOOKUP('Données projet'!$B$12,Paramètres!$A$1:$I$89,3,0)*VLOOKUP('Données projet'!$B$12,Paramètres!$A$1:$I$89,5,0)</f>
        <v>337.65750720000023</v>
      </c>
      <c r="CA125" s="13">
        <f t="shared" si="93"/>
        <v>79.015778015138324</v>
      </c>
      <c r="CB125" s="20">
        <f t="shared" si="64"/>
        <v>725.70597174969953</v>
      </c>
      <c r="CC125" s="59">
        <f t="shared" si="65"/>
        <v>1019.0393050830328</v>
      </c>
      <c r="CD125" s="59">
        <f ca="1">AVERAGE(OFFSET($CC$3,0,0,'Données projet'!$E$12+1,1))-AVERAGE(OFFSET($H$3,0,0,'Données projet'!$E$12+1,1))</f>
        <v>295.59075210589327</v>
      </c>
      <c r="CE125" s="59">
        <f t="shared" si="94"/>
        <v>210.41181542059576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39.307594772429525</v>
      </c>
      <c r="CL125" s="21">
        <f>EXP(-LN(2)/25)*CL124+(1-EXP(-LN(2)/25))/(LN(2)/25)*Calculateur!CG125*Calculateur!CI125*VLOOKUP('Données projet'!$B$12,Paramètres!$A$1:$I$89,3,0)*0.475*44/12</f>
        <v>17.789870710252373</v>
      </c>
      <c r="CM125" s="21">
        <f>EXP(-LN(2)/2)*CM124+(1-EXP(-LN(2)/2))/(LN(2)/2)*CG125*CJ125*VLOOKUP('Données projet'!$B$12,Paramètres!$A$1:$I$89,3,0)*0.475*44/12</f>
        <v>5.6683823941038802E-6</v>
      </c>
      <c r="CN125" s="22">
        <f t="shared" si="66"/>
        <v>57.09747115106429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5.1727511163335289E-14</v>
      </c>
      <c r="CV125" s="13">
        <f t="shared" si="95"/>
        <v>8.3906664221915895E-13</v>
      </c>
      <c r="CW125" s="20">
        <f t="shared" si="67"/>
        <v>1.551466483807844E-12</v>
      </c>
      <c r="CX125" s="59">
        <f t="shared" si="68"/>
        <v>293.33333333333485</v>
      </c>
      <c r="CY125" s="59">
        <f ca="1">AVERAGE(OFFSET($CX$3,0,0,'Données projet'!$E$13+1,1))-AVERAGE(OFFSET($H$3,0,0,'Données projet'!$E$13+1,1))</f>
        <v>338.22448697444298</v>
      </c>
      <c r="CZ125" s="59">
        <f t="shared" si="96"/>
        <v>293.3872365640849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92.587879385342717</v>
      </c>
      <c r="DG125" s="21">
        <f>EXP(-LN(2)/25)*DG124+(1-EXP(-LN(2)/25))/(LN(2)/25)*Calculateur!DB125*Calculateur!DD125*VLOOKUP('Données projet'!$B$13,Paramètres!$A$1:$I$89,3,0)*0.475*44/12</f>
        <v>23.097394670520114</v>
      </c>
      <c r="DH125" s="21">
        <f>EXP(-LN(2)/2)*DH124+(1-EXP(-LN(2)/2))/(LN(2)/2)*DB125*DE125*VLOOKUP('Données projet'!$B$13,Paramètres!$A$1:$I$89,3,0)*0.475*44/12</f>
        <v>3.8583645973365273E-5</v>
      </c>
      <c r="DI125" s="22">
        <f t="shared" si="69"/>
        <v>115.68531263950881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5.6843418860808015E-13</v>
      </c>
      <c r="DP125" s="17">
        <f>DO125*VLOOKUP('Données projet'!$B$14,Paramètres!$A$1:$I$89,3,0)*VLOOKUP('Données projet'!$B$14,Paramètres!$A$1:$I$89,5,0)</f>
        <v>3.177547114319168E-13</v>
      </c>
      <c r="DQ125" s="13">
        <f t="shared" si="97"/>
        <v>4.1725404435445377E-12</v>
      </c>
      <c r="DR125" s="20">
        <f t="shared" si="70"/>
        <v>7.820597394917325E-12</v>
      </c>
      <c r="DS125" s="59">
        <f t="shared" si="71"/>
        <v>293.33333333334116</v>
      </c>
      <c r="DT125" s="59">
        <f ca="1">AVERAGE(OFFSET($DS$3,0,0,'Données projet'!$E$14+1,1))-AVERAGE(OFFSET($H$3,0,0,'Données projet'!$E$14+1,1))</f>
        <v>328.15217666639006</v>
      </c>
      <c r="DU125" s="59">
        <f t="shared" si="98"/>
        <v>305.59175773326308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82.393837638385591</v>
      </c>
      <c r="EB125" s="21">
        <f>EXP(-LN(2)/25)*EB124+(1-EXP(-LN(2)/25))/(LN(2)/25)*Calculateur!DW125*Calculateur!DY125*VLOOKUP('Données projet'!$B$14,Paramètres!$A$1:$I$89,3,0)*0.475*44/12</f>
        <v>18.154218349158228</v>
      </c>
      <c r="EC125" s="21">
        <f>EXP(-LN(2)/2)*EC124+(1-EXP(-LN(2)/2))/(LN(2)/2)*DW125*DZ125*VLOOKUP('Données projet'!$B$14,Paramètres!$A$1:$I$89,3,0)*0.475*44/12</f>
        <v>1.1251199889603244E-6</v>
      </c>
      <c r="ED125" s="22">
        <f t="shared" si="72"/>
        <v>100.54805711266381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159.78276497127206</v>
      </c>
      <c r="EP125" s="59">
        <f t="shared" si="100"/>
        <v>190.72163407919857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1.9614866655459906</v>
      </c>
      <c r="EW125" s="21">
        <f>EXP(-LN(2)/25)*EW124+(1-EXP(-LN(2)/25))/(LN(2)/25)*Calculateur!ER125*Calculateur!ET125*VLOOKUP('Données projet'!$B$15,Paramètres!$A$1:$I$89,3,0)*0.475*44/12</f>
        <v>6.080467215120902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8.0419538806668918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7.6799999999999971</v>
      </c>
      <c r="FE125" s="12">
        <f>IF('Données projet'!$A$218&gt;35,FE124+FD125-FM124,IF(A125&lt;'Données projet'!$A$218,$FB$205^A125,IF(A125='Données projet'!$A$218,'Données projet'!$B$218,FE124+FD125-FM124)))</f>
        <v>346.01000000000056</v>
      </c>
      <c r="FF125" s="17">
        <f>FE125*VLOOKUP('Données projet'!$B$16,Paramètres!$A$1:$I$89,3,0)*VLOOKUP('Données projet'!$B$16,Paramètres!$A$1:$I$89,5,0)</f>
        <v>296.87658000000056</v>
      </c>
      <c r="FG125" s="13">
        <f t="shared" si="101"/>
        <v>70.521276361034907</v>
      </c>
      <c r="FH125" s="20">
        <f t="shared" si="76"/>
        <v>639.8845998288034</v>
      </c>
      <c r="FI125" s="59">
        <f t="shared" si="77"/>
        <v>933.21793316213666</v>
      </c>
      <c r="FJ125" s="59">
        <f ca="1">AVERAGE(OFFSET($FI$3,0,0,'Données projet'!$E$16+1,1))-AVERAGE(OFFSET($H$3,0,0,'Données projet'!$E$16+1,1))</f>
        <v>337.15023592377008</v>
      </c>
      <c r="FK125" s="59">
        <f t="shared" si="102"/>
        <v>286.60608582587099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29.44744110321799</v>
      </c>
      <c r="FR125" s="21">
        <f>EXP(-LN(2)/25)*FR124+(1-EXP(-LN(2)/25))/(LN(2)/25)*Calculateur!FM125*Calculateur!FO125*VLOOKUP('Données projet'!$B$16,Paramètres!$A$1:$I$89,3,0)*0.475*44/12</f>
        <v>32.086774313930192</v>
      </c>
      <c r="FS125" s="21">
        <f>EXP(-LN(2)/2)*FS124+(1-EXP(-LN(2)/2))/(LN(2)/2)*FM125*FP125*VLOOKUP('Données projet'!$B$16,Paramètres!$A$1:$I$89,3,0)*0.475*44/12</f>
        <v>2.1545229068484368</v>
      </c>
      <c r="FT125" s="22">
        <f t="shared" si="78"/>
        <v>63.688738323996617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8.9160000000000021</v>
      </c>
      <c r="FZ125" s="12">
        <f>IF('Données projet'!$A$244&gt;35,FZ124+FY125-GH124,IF(A125&lt;'Données projet'!$A$244,$FW$205^A125,IF(A125='Données projet'!$A$244,'Données projet'!$B$244,FZ124+FY125-GH124)))</f>
        <v>434.0280000000007</v>
      </c>
      <c r="GA125" s="17">
        <f>FZ125*VLOOKUP('Données projet'!$B$17,Paramètres!$A$1:$I$89,3,0)*VLOOKUP('Données projet'!$B$17,Paramètres!$A$1:$I$89,5,0)</f>
        <v>392.70853440000059</v>
      </c>
      <c r="GB125" s="13">
        <f t="shared" si="103"/>
        <v>90.296853458070288</v>
      </c>
      <c r="GC125" s="20">
        <f t="shared" si="79"/>
        <v>841.23438385280679</v>
      </c>
      <c r="GD125" s="59">
        <f t="shared" si="80"/>
        <v>1134.56771718614</v>
      </c>
      <c r="GE125" s="59">
        <f ca="1">AVERAGE(OFFSET($GD$3,0,0,'Données projet'!$E$17+1,1))-AVERAGE(OFFSET($H$3,0,0,'Données projet'!$E$17+1,1))</f>
        <v>486.55344536255876</v>
      </c>
      <c r="GF125" s="59">
        <f t="shared" si="104"/>
        <v>231.14794884432229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31.11904619491759</v>
      </c>
      <c r="GM125" s="21">
        <f>EXP(-LN(2)/25)*GM124+(1-EXP(-LN(2)/25))/(LN(2)/25)*Calculateur!GH125*Calculateur!GJ125*VLOOKUP('Données projet'!$B$17,Paramètres!$A$1:$I$89,3,0)*0.475*44/12</f>
        <v>20.652283476488776</v>
      </c>
      <c r="GN125" s="21">
        <f>EXP(-LN(2)/2)*GN124+(1-EXP(-LN(2)/2))/(LN(2)/2)*GH125*GK125*VLOOKUP('Données projet'!$B$17,Paramètres!$A$1:$I$89,3,0)*0.475*44/12</f>
        <v>0.34144482775250484</v>
      </c>
      <c r="GO125" s="21">
        <f t="shared" si="81"/>
        <v>52.112774499158867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456.59798187222225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252.08270526008477</v>
      </c>
      <c r="T126" s="59">
        <f t="shared" si="88"/>
        <v>239.77811108960179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109.48633492175846</v>
      </c>
      <c r="AA126" s="21">
        <f>EXP(-LN(2)/25)*AA125+(1-EXP(-LN(2)/25))/(LN(2)/25)*Calculateur!V126*Calculateur!X126*VLOOKUP('Données projet'!$B$9,Paramètres!$A$1:$I$89,3,0)*0.475*44/12</f>
        <v>28.875088467367295</v>
      </c>
      <c r="AB126" s="21">
        <f>EXP(-LN(2)/2)*AB125+(1-EXP(-LN(2)/2))/(LN(2)/2)*V126*Y126*VLOOKUP('Données projet'!$B$9,Paramètres!$A$1:$I$89,3,0)*0.475*44/12</f>
        <v>1.888160955883356E-2</v>
      </c>
      <c r="AC126" s="22">
        <f t="shared" si="57"/>
        <v>138.38030499868458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251.64326096359997</v>
      </c>
      <c r="AO126" s="59">
        <f t="shared" si="90"/>
        <v>256.72142151189894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39.879679243923235</v>
      </c>
      <c r="AV126" s="21">
        <f>EXP(-LN(2)/25)*AV125+(1-EXP(-LN(2)/25))/(LN(2)/25)*Calculateur!AQ126*Calculateur!AS126*VLOOKUP('Données projet'!$B$10,Paramètres!$A$1:$I$89,3,0)*0.475*44/12</f>
        <v>8.4452631682333976</v>
      </c>
      <c r="AW126" s="21">
        <f>EXP(-LN(2)/2)*AW125+(1-EXP(-LN(2)/2))/(LN(2)/2)*AQ126*AT126*VLOOKUP('Données projet'!$B$10,Paramètres!$A$1:$I$89,3,0)*0.475*44/12</f>
        <v>1.9743639431019639E-8</v>
      </c>
      <c r="AX126" s="21">
        <f t="shared" si="60"/>
        <v>48.324942431900269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199.29783428981898</v>
      </c>
      <c r="BJ126" s="59">
        <f t="shared" si="92"/>
        <v>237.32002274562547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1.6556458231848878</v>
      </c>
      <c r="BQ126" s="21">
        <f>EXP(-LN(2)/25)*BQ125+(1-EXP(-LN(2)/25))/(LN(2)/25)*Calculateur!BL126*Calculateur!BN126*VLOOKUP('Données projet'!$B$11,Paramètres!$A$1:$I$89,3,0)*0.475*44/12</f>
        <v>5.091886167093544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6.7475319902784321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409.53</v>
      </c>
      <c r="BW126" s="12">
        <f>VLOOKUP(A126,'Données projet'!$A$113:$I$133,9,0)</f>
        <v>8.7019999999999982</v>
      </c>
      <c r="BX126" s="12">
        <f t="array" ref="BX126">INDEX(BW:BW,MIN(IF(ISNUMBER(BW126:BW322),ROW(BW126:BW322),"")))</f>
        <v>8.7019999999999982</v>
      </c>
      <c r="BY126" s="12">
        <f>IF('Données projet'!$A$114&gt;35,BY125+BX126-CG125,IF(A126&lt;'Données projet'!$A$114,$BV$205^A126,IF(A126='Données projet'!$A$114,'Données projet'!$B$114,BY125+BX126-CG125)))</f>
        <v>409.53000000000026</v>
      </c>
      <c r="BZ126" s="13">
        <f>BY126*VLOOKUP('Données projet'!$B$12,Paramètres!$A$1:$I$89,3,0)*VLOOKUP('Données projet'!$B$12,Paramètres!$A$1:$I$89,5,0)</f>
        <v>344.98807200000027</v>
      </c>
      <c r="CA126" s="13">
        <f t="shared" si="93"/>
        <v>80.529638505166261</v>
      </c>
      <c r="CB126" s="20">
        <f t="shared" si="64"/>
        <v>741.11001246316494</v>
      </c>
      <c r="CC126" s="59">
        <f t="shared" si="65"/>
        <v>1034.4433457964983</v>
      </c>
      <c r="CD126" s="59">
        <f ca="1">AVERAGE(OFFSET($CC$3,0,0,'Données projet'!$E$12+1,1))-AVERAGE(OFFSET($H$3,0,0,'Données projet'!$E$12+1,1))</f>
        <v>295.59075210589327</v>
      </c>
      <c r="CE126" s="59">
        <f t="shared" si="94"/>
        <v>210.41181542059576</v>
      </c>
      <c r="CF126" s="15">
        <f>IF(ISNA(VLOOKUP(A126,'Données projet'!$A$113:$I$133,3,0)),0,VLOOKUP(A126,'Données projet'!$A$113:$I$133,3,0))</f>
        <v>11</v>
      </c>
      <c r="CG126" s="15">
        <f>IF(ISNA(VLOOKUP(A126,'Données projet'!$A$113:$I$133,4,0)),0,VLOOKUP(A126,'Données projet'!$A$113:$I$133,4,0))</f>
        <v>203.78999999999996</v>
      </c>
      <c r="CH126" s="16">
        <f>IF(ISNA(VLOOKUP(A126,'Données projet'!$A$113:$I$133,5,0)),0%,VLOOKUP(A126,'Données projet'!$A$113:$I$133,5,0)*VLOOKUP('Données projet'!$B$12,Paramètres!$A$1:$I$89,7,0))</f>
        <v>0.19350000000000001</v>
      </c>
      <c r="CI126" s="16">
        <f>IF(ISNA(VLOOKUP(A126,'Données projet'!$A$113:$I$133,6,0)),0%,VLOOKUP(A126,'Données projet'!$A$113:$I$133,6,0)*VLOOKUP('Données projet'!$B$12,Paramètres!$A$1:$I$89,7,0))</f>
        <v>2.1500000000000002E-2</v>
      </c>
      <c r="CJ126" s="16">
        <f>IF(ISNA(VLOOKUP(A126,'Données projet'!$A$113:$I$133,7,0)),0%,VLOOKUP(A126,'Données projet'!$A$113:$I$133,7,0))</f>
        <v>0.05</v>
      </c>
      <c r="CK126" s="21">
        <f>EXP(-LN(2)/35)*CK125+(1-EXP(-LN(2)/35))/(LN(2)/35)*CG126*CH126*VLOOKUP('Données projet'!$B$12,Paramètres!$A$1:$I$89,3,0)*0.475*44/12</f>
        <v>75.259048872103918</v>
      </c>
      <c r="CL126" s="21">
        <f>EXP(-LN(2)/25)*CL125+(1-EXP(-LN(2)/25))/(LN(2)/25)*Calculateur!CG126*Calculateur!CI126*VLOOKUP('Données projet'!$B$12,Paramètres!$A$1:$I$89,3,0)*0.475*44/12</f>
        <v>21.367590488959582</v>
      </c>
      <c r="CM126" s="21">
        <f>EXP(-LN(2)/2)*CM125+(1-EXP(-LN(2)/2))/(LN(2)/2)*CG126*CJ126*VLOOKUP('Données projet'!$B$12,Paramètres!$A$1:$I$89,3,0)*0.475*44/12</f>
        <v>8.098894467095068</v>
      </c>
      <c r="CN126" s="22">
        <f t="shared" si="66"/>
        <v>104.72553382815856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5.1727511163335289E-14</v>
      </c>
      <c r="CV126" s="13">
        <f t="shared" si="95"/>
        <v>8.3906664221915895E-13</v>
      </c>
      <c r="CW126" s="20">
        <f t="shared" si="67"/>
        <v>1.551466483807844E-12</v>
      </c>
      <c r="CX126" s="59">
        <f t="shared" si="68"/>
        <v>293.33333333333485</v>
      </c>
      <c r="CY126" s="59">
        <f ca="1">AVERAGE(OFFSET($CX$3,0,0,'Données projet'!$E$13+1,1))-AVERAGE(OFFSET($H$3,0,0,'Données projet'!$E$13+1,1))</f>
        <v>338.22448697444298</v>
      </c>
      <c r="CZ126" s="59">
        <f t="shared" si="96"/>
        <v>293.3872365640849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90.772287543626319</v>
      </c>
      <c r="DG126" s="21">
        <f>EXP(-LN(2)/25)*DG125+(1-EXP(-LN(2)/25))/(LN(2)/25)*Calculateur!DB126*Calculateur!DD126*VLOOKUP('Données projet'!$B$13,Paramètres!$A$1:$I$89,3,0)*0.475*44/12</f>
        <v>22.465795198615545</v>
      </c>
      <c r="DH126" s="21">
        <f>EXP(-LN(2)/2)*DH125+(1-EXP(-LN(2)/2))/(LN(2)/2)*DB126*DE126*VLOOKUP('Données projet'!$B$13,Paramètres!$A$1:$I$89,3,0)*0.475*44/12</f>
        <v>2.7282757710667614E-5</v>
      </c>
      <c r="DI126" s="22">
        <f t="shared" si="69"/>
        <v>113.23811002499957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5.6843418860808015E-13</v>
      </c>
      <c r="DP126" s="17">
        <f>DO126*VLOOKUP('Données projet'!$B$14,Paramètres!$A$1:$I$89,3,0)*VLOOKUP('Données projet'!$B$14,Paramètres!$A$1:$I$89,5,0)</f>
        <v>3.177547114319168E-13</v>
      </c>
      <c r="DQ126" s="13">
        <f t="shared" si="97"/>
        <v>4.1725404435445377E-12</v>
      </c>
      <c r="DR126" s="20">
        <f t="shared" si="70"/>
        <v>7.820597394917325E-12</v>
      </c>
      <c r="DS126" s="59">
        <f t="shared" si="71"/>
        <v>293.33333333334116</v>
      </c>
      <c r="DT126" s="59">
        <f ca="1">AVERAGE(OFFSET($DS$3,0,0,'Données projet'!$E$14+1,1))-AVERAGE(OFFSET($H$3,0,0,'Données projet'!$E$14+1,1))</f>
        <v>328.15217666639006</v>
      </c>
      <c r="DU126" s="59">
        <f t="shared" si="98"/>
        <v>305.59175773326308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80.778144737575516</v>
      </c>
      <c r="EB126" s="21">
        <f>EXP(-LN(2)/25)*EB125+(1-EXP(-LN(2)/25))/(LN(2)/25)*Calculateur!DW126*Calculateur!DY126*VLOOKUP('Données projet'!$B$14,Paramètres!$A$1:$I$89,3,0)*0.475*44/12</f>
        <v>17.657790293711646</v>
      </c>
      <c r="EC126" s="21">
        <f>EXP(-LN(2)/2)*EC125+(1-EXP(-LN(2)/2))/(LN(2)/2)*DW126*DZ126*VLOOKUP('Données projet'!$B$14,Paramètres!$A$1:$I$89,3,0)*0.475*44/12</f>
        <v>7.9557997384237886E-7</v>
      </c>
      <c r="ED126" s="22">
        <f t="shared" si="72"/>
        <v>98.435935826867137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159.78276497127206</v>
      </c>
      <c r="EP126" s="59">
        <f t="shared" si="100"/>
        <v>190.72163407919857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1.9230231084233662</v>
      </c>
      <c r="EW126" s="21">
        <f>EXP(-LN(2)/25)*EW125+(1-EXP(-LN(2)/25))/(LN(2)/25)*Calculateur!ER126*Calculateur!ET126*VLOOKUP('Données projet'!$B$15,Paramètres!$A$1:$I$89,3,0)*0.475*44/12</f>
        <v>5.9141965193655475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7.8372196277889135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7.6799999999999971</v>
      </c>
      <c r="FE126" s="12">
        <f>IF('Données projet'!$A$218&gt;35,FE125+FD126-FM125,IF(A126&lt;'Données projet'!$A$218,$FB$205^A126,IF(A126='Données projet'!$A$218,'Données projet'!$B$218,FE125+FD126-FM125)))</f>
        <v>353.69000000000057</v>
      </c>
      <c r="FF126" s="17">
        <f>FE126*VLOOKUP('Données projet'!$B$16,Paramètres!$A$1:$I$89,3,0)*VLOOKUP('Données projet'!$B$16,Paramètres!$A$1:$I$89,5,0)</f>
        <v>303.46602000000053</v>
      </c>
      <c r="FG126" s="13">
        <f t="shared" si="101"/>
        <v>71.902587907924442</v>
      </c>
      <c r="FH126" s="20">
        <f t="shared" si="76"/>
        <v>653.76699210630261</v>
      </c>
      <c r="FI126" s="59">
        <f t="shared" si="77"/>
        <v>947.10032543963598</v>
      </c>
      <c r="FJ126" s="59">
        <f ca="1">AVERAGE(OFFSET($FI$3,0,0,'Données projet'!$E$16+1,1))-AVERAGE(OFFSET($H$3,0,0,'Données projet'!$E$16+1,1))</f>
        <v>337.15023592377008</v>
      </c>
      <c r="FK126" s="59">
        <f t="shared" si="102"/>
        <v>286.60608582587099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28.869994744349441</v>
      </c>
      <c r="FR126" s="21">
        <f>EXP(-LN(2)/25)*FR125+(1-EXP(-LN(2)/25))/(LN(2)/25)*Calculateur!FM126*Calculateur!FO126*VLOOKUP('Données projet'!$B$16,Paramètres!$A$1:$I$89,3,0)*0.475*44/12</f>
        <v>31.209359782945644</v>
      </c>
      <c r="FS126" s="21">
        <f>EXP(-LN(2)/2)*FS125+(1-EXP(-LN(2)/2))/(LN(2)/2)*FM126*FP126*VLOOKUP('Données projet'!$B$16,Paramètres!$A$1:$I$89,3,0)*0.475*44/12</f>
        <v>1.5234777576542819</v>
      </c>
      <c r="FT126" s="22">
        <f t="shared" si="78"/>
        <v>61.602832284949365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8.9160000000000021</v>
      </c>
      <c r="FZ126" s="12">
        <f>IF('Données projet'!$A$244&gt;35,FZ125+FY126-GH125,IF(A126&lt;'Données projet'!$A$244,$FW$205^A126,IF(A126='Données projet'!$A$244,'Données projet'!$B$244,FZ125+FY126-GH125)))</f>
        <v>442.9440000000007</v>
      </c>
      <c r="GA126" s="17">
        <f>FZ126*VLOOKUP('Données projet'!$B$17,Paramètres!$A$1:$I$89,3,0)*VLOOKUP('Données projet'!$B$17,Paramètres!$A$1:$I$89,5,0)</f>
        <v>400.77573120000062</v>
      </c>
      <c r="GB126" s="13">
        <f t="shared" si="103"/>
        <v>91.933915079444887</v>
      </c>
      <c r="GC126" s="20">
        <f t="shared" si="79"/>
        <v>858.13596727003414</v>
      </c>
      <c r="GD126" s="59">
        <f t="shared" si="80"/>
        <v>1151.4693006033674</v>
      </c>
      <c r="GE126" s="59">
        <f ca="1">AVERAGE(OFFSET($GD$3,0,0,'Données projet'!$E$17+1,1))-AVERAGE(OFFSET($H$3,0,0,'Données projet'!$E$17+1,1))</f>
        <v>486.55344536255876</v>
      </c>
      <c r="GF126" s="59">
        <f t="shared" si="104"/>
        <v>231.14794884432229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30.508820679779241</v>
      </c>
      <c r="GM126" s="21">
        <f>EXP(-LN(2)/25)*GM125+(1-EXP(-LN(2)/25))/(LN(2)/25)*Calculateur!GH126*Calculateur!GJ126*VLOOKUP('Données projet'!$B$17,Paramètres!$A$1:$I$89,3,0)*0.475*44/12</f>
        <v>20.087545698767805</v>
      </c>
      <c r="GN126" s="21">
        <f>EXP(-LN(2)/2)*GN125+(1-EXP(-LN(2)/2))/(LN(2)/2)*GH126*GK126*VLOOKUP('Données projet'!$B$17,Paramètres!$A$1:$I$89,3,0)*0.475*44/12</f>
        <v>0.24143795310486887</v>
      </c>
      <c r="GO126" s="21">
        <f t="shared" si="81"/>
        <v>50.837804331651917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458.18273280871216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252.08270526008477</v>
      </c>
      <c r="T127" s="59">
        <f t="shared" si="88"/>
        <v>239.77811108960179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107.33937467401309</v>
      </c>
      <c r="AA127" s="21">
        <f>EXP(-LN(2)/25)*AA126+(1-EXP(-LN(2)/25))/(LN(2)/25)*Calculateur!V127*Calculateur!X127*VLOOKUP('Données projet'!$B$9,Paramètres!$A$1:$I$89,3,0)*0.475*44/12</f>
        <v>28.085497654752228</v>
      </c>
      <c r="AB127" s="21">
        <f>EXP(-LN(2)/2)*AB126+(1-EXP(-LN(2)/2))/(LN(2)/2)*V127*Y127*VLOOKUP('Données projet'!$B$9,Paramètres!$A$1:$I$89,3,0)*0.475*44/12</f>
        <v>1.3351314158767946E-2</v>
      </c>
      <c r="AC127" s="22">
        <f t="shared" si="57"/>
        <v>135.43822364292407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251.64326096359997</v>
      </c>
      <c r="AO127" s="59">
        <f t="shared" si="90"/>
        <v>256.72142151189894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39.09766305815242</v>
      </c>
      <c r="AV127" s="21">
        <f>EXP(-LN(2)/25)*AV126+(1-EXP(-LN(2)/25))/(LN(2)/25)*Calculateur!AQ127*Calculateur!AS127*VLOOKUP('Données projet'!$B$10,Paramètres!$A$1:$I$89,3,0)*0.475*44/12</f>
        <v>8.2143270027809674</v>
      </c>
      <c r="AW127" s="21">
        <f>EXP(-LN(2)/2)*AW126+(1-EXP(-LN(2)/2))/(LN(2)/2)*AQ127*AT127*VLOOKUP('Données projet'!$B$10,Paramètres!$A$1:$I$89,3,0)*0.475*44/12</f>
        <v>1.3960861326976096E-8</v>
      </c>
      <c r="AX127" s="21">
        <f t="shared" si="60"/>
        <v>47.311990074894254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199.29783428981898</v>
      </c>
      <c r="BJ127" s="59">
        <f t="shared" si="92"/>
        <v>237.32002274562547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1.6231796184364704</v>
      </c>
      <c r="BQ127" s="21">
        <f>EXP(-LN(2)/25)*BQ126+(1-EXP(-LN(2)/25))/(LN(2)/25)*Calculateur!BL127*Calculateur!BN127*VLOOKUP('Données projet'!$B$11,Paramètres!$A$1:$I$89,3,0)*0.475*44/12</f>
        <v>4.9526482720837155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6.5758278905201859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4.8499999999999943</v>
      </c>
      <c r="BY127" s="12">
        <f>IF('Données projet'!$A$114&gt;35,BY126+BX127-CG126,IF(A127&lt;'Données projet'!$A$114,$BV$205^A127,IF(A127='Données projet'!$A$114,'Données projet'!$B$114,BY126+BX127-CG126)))</f>
        <v>210.59000000000026</v>
      </c>
      <c r="BZ127" s="13">
        <f>BY127*VLOOKUP('Données projet'!$B$12,Paramètres!$A$1:$I$89,3,0)*VLOOKUP('Données projet'!$B$12,Paramètres!$A$1:$I$89,5,0)</f>
        <v>177.40101600000025</v>
      </c>
      <c r="CA127" s="13">
        <f t="shared" si="93"/>
        <v>44.743471573608623</v>
      </c>
      <c r="CB127" s="20">
        <f t="shared" si="64"/>
        <v>386.90164919070207</v>
      </c>
      <c r="CC127" s="59">
        <f t="shared" si="65"/>
        <v>680.23498252403533</v>
      </c>
      <c r="CD127" s="59">
        <f ca="1">AVERAGE(OFFSET($CC$3,0,0,'Données projet'!$E$12+1,1))-AVERAGE(OFFSET($H$3,0,0,'Données projet'!$E$12+1,1))</f>
        <v>295.59075210589327</v>
      </c>
      <c r="CE127" s="59">
        <f t="shared" si="94"/>
        <v>210.41181542059576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73.78326482720918</v>
      </c>
      <c r="CL127" s="21">
        <f>EXP(-LN(2)/25)*CL126+(1-EXP(-LN(2)/25))/(LN(2)/25)*Calculateur!CG127*Calculateur!CI127*VLOOKUP('Données projet'!$B$12,Paramètres!$A$1:$I$89,3,0)*0.475*44/12</f>
        <v>20.783292603366235</v>
      </c>
      <c r="CM127" s="21">
        <f>EXP(-LN(2)/2)*CM126+(1-EXP(-LN(2)/2))/(LN(2)/2)*CG127*CJ127*VLOOKUP('Données projet'!$B$12,Paramètres!$A$1:$I$89,3,0)*0.475*44/12</f>
        <v>5.7267831977971326</v>
      </c>
      <c r="CN127" s="22">
        <f t="shared" si="66"/>
        <v>100.29334062837255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5.1727511163335289E-14</v>
      </c>
      <c r="CV127" s="13">
        <f t="shared" si="95"/>
        <v>8.3906664221915895E-13</v>
      </c>
      <c r="CW127" s="20">
        <f t="shared" si="67"/>
        <v>1.551466483807844E-12</v>
      </c>
      <c r="CX127" s="59">
        <f t="shared" si="68"/>
        <v>293.33333333333485</v>
      </c>
      <c r="CY127" s="59">
        <f ca="1">AVERAGE(OFFSET($CX$3,0,0,'Données projet'!$E$13+1,1))-AVERAGE(OFFSET($H$3,0,0,'Données projet'!$E$13+1,1))</f>
        <v>338.22448697444298</v>
      </c>
      <c r="CZ127" s="59">
        <f t="shared" si="96"/>
        <v>293.3872365640849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88.992298350524308</v>
      </c>
      <c r="DG127" s="21">
        <f>EXP(-LN(2)/25)*DG126+(1-EXP(-LN(2)/25))/(LN(2)/25)*Calculateur!DB127*Calculateur!DD127*VLOOKUP('Données projet'!$B$13,Paramètres!$A$1:$I$89,3,0)*0.475*44/12</f>
        <v>21.851466847484581</v>
      </c>
      <c r="DH127" s="21">
        <f>EXP(-LN(2)/2)*DH126+(1-EXP(-LN(2)/2))/(LN(2)/2)*DB127*DE127*VLOOKUP('Données projet'!$B$13,Paramètres!$A$1:$I$89,3,0)*0.475*44/12</f>
        <v>1.9291822986682636E-5</v>
      </c>
      <c r="DI127" s="22">
        <f t="shared" si="69"/>
        <v>110.84378448983188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5.6843418860808015E-13</v>
      </c>
      <c r="DP127" s="17">
        <f>DO127*VLOOKUP('Données projet'!$B$14,Paramètres!$A$1:$I$89,3,0)*VLOOKUP('Données projet'!$B$14,Paramètres!$A$1:$I$89,5,0)</f>
        <v>3.177547114319168E-13</v>
      </c>
      <c r="DQ127" s="13">
        <f t="shared" si="97"/>
        <v>4.1725404435445377E-12</v>
      </c>
      <c r="DR127" s="20">
        <f t="shared" si="70"/>
        <v>7.820597394917325E-12</v>
      </c>
      <c r="DS127" s="59">
        <f t="shared" si="71"/>
        <v>293.33333333334116</v>
      </c>
      <c r="DT127" s="59">
        <f ca="1">AVERAGE(OFFSET($DS$3,0,0,'Données projet'!$E$14+1,1))-AVERAGE(OFFSET($H$3,0,0,'Données projet'!$E$14+1,1))</f>
        <v>328.15217666639006</v>
      </c>
      <c r="DU127" s="59">
        <f t="shared" si="98"/>
        <v>305.59175773326308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79.194134589074963</v>
      </c>
      <c r="EB127" s="21">
        <f>EXP(-LN(2)/25)*EB126+(1-EXP(-LN(2)/25))/(LN(2)/25)*Calculateur!DW127*Calculateur!DY127*VLOOKUP('Données projet'!$B$14,Paramètres!$A$1:$I$89,3,0)*0.475*44/12</f>
        <v>17.174937089547267</v>
      </c>
      <c r="EC127" s="21">
        <f>EXP(-LN(2)/2)*EC126+(1-EXP(-LN(2)/2))/(LN(2)/2)*DW127*DZ127*VLOOKUP('Données projet'!$B$14,Paramètres!$A$1:$I$89,3,0)*0.475*44/12</f>
        <v>5.6255999448016218E-7</v>
      </c>
      <c r="ED127" s="22">
        <f t="shared" si="72"/>
        <v>96.369072241182224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159.78276497127206</v>
      </c>
      <c r="EP127" s="59">
        <f t="shared" si="100"/>
        <v>190.72163407919857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1.8853137981954631</v>
      </c>
      <c r="EW127" s="21">
        <f>EXP(-LN(2)/25)*EW126+(1-EXP(-LN(2)/25))/(LN(2)/25)*Calculateur!ER127*Calculateur!ET127*VLOOKUP('Données projet'!$B$15,Paramètres!$A$1:$I$89,3,0)*0.475*44/12</f>
        <v>5.7524725045294183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7.6377863027248818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7.6799999999999971</v>
      </c>
      <c r="FE127" s="12">
        <f>IF('Données projet'!$A$218&gt;35,FE126+FD127-FM126,IF(A127&lt;'Données projet'!$A$218,$FB$205^A127,IF(A127='Données projet'!$A$218,'Données projet'!$B$218,FE126+FD127-FM126)))</f>
        <v>361.37000000000057</v>
      </c>
      <c r="FF127" s="17">
        <f>FE127*VLOOKUP('Données projet'!$B$16,Paramètres!$A$1:$I$89,3,0)*VLOOKUP('Données projet'!$B$16,Paramètres!$A$1:$I$89,5,0)</f>
        <v>310.05546000000055</v>
      </c>
      <c r="FG127" s="13">
        <f t="shared" si="101"/>
        <v>73.28041230656136</v>
      </c>
      <c r="FH127" s="20">
        <f t="shared" si="76"/>
        <v>667.64331093392855</v>
      </c>
      <c r="FI127" s="59">
        <f t="shared" si="77"/>
        <v>960.97664426726192</v>
      </c>
      <c r="FJ127" s="59">
        <f ca="1">AVERAGE(OFFSET($FI$3,0,0,'Données projet'!$E$16+1,1))-AVERAGE(OFFSET($H$3,0,0,'Données projet'!$E$16+1,1))</f>
        <v>337.15023592377008</v>
      </c>
      <c r="FK127" s="59">
        <f t="shared" si="102"/>
        <v>286.60608582587099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28.303871756370803</v>
      </c>
      <c r="FR127" s="21">
        <f>EXP(-LN(2)/25)*FR126+(1-EXP(-LN(2)/25))/(LN(2)/25)*Calculateur!FM127*Calculateur!FO127*VLOOKUP('Données projet'!$B$16,Paramètres!$A$1:$I$89,3,0)*0.475*44/12</f>
        <v>30.355938198452094</v>
      </c>
      <c r="FS127" s="21">
        <f>EXP(-LN(2)/2)*FS126+(1-EXP(-LN(2)/2))/(LN(2)/2)*FM127*FP127*VLOOKUP('Données projet'!$B$16,Paramètres!$A$1:$I$89,3,0)*0.475*44/12</f>
        <v>1.0772614534242184</v>
      </c>
      <c r="FT127" s="22">
        <f t="shared" si="78"/>
        <v>59.737071408247118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>
        <f>VLOOKUP(A127,'Données projet'!$A$243:$I$263,2,0)</f>
        <v>451.86</v>
      </c>
      <c r="FX127" s="12">
        <f>VLOOKUP(A127,'Données projet'!$A$243:$I$263,9,0)</f>
        <v>8.9160000000000021</v>
      </c>
      <c r="FY127" s="12">
        <f t="array" ref="FY127">INDEX(FX:FX,MIN(IF(ISNUMBER(FX127:FX323),ROW(FX127:FX323),"")))</f>
        <v>8.9160000000000021</v>
      </c>
      <c r="FZ127" s="12">
        <f>IF('Données projet'!$A$244&gt;35,FZ126+FY127-GH126,IF(A127&lt;'Données projet'!$A$244,$FW$205^A127,IF(A127='Données projet'!$A$244,'Données projet'!$B$244,FZ126+FY127-GH126)))</f>
        <v>451.8600000000007</v>
      </c>
      <c r="GA127" s="17">
        <f>FZ127*VLOOKUP('Données projet'!$B$17,Paramètres!$A$1:$I$89,3,0)*VLOOKUP('Données projet'!$B$17,Paramètres!$A$1:$I$89,5,0)</f>
        <v>408.84292800000065</v>
      </c>
      <c r="GB127" s="13">
        <f t="shared" si="103"/>
        <v>93.567145264891295</v>
      </c>
      <c r="GC127" s="20">
        <f t="shared" si="79"/>
        <v>875.03087760302014</v>
      </c>
      <c r="GD127" s="59">
        <f t="shared" si="80"/>
        <v>1168.3642109363534</v>
      </c>
      <c r="GE127" s="59">
        <f ca="1">AVERAGE(OFFSET($GD$3,0,0,'Données projet'!$E$17+1,1))-AVERAGE(OFFSET($H$3,0,0,'Données projet'!$E$17+1,1))</f>
        <v>486.55344536255876</v>
      </c>
      <c r="GF127" s="59">
        <f t="shared" si="104"/>
        <v>231.14794884432229</v>
      </c>
      <c r="GG127" s="15">
        <f>IF(ISNA(VLOOKUP(A127,'Données projet'!$A$243:$I$263,3,0)),0,VLOOKUP(A127,'Données projet'!$A$243:$I$263,3,0))</f>
        <v>10</v>
      </c>
      <c r="GH127" s="15">
        <f>IF(ISNA(VLOOKUP(A127,'Données projet'!$A$243:$I$263,4,0)),0,VLOOKUP(A127,'Données projet'!$A$243:$I$263,4,0))</f>
        <v>57.81</v>
      </c>
      <c r="GI127" s="16">
        <f>IF(ISNA(VLOOKUP(A127,'Données projet'!$A$243:$I$263,5,0)),0%,VLOOKUP(A127,'Données projet'!$A$243:$I$263,5,0)*VLOOKUP('Données projet'!$B$17,Paramètres!$A$1:$I$89,7,0))</f>
        <v>0.15049999999999999</v>
      </c>
      <c r="GJ127" s="16">
        <f>IF(ISNA(VLOOKUP(A127,'Données projet'!$A$243:$I$263,6,0)),0%,VLOOKUP(A127,'Données projet'!$A$243:$I$263,6,0)*VLOOKUP('Données projet'!$B$17,Paramètres!$A$1:$I$89,7,0))</f>
        <v>8.6000000000000007E-2</v>
      </c>
      <c r="GK127" s="16">
        <f>IF(ISNA(VLOOKUP(A127,'Données projet'!$A$243:$I$263,7,0)),0%,VLOOKUP(A127,'Données projet'!$A$243:$I$263,7,0))</f>
        <v>0.1</v>
      </c>
      <c r="GL127" s="21">
        <f>EXP(-LN(2)/35)*GL126+(1-EXP(-LN(2)/35))/(LN(2)/35)*GH127*GI127*VLOOKUP('Données projet'!$B$17,Paramètres!$A$1:$I$89,3,0)*0.475*44/12</f>
        <v>38.612963922572</v>
      </c>
      <c r="GM127" s="21">
        <f>EXP(-LN(2)/25)*GM126+(1-EXP(-LN(2)/25))/(LN(2)/25)*Calculateur!GH127*Calculateur!GJ127*VLOOKUP('Données projet'!$B$17,Paramètres!$A$1:$I$89,3,0)*0.475*44/12</f>
        <v>24.491472381184234</v>
      </c>
      <c r="GN127" s="21">
        <f>EXP(-LN(2)/2)*GN126+(1-EXP(-LN(2)/2))/(LN(2)/2)*GH127*GK127*VLOOKUP('Données projet'!$B$17,Paramètres!$A$1:$I$89,3,0)*0.475*44/12</f>
        <v>5.1059803375246293</v>
      </c>
      <c r="GO127" s="21">
        <f t="shared" si="81"/>
        <v>68.210416641280858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459.7671949792753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252.08270526008477</v>
      </c>
      <c r="T128" s="59">
        <f t="shared" si="88"/>
        <v>239.77811108960179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105.23451500720957</v>
      </c>
      <c r="AA128" s="21">
        <f>EXP(-LN(2)/25)*AA127+(1-EXP(-LN(2)/25))/(LN(2)/25)*Calculateur!V128*Calculateur!X128*VLOOKUP('Données projet'!$B$9,Paramètres!$A$1:$I$89,3,0)*0.475*44/12</f>
        <v>27.317498244430897</v>
      </c>
      <c r="AB128" s="21">
        <f>EXP(-LN(2)/2)*AB127+(1-EXP(-LN(2)/2))/(LN(2)/2)*V128*Y128*VLOOKUP('Données projet'!$B$9,Paramètres!$A$1:$I$89,3,0)*0.475*44/12</f>
        <v>9.4408047794167799E-3</v>
      </c>
      <c r="AC128" s="22">
        <f t="shared" si="57"/>
        <v>132.56145405641988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251.64326096359997</v>
      </c>
      <c r="AO128" s="59">
        <f t="shared" si="90"/>
        <v>256.72142151189894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38.330981732801803</v>
      </c>
      <c r="AV128" s="21">
        <f>EXP(-LN(2)/25)*AV127+(1-EXP(-LN(2)/25))/(LN(2)/25)*Calculateur!AQ128*Calculateur!AS128*VLOOKUP('Données projet'!$B$10,Paramètres!$A$1:$I$89,3,0)*0.475*44/12</f>
        <v>7.9897057989172389</v>
      </c>
      <c r="AW128" s="21">
        <f>EXP(-LN(2)/2)*AW127+(1-EXP(-LN(2)/2))/(LN(2)/2)*AQ128*AT128*VLOOKUP('Données projet'!$B$10,Paramètres!$A$1:$I$89,3,0)*0.475*44/12</f>
        <v>9.8718197155098195E-9</v>
      </c>
      <c r="AX128" s="21">
        <f t="shared" si="60"/>
        <v>46.320687541590864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199.29783428981898</v>
      </c>
      <c r="BJ128" s="59">
        <f t="shared" si="92"/>
        <v>237.32002274562547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1.5913500561607399</v>
      </c>
      <c r="BQ128" s="21">
        <f>EXP(-LN(2)/25)*BQ127+(1-EXP(-LN(2)/25))/(LN(2)/25)*Calculateur!BL128*Calculateur!BN128*VLOOKUP('Données projet'!$B$11,Paramètres!$A$1:$I$89,3,0)*0.475*44/12</f>
        <v>4.8172178446351328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6.4085679007958731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215.44</v>
      </c>
      <c r="BW128" s="12">
        <f>VLOOKUP(A128,'Données projet'!$A$113:$I$133,9,0)</f>
        <v>4.8499999999999943</v>
      </c>
      <c r="BX128" s="12">
        <f t="array" ref="BX128">INDEX(BW:BW,MIN(IF(ISNUMBER(BW128:BW324),ROW(BW128:BW324),"")))</f>
        <v>4.8499999999999943</v>
      </c>
      <c r="BY128" s="12">
        <f>IF('Données projet'!$A$114&gt;35,BY127+BX128-CG127,IF(A128&lt;'Données projet'!$A$114,$BV$205^A128,IF(A128='Données projet'!$A$114,'Données projet'!$B$114,BY127+BX128-CG127)))</f>
        <v>215.44000000000025</v>
      </c>
      <c r="BZ128" s="13">
        <f>BY128*VLOOKUP('Données projet'!$B$12,Paramètres!$A$1:$I$89,3,0)*VLOOKUP('Données projet'!$B$12,Paramètres!$A$1:$I$89,5,0)</f>
        <v>181.48665600000024</v>
      </c>
      <c r="CA128" s="13">
        <f t="shared" si="93"/>
        <v>45.652781234657382</v>
      </c>
      <c r="CB128" s="20">
        <f t="shared" si="64"/>
        <v>395.60118651702874</v>
      </c>
      <c r="CC128" s="59">
        <f t="shared" si="65"/>
        <v>688.93451985036199</v>
      </c>
      <c r="CD128" s="59">
        <f ca="1">AVERAGE(OFFSET($CC$3,0,0,'Données projet'!$E$12+1,1))-AVERAGE(OFFSET($H$3,0,0,'Données projet'!$E$12+1,1))</f>
        <v>295.59075210589327</v>
      </c>
      <c r="CE128" s="59">
        <f t="shared" si="94"/>
        <v>210.41181542059576</v>
      </c>
      <c r="CF128" s="15">
        <f>IF(ISNA(VLOOKUP(A128,'Données projet'!$A$113:$I$133,3,0)),0,VLOOKUP(A128,'Données projet'!$A$113:$I$133,3,0))</f>
        <v>12</v>
      </c>
      <c r="CG128" s="15">
        <f>IF(ISNA(VLOOKUP(A128,'Données projet'!$A$113:$I$133,4,0)),0,VLOOKUP(A128,'Données projet'!$A$113:$I$133,4,0))</f>
        <v>70.609999999999985</v>
      </c>
      <c r="CH128" s="16">
        <f>IF(ISNA(VLOOKUP(A128,'Données projet'!$A$113:$I$133,5,0)),0%,VLOOKUP(A128,'Données projet'!$A$113:$I$133,5,0)*VLOOKUP('Données projet'!$B$12,Paramètres!$A$1:$I$89,7,0))</f>
        <v>0.19350000000000001</v>
      </c>
      <c r="CI128" s="16">
        <f>IF(ISNA(VLOOKUP(A128,'Données projet'!$A$113:$I$133,6,0)),0%,VLOOKUP(A128,'Données projet'!$A$113:$I$133,6,0)*VLOOKUP('Données projet'!$B$12,Paramètres!$A$1:$I$89,7,0))</f>
        <v>2.1500000000000002E-2</v>
      </c>
      <c r="CJ128" s="16">
        <f>IF(ISNA(VLOOKUP(A128,'Données projet'!$A$113:$I$133,7,0)),0%,VLOOKUP(A128,'Données projet'!$A$113:$I$133,7,0))</f>
        <v>0.05</v>
      </c>
      <c r="CK128" s="21">
        <f>EXP(-LN(2)/35)*CK127+(1-EXP(-LN(2)/35))/(LN(2)/35)*CG128*CH128*VLOOKUP('Données projet'!$B$12,Paramètres!$A$1:$I$89,3,0)*0.475*44/12</f>
        <v>85.060097409562758</v>
      </c>
      <c r="CL128" s="21">
        <f>EXP(-LN(2)/25)*CL127+(1-EXP(-LN(2)/25))/(LN(2)/25)*Calculateur!CG128*Calculateur!CI128*VLOOKUP('Données projet'!$B$12,Paramètres!$A$1:$I$89,3,0)*0.475*44/12</f>
        <v>21.623147867096154</v>
      </c>
      <c r="CM128" s="21">
        <f>EXP(-LN(2)/2)*CM127+(1-EXP(-LN(2)/2))/(LN(2)/2)*CG128*CJ128*VLOOKUP('Données projet'!$B$12,Paramètres!$A$1:$I$89,3,0)*0.475*44/12</f>
        <v>6.8555842142923993</v>
      </c>
      <c r="CN128" s="22">
        <f t="shared" si="66"/>
        <v>113.53882949095131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5.1727511163335289E-14</v>
      </c>
      <c r="CV128" s="13">
        <f t="shared" si="95"/>
        <v>8.3906664221915895E-13</v>
      </c>
      <c r="CW128" s="20">
        <f t="shared" si="67"/>
        <v>1.551466483807844E-12</v>
      </c>
      <c r="CX128" s="59">
        <f t="shared" si="68"/>
        <v>293.33333333333485</v>
      </c>
      <c r="CY128" s="59">
        <f ca="1">AVERAGE(OFFSET($CX$3,0,0,'Données projet'!$E$13+1,1))-AVERAGE(OFFSET($H$3,0,0,'Données projet'!$E$13+1,1))</f>
        <v>338.22448697444298</v>
      </c>
      <c r="CZ128" s="59">
        <f t="shared" si="96"/>
        <v>293.3872365640849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87.247213659812815</v>
      </c>
      <c r="DG128" s="21">
        <f>EXP(-LN(2)/25)*DG127+(1-EXP(-LN(2)/25))/(LN(2)/25)*Calculateur!DB128*Calculateur!DD128*VLOOKUP('Données projet'!$B$13,Paramètres!$A$1:$I$89,3,0)*0.475*44/12</f>
        <v>21.253937337421416</v>
      </c>
      <c r="DH128" s="21">
        <f>EXP(-LN(2)/2)*DH127+(1-EXP(-LN(2)/2))/(LN(2)/2)*DB128*DE128*VLOOKUP('Données projet'!$B$13,Paramètres!$A$1:$I$89,3,0)*0.475*44/12</f>
        <v>1.3641378855333807E-5</v>
      </c>
      <c r="DI128" s="22">
        <f t="shared" si="69"/>
        <v>108.50116463861309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5.6843418860808015E-13</v>
      </c>
      <c r="DP128" s="17">
        <f>DO128*VLOOKUP('Données projet'!$B$14,Paramètres!$A$1:$I$89,3,0)*VLOOKUP('Données projet'!$B$14,Paramètres!$A$1:$I$89,5,0)</f>
        <v>3.177547114319168E-13</v>
      </c>
      <c r="DQ128" s="13">
        <f t="shared" si="97"/>
        <v>4.1725404435445377E-12</v>
      </c>
      <c r="DR128" s="20">
        <f t="shared" si="70"/>
        <v>7.820597394917325E-12</v>
      </c>
      <c r="DS128" s="59">
        <f t="shared" si="71"/>
        <v>293.33333333334116</v>
      </c>
      <c r="DT128" s="59">
        <f ca="1">AVERAGE(OFFSET($DS$3,0,0,'Données projet'!$E$14+1,1))-AVERAGE(OFFSET($H$3,0,0,'Données projet'!$E$14+1,1))</f>
        <v>328.15217666639006</v>
      </c>
      <c r="DU128" s="59">
        <f t="shared" si="98"/>
        <v>305.59175773326308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77.641185913435706</v>
      </c>
      <c r="EB128" s="21">
        <f>EXP(-LN(2)/25)*EB127+(1-EXP(-LN(2)/25))/(LN(2)/25)*Calculateur!DW128*Calculateur!DY128*VLOOKUP('Données projet'!$B$14,Paramètres!$A$1:$I$89,3,0)*0.475*44/12</f>
        <v>16.705287531642909</v>
      </c>
      <c r="EC128" s="21">
        <f>EXP(-LN(2)/2)*EC127+(1-EXP(-LN(2)/2))/(LN(2)/2)*DW128*DZ128*VLOOKUP('Données projet'!$B$14,Paramètres!$A$1:$I$89,3,0)*0.475*44/12</f>
        <v>3.9778998692118943E-7</v>
      </c>
      <c r="ED128" s="22">
        <f t="shared" si="72"/>
        <v>94.346473842868605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159.78276497127206</v>
      </c>
      <c r="EP128" s="59">
        <f t="shared" si="100"/>
        <v>190.72163407919857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1.848343944540721</v>
      </c>
      <c r="EW128" s="21">
        <f>EXP(-LN(2)/25)*EW127+(1-EXP(-LN(2)/25))/(LN(2)/25)*Calculateur!ER128*Calculateur!ET128*VLOOKUP('Données projet'!$B$15,Paramètres!$A$1:$I$89,3,0)*0.475*44/12</f>
        <v>5.5951708413836796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7.4435147859244006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7.6799999999999971</v>
      </c>
      <c r="FE128" s="12">
        <f>IF('Données projet'!$A$218&gt;35,FE127+FD128-FM127,IF(A128&lt;'Données projet'!$A$218,$FB$205^A128,IF(A128='Données projet'!$A$218,'Données projet'!$B$218,FE127+FD128-FM127)))</f>
        <v>369.05000000000058</v>
      </c>
      <c r="FF128" s="17">
        <f>FE128*VLOOKUP('Données projet'!$B$16,Paramètres!$A$1:$I$89,3,0)*VLOOKUP('Données projet'!$B$16,Paramètres!$A$1:$I$89,5,0)</f>
        <v>316.64490000000052</v>
      </c>
      <c r="FG128" s="13">
        <f t="shared" si="101"/>
        <v>74.654832204179684</v>
      </c>
      <c r="FH128" s="20">
        <f t="shared" si="76"/>
        <v>681.5137002556138</v>
      </c>
      <c r="FI128" s="59">
        <f t="shared" si="77"/>
        <v>974.84703358894717</v>
      </c>
      <c r="FJ128" s="59">
        <f ca="1">AVERAGE(OFFSET($FI$3,0,0,'Données projet'!$E$16+1,1))-AVERAGE(OFFSET($H$3,0,0,'Données projet'!$E$16+1,1))</f>
        <v>337.15023592377008</v>
      </c>
      <c r="FK128" s="59">
        <f t="shared" si="102"/>
        <v>286.60608582587099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27.748850094885498</v>
      </c>
      <c r="FR128" s="21">
        <f>EXP(-LN(2)/25)*FR127+(1-EXP(-LN(2)/25))/(LN(2)/25)*Calculateur!FM128*Calculateur!FO128*VLOOKUP('Données projet'!$B$16,Paramètres!$A$1:$I$89,3,0)*0.475*44/12</f>
        <v>29.525853472066011</v>
      </c>
      <c r="FS128" s="21">
        <f>EXP(-LN(2)/2)*FS127+(1-EXP(-LN(2)/2))/(LN(2)/2)*FM128*FP128*VLOOKUP('Données projet'!$B$16,Paramètres!$A$1:$I$89,3,0)*0.475*44/12</f>
        <v>0.76173887882714097</v>
      </c>
      <c r="FT128" s="22">
        <f t="shared" si="78"/>
        <v>58.036442445778647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9.0229999999999961</v>
      </c>
      <c r="FZ128" s="12">
        <f>IF('Données projet'!$A$244&gt;35,FZ127+FY128-GH127,IF(A128&lt;'Données projet'!$A$244,$FW$205^A128,IF(A128='Données projet'!$A$244,'Données projet'!$B$244,FZ127+FY128-GH127)))</f>
        <v>403.07300000000072</v>
      </c>
      <c r="GA128" s="17">
        <f>FZ128*VLOOKUP('Données projet'!$B$17,Paramètres!$A$1:$I$89,3,0)*VLOOKUP('Données projet'!$B$17,Paramètres!$A$1:$I$89,5,0)</f>
        <v>364.70045040000065</v>
      </c>
      <c r="GB128" s="13">
        <f t="shared" si="103"/>
        <v>84.582200429685614</v>
      </c>
      <c r="GC128" s="20">
        <f t="shared" si="79"/>
        <v>782.50061686170341</v>
      </c>
      <c r="GD128" s="59">
        <f t="shared" si="80"/>
        <v>1075.8339501950368</v>
      </c>
      <c r="GE128" s="59">
        <f ca="1">AVERAGE(OFFSET($GD$3,0,0,'Données projet'!$E$17+1,1))-AVERAGE(OFFSET($H$3,0,0,'Données projet'!$E$17+1,1))</f>
        <v>486.55344536255876</v>
      </c>
      <c r="GF128" s="59">
        <f t="shared" si="104"/>
        <v>231.14794884432229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37.855787251632833</v>
      </c>
      <c r="GM128" s="21">
        <f>EXP(-LN(2)/25)*GM127+(1-EXP(-LN(2)/25))/(LN(2)/25)*Calculateur!GH128*Calculateur!GJ128*VLOOKUP('Données projet'!$B$17,Paramètres!$A$1:$I$89,3,0)*0.475*44/12</f>
        <v>23.821751780970196</v>
      </c>
      <c r="GN128" s="21">
        <f>EXP(-LN(2)/2)*GN127+(1-EXP(-LN(2)/2))/(LN(2)/2)*GH128*GK128*VLOOKUP('Données projet'!$B$17,Paramètres!$A$1:$I$89,3,0)*0.475*44/12</f>
        <v>3.6104733212688425</v>
      </c>
      <c r="GO128" s="21">
        <f t="shared" si="81"/>
        <v>65.288012353871878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461.35137096179267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252.08270526008477</v>
      </c>
      <c r="T129" s="59">
        <f t="shared" si="88"/>
        <v>239.77811108960179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103.17093035463444</v>
      </c>
      <c r="AA129" s="21">
        <f>EXP(-LN(2)/25)*AA128+(1-EXP(-LN(2)/25))/(LN(2)/25)*Calculateur!V129*Calculateur!X129*VLOOKUP('Données projet'!$B$9,Paramètres!$A$1:$I$89,3,0)*0.475*44/12</f>
        <v>26.570499818372138</v>
      </c>
      <c r="AB129" s="21">
        <f>EXP(-LN(2)/2)*AB128+(1-EXP(-LN(2)/2))/(LN(2)/2)*V129*Y129*VLOOKUP('Données projet'!$B$9,Paramètres!$A$1:$I$89,3,0)*0.475*44/12</f>
        <v>6.6756570793839731E-3</v>
      </c>
      <c r="AC129" s="22">
        <f t="shared" si="57"/>
        <v>129.74810583008593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251.64326096359997</v>
      </c>
      <c r="AO129" s="59">
        <f t="shared" si="90"/>
        <v>256.72142151189894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37.579334560611876</v>
      </c>
      <c r="AV129" s="21">
        <f>EXP(-LN(2)/25)*AV128+(1-EXP(-LN(2)/25))/(LN(2)/25)*Calculateur!AQ129*Calculateur!AS129*VLOOKUP('Données projet'!$B$10,Paramètres!$A$1:$I$89,3,0)*0.475*44/12</f>
        <v>7.7712268736854799</v>
      </c>
      <c r="AW129" s="21">
        <f>EXP(-LN(2)/2)*AW128+(1-EXP(-LN(2)/2))/(LN(2)/2)*AQ129*AT129*VLOOKUP('Données projet'!$B$10,Paramètres!$A$1:$I$89,3,0)*0.475*44/12</f>
        <v>6.9804306634880479E-9</v>
      </c>
      <c r="AX129" s="21">
        <f t="shared" si="60"/>
        <v>45.350561441277783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199.29783428981898</v>
      </c>
      <c r="BJ129" s="59">
        <f t="shared" si="92"/>
        <v>237.32002274562547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1.5601446521871205</v>
      </c>
      <c r="BQ129" s="21">
        <f>EXP(-LN(2)/25)*BQ128+(1-EXP(-LN(2)/25))/(LN(2)/25)*Calculateur!BL129*Calculateur!BN129*VLOOKUP('Données projet'!$B$11,Paramètres!$A$1:$I$89,3,0)*0.475*44/12</f>
        <v>4.6854907693471084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6.2456354215342289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3.3249999999999886</v>
      </c>
      <c r="BY129" s="12">
        <f>IF('Données projet'!$A$114&gt;35,BY128+BX129-CG128,IF(A129&lt;'Données projet'!$A$114,$BV$205^A129,IF(A129='Données projet'!$A$114,'Données projet'!$B$114,BY128+BX129-CG128)))</f>
        <v>148.15500000000026</v>
      </c>
      <c r="BZ129" s="13">
        <f>BY129*VLOOKUP('Données projet'!$B$12,Paramètres!$A$1:$I$89,3,0)*VLOOKUP('Données projet'!$B$12,Paramètres!$A$1:$I$89,5,0)</f>
        <v>124.80577200000022</v>
      </c>
      <c r="CA129" s="13">
        <f t="shared" si="93"/>
        <v>32.793292306287469</v>
      </c>
      <c r="CB129" s="20">
        <f t="shared" si="64"/>
        <v>274.4850370001177</v>
      </c>
      <c r="CC129" s="59">
        <f t="shared" si="65"/>
        <v>567.81837033345096</v>
      </c>
      <c r="CD129" s="59">
        <f ca="1">AVERAGE(OFFSET($CC$3,0,0,'Données projet'!$E$12+1,1))-AVERAGE(OFFSET($H$3,0,0,'Données projet'!$E$12+1,1))</f>
        <v>295.59075210589327</v>
      </c>
      <c r="CE129" s="59">
        <f t="shared" si="94"/>
        <v>210.41181542059576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83.39212078089777</v>
      </c>
      <c r="CL129" s="21">
        <f>EXP(-LN(2)/25)*CL128+(1-EXP(-LN(2)/25))/(LN(2)/25)*Calculateur!CG129*Calculateur!CI129*VLOOKUP('Données projet'!$B$12,Paramètres!$A$1:$I$89,3,0)*0.475*44/12</f>
        <v>21.031861751558484</v>
      </c>
      <c r="CM129" s="21">
        <f>EXP(-LN(2)/2)*CM128+(1-EXP(-LN(2)/2))/(LN(2)/2)*CG129*CJ129*VLOOKUP('Données projet'!$B$12,Paramètres!$A$1:$I$89,3,0)*0.475*44/12</f>
        <v>4.8476300869216056</v>
      </c>
      <c r="CN129" s="22">
        <f t="shared" si="66"/>
        <v>109.27161261937786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5.1727511163335289E-14</v>
      </c>
      <c r="CV129" s="13">
        <f t="shared" si="95"/>
        <v>8.3906664221915895E-13</v>
      </c>
      <c r="CW129" s="20">
        <f t="shared" si="67"/>
        <v>1.551466483807844E-12</v>
      </c>
      <c r="CX129" s="59">
        <f t="shared" si="68"/>
        <v>293.33333333333485</v>
      </c>
      <c r="CY129" s="59">
        <f ca="1">AVERAGE(OFFSET($CX$3,0,0,'Données projet'!$E$13+1,1))-AVERAGE(OFFSET($H$3,0,0,'Données projet'!$E$13+1,1))</f>
        <v>338.22448697444298</v>
      </c>
      <c r="CZ129" s="59">
        <f t="shared" si="96"/>
        <v>293.3872365640849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85.53634901548962</v>
      </c>
      <c r="DG129" s="21">
        <f>EXP(-LN(2)/25)*DG128+(1-EXP(-LN(2)/25))/(LN(2)/25)*Calculateur!DB129*Calculateur!DD129*VLOOKUP('Données projet'!$B$13,Paramètres!$A$1:$I$89,3,0)*0.475*44/12</f>
        <v>20.672747303233638</v>
      </c>
      <c r="DH129" s="21">
        <f>EXP(-LN(2)/2)*DH128+(1-EXP(-LN(2)/2))/(LN(2)/2)*DB129*DE129*VLOOKUP('Données projet'!$B$13,Paramètres!$A$1:$I$89,3,0)*0.475*44/12</f>
        <v>9.6459114933413182E-6</v>
      </c>
      <c r="DI129" s="22">
        <f t="shared" si="69"/>
        <v>106.20910596463474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5.6843418860808015E-13</v>
      </c>
      <c r="DP129" s="17">
        <f>DO129*VLOOKUP('Données projet'!$B$14,Paramètres!$A$1:$I$89,3,0)*VLOOKUP('Données projet'!$B$14,Paramètres!$A$1:$I$89,5,0)</f>
        <v>3.177547114319168E-13</v>
      </c>
      <c r="DQ129" s="13">
        <f t="shared" si="97"/>
        <v>4.1725404435445377E-12</v>
      </c>
      <c r="DR129" s="20">
        <f t="shared" si="70"/>
        <v>7.820597394917325E-12</v>
      </c>
      <c r="DS129" s="59">
        <f t="shared" si="71"/>
        <v>293.33333333334116</v>
      </c>
      <c r="DT129" s="59">
        <f ca="1">AVERAGE(OFFSET($DS$3,0,0,'Données projet'!$E$14+1,1))-AVERAGE(OFFSET($H$3,0,0,'Données projet'!$E$14+1,1))</f>
        <v>328.15217666639006</v>
      </c>
      <c r="DU129" s="59">
        <f t="shared" si="98"/>
        <v>305.59175773326308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76.118689614120584</v>
      </c>
      <c r="EB129" s="21">
        <f>EXP(-LN(2)/25)*EB128+(1-EXP(-LN(2)/25))/(LN(2)/25)*Calculateur!DW129*Calculateur!DY129*VLOOKUP('Données projet'!$B$14,Paramètres!$A$1:$I$89,3,0)*0.475*44/12</f>
        <v>16.248480565597244</v>
      </c>
      <c r="EC129" s="21">
        <f>EXP(-LN(2)/2)*EC128+(1-EXP(-LN(2)/2))/(LN(2)/2)*DW129*DZ129*VLOOKUP('Données projet'!$B$14,Paramètres!$A$1:$I$89,3,0)*0.475*44/12</f>
        <v>2.8127999724008109E-7</v>
      </c>
      <c r="ED129" s="22">
        <f t="shared" si="72"/>
        <v>92.367170460997826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159.78276497127206</v>
      </c>
      <c r="EP129" s="59">
        <f t="shared" si="100"/>
        <v>190.72163407919857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1.8120990471667644</v>
      </c>
      <c r="EW129" s="21">
        <f>EXP(-LN(2)/25)*EW128+(1-EXP(-LN(2)/25))/(LN(2)/25)*Calculateur!ER129*Calculateur!ET129*VLOOKUP('Données projet'!$B$15,Paramètres!$A$1:$I$89,3,0)*0.475*44/12</f>
        <v>5.4421706004887964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7.254269647655561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7.6799999999999971</v>
      </c>
      <c r="FE129" s="12">
        <f>IF('Données projet'!$A$218&gt;35,FE128+FD129-FM128,IF(A129&lt;'Données projet'!$A$218,$FB$205^A129,IF(A129='Données projet'!$A$218,'Données projet'!$B$218,FE128+FD129-FM128)))</f>
        <v>376.73000000000059</v>
      </c>
      <c r="FF129" s="17">
        <f>FE129*VLOOKUP('Données projet'!$B$16,Paramètres!$A$1:$I$89,3,0)*VLOOKUP('Données projet'!$B$16,Paramètres!$A$1:$I$89,5,0)</f>
        <v>323.23434000000054</v>
      </c>
      <c r="FG129" s="13">
        <f t="shared" si="101"/>
        <v>76.02592661162501</v>
      </c>
      <c r="FH129" s="20">
        <f t="shared" si="76"/>
        <v>695.37829768191443</v>
      </c>
      <c r="FI129" s="59">
        <f t="shared" si="77"/>
        <v>988.7116310152478</v>
      </c>
      <c r="FJ129" s="59">
        <f ca="1">AVERAGE(OFFSET($FI$3,0,0,'Données projet'!$E$16+1,1))-AVERAGE(OFFSET($H$3,0,0,'Données projet'!$E$16+1,1))</f>
        <v>337.15023592377008</v>
      </c>
      <c r="FK129" s="59">
        <f t="shared" si="102"/>
        <v>286.60608582587099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27.204712069652132</v>
      </c>
      <c r="FR129" s="21">
        <f>EXP(-LN(2)/25)*FR128+(1-EXP(-LN(2)/25))/(LN(2)/25)*Calculateur!FM129*Calculateur!FO129*VLOOKUP('Données projet'!$B$16,Paramètres!$A$1:$I$89,3,0)*0.475*44/12</f>
        <v>28.718467456175215</v>
      </c>
      <c r="FS129" s="21">
        <f>EXP(-LN(2)/2)*FS128+(1-EXP(-LN(2)/2))/(LN(2)/2)*FM129*FP129*VLOOKUP('Données projet'!$B$16,Paramètres!$A$1:$I$89,3,0)*0.475*44/12</f>
        <v>0.53863072671210921</v>
      </c>
      <c r="FT129" s="22">
        <f t="shared" si="78"/>
        <v>56.461810252539458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9.0229999999999961</v>
      </c>
      <c r="FZ129" s="12">
        <f>IF('Données projet'!$A$244&gt;35,FZ128+FY129-GH128,IF(A129&lt;'Données projet'!$A$244,$FW$205^A129,IF(A129='Données projet'!$A$244,'Données projet'!$B$244,FZ128+FY129-GH128)))</f>
        <v>412.09600000000069</v>
      </c>
      <c r="GA129" s="17">
        <f>FZ129*VLOOKUP('Données projet'!$B$17,Paramètres!$A$1:$I$89,3,0)*VLOOKUP('Données projet'!$B$17,Paramètres!$A$1:$I$89,5,0)</f>
        <v>372.86446080000059</v>
      </c>
      <c r="GB129" s="13">
        <f t="shared" si="103"/>
        <v>86.253061792690659</v>
      </c>
      <c r="GC129" s="20">
        <f t="shared" si="79"/>
        <v>799.62968518227046</v>
      </c>
      <c r="GD129" s="59">
        <f t="shared" si="80"/>
        <v>1092.9630185156038</v>
      </c>
      <c r="GE129" s="59">
        <f ca="1">AVERAGE(OFFSET($GD$3,0,0,'Données projet'!$E$17+1,1))-AVERAGE(OFFSET($H$3,0,0,'Données projet'!$E$17+1,1))</f>
        <v>486.55344536255876</v>
      </c>
      <c r="GF129" s="59">
        <f t="shared" si="104"/>
        <v>231.14794884432229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37.113458353378611</v>
      </c>
      <c r="GM129" s="21">
        <f>EXP(-LN(2)/25)*GM128+(1-EXP(-LN(2)/25))/(LN(2)/25)*Calculateur!GH129*Calculateur!GJ129*VLOOKUP('Données projet'!$B$17,Paramètres!$A$1:$I$89,3,0)*0.475*44/12</f>
        <v>23.170344725788084</v>
      </c>
      <c r="GN129" s="21">
        <f>EXP(-LN(2)/2)*GN128+(1-EXP(-LN(2)/2))/(LN(2)/2)*GH129*GK129*VLOOKUP('Données projet'!$B$17,Paramètres!$A$1:$I$89,3,0)*0.475*44/12</f>
        <v>2.5529901687623151</v>
      </c>
      <c r="GO129" s="21">
        <f t="shared" si="81"/>
        <v>62.836793247929009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462.93526329086365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252.08270526008477</v>
      </c>
      <c r="T130" s="59">
        <f t="shared" si="88"/>
        <v>239.77811108960179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101.14781133843394</v>
      </c>
      <c r="AA130" s="21">
        <f>EXP(-LN(2)/25)*AA129+(1-EXP(-LN(2)/25))/(LN(2)/25)*Calculateur!V130*Calculateur!X130*VLOOKUP('Données projet'!$B$9,Paramètres!$A$1:$I$89,3,0)*0.475*44/12</f>
        <v>25.843928103556895</v>
      </c>
      <c r="AB130" s="21">
        <f>EXP(-LN(2)/2)*AB129+(1-EXP(-LN(2)/2))/(LN(2)/2)*V130*Y130*VLOOKUP('Données projet'!$B$9,Paramètres!$A$1:$I$89,3,0)*0.475*44/12</f>
        <v>4.72040238970839E-3</v>
      </c>
      <c r="AC130" s="22">
        <f t="shared" si="57"/>
        <v>126.99645984438054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251.64326096359997</v>
      </c>
      <c r="AO130" s="59">
        <f t="shared" si="90"/>
        <v>256.72142151189894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36.842426731009084</v>
      </c>
      <c r="AV130" s="21">
        <f>EXP(-LN(2)/25)*AV129+(1-EXP(-LN(2)/25))/(LN(2)/25)*Calculateur!AQ130*Calculateur!AS130*VLOOKUP('Données projet'!$B$10,Paramètres!$A$1:$I$89,3,0)*0.475*44/12</f>
        <v>7.5587222661534907</v>
      </c>
      <c r="AW130" s="21">
        <f>EXP(-LN(2)/2)*AW129+(1-EXP(-LN(2)/2))/(LN(2)/2)*AQ130*AT130*VLOOKUP('Données projet'!$B$10,Paramètres!$A$1:$I$89,3,0)*0.475*44/12</f>
        <v>4.9359098577549098E-9</v>
      </c>
      <c r="AX130" s="21">
        <f t="shared" si="60"/>
        <v>44.401149002098485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199.29783428981898</v>
      </c>
      <c r="BJ130" s="59">
        <f t="shared" si="92"/>
        <v>237.32002274562547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1.5295511671520068</v>
      </c>
      <c r="BQ130" s="21">
        <f>EXP(-LN(2)/25)*BQ129+(1-EXP(-LN(2)/25))/(LN(2)/25)*Calculateur!BL130*Calculateur!BN130*VLOOKUP('Données projet'!$B$11,Paramètres!$A$1:$I$89,3,0)*0.475*44/12</f>
        <v>4.5573657778600607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6.0869169450120673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151.47999999999999</v>
      </c>
      <c r="BW130" s="12">
        <f>VLOOKUP(A130,'Données projet'!$A$113:$I$133,9,0)</f>
        <v>3.3249999999999886</v>
      </c>
      <c r="BX130" s="12">
        <f t="array" ref="BX130">INDEX(BW:BW,MIN(IF(ISNUMBER(BW130:BW326),ROW(BW130:BW326),"")))</f>
        <v>3.3249999999999886</v>
      </c>
      <c r="BY130" s="12">
        <f>IF('Données projet'!$A$114&gt;35,BY129+BX130-CG129,IF(A130&lt;'Données projet'!$A$114,$BV$205^A130,IF(A130='Données projet'!$A$114,'Données projet'!$B$114,BY129+BX130-CG129)))</f>
        <v>151.48000000000025</v>
      </c>
      <c r="BZ130" s="13">
        <f>BY130*VLOOKUP('Données projet'!$B$12,Paramètres!$A$1:$I$89,3,0)*VLOOKUP('Données projet'!$B$12,Paramètres!$A$1:$I$89,5,0)</f>
        <v>127.60675200000023</v>
      </c>
      <c r="CA130" s="13">
        <f t="shared" si="93"/>
        <v>33.442753372195554</v>
      </c>
      <c r="CB130" s="20">
        <f t="shared" si="64"/>
        <v>280.49455518990766</v>
      </c>
      <c r="CC130" s="59">
        <f t="shared" si="65"/>
        <v>573.82788852324097</v>
      </c>
      <c r="CD130" s="59">
        <f ca="1">AVERAGE(OFFSET($CC$3,0,0,'Données projet'!$E$12+1,1))-AVERAGE(OFFSET($H$3,0,0,'Données projet'!$E$12+1,1))</f>
        <v>295.59075210589327</v>
      </c>
      <c r="CE130" s="59">
        <f t="shared" si="94"/>
        <v>210.41181542059576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46.039999999999992</v>
      </c>
      <c r="CH130" s="16">
        <f>IF(ISNA(VLOOKUP(A130,'Données projet'!$A$113:$I$133,5,0)),0%,VLOOKUP(A130,'Données projet'!$A$113:$I$133,5,0)*VLOOKUP('Données projet'!$B$12,Paramètres!$A$1:$I$89,7,0))</f>
        <v>0.19350000000000001</v>
      </c>
      <c r="CI130" s="16">
        <f>IF(ISNA(VLOOKUP(A130,'Données projet'!$A$113:$I$133,6,0)),0%,VLOOKUP(A130,'Données projet'!$A$113:$I$133,6,0)*VLOOKUP('Données projet'!$B$12,Paramètres!$A$1:$I$89,7,0))</f>
        <v>2.1500000000000002E-2</v>
      </c>
      <c r="CJ130" s="16">
        <f>IF(ISNA(VLOOKUP(A130,'Données projet'!$A$113:$I$133,7,0)),0%,VLOOKUP(A130,'Données projet'!$A$113:$I$133,7,0))</f>
        <v>0.05</v>
      </c>
      <c r="CK130" s="21">
        <f>EXP(-LN(2)/35)*CK129+(1-EXP(-LN(2)/35))/(LN(2)/35)*CG130*CH130*VLOOKUP('Données projet'!$B$12,Paramètres!$A$1:$I$89,3,0)*0.475*44/12</f>
        <v>90.053100670935834</v>
      </c>
      <c r="CL130" s="21">
        <f>EXP(-LN(2)/25)*CL129+(1-EXP(-LN(2)/25))/(LN(2)/25)*Calculateur!CG130*Calculateur!CI130*VLOOKUP('Données projet'!$B$12,Paramètres!$A$1:$I$89,3,0)*0.475*44/12</f>
        <v>21.374920277373533</v>
      </c>
      <c r="CM130" s="21">
        <f>EXP(-LN(2)/2)*CM129+(1-EXP(-LN(2)/2))/(LN(2)/2)*CG130*CJ130*VLOOKUP('Données projet'!$B$12,Paramètres!$A$1:$I$89,3,0)*0.475*44/12</f>
        <v>5.2574840288781592</v>
      </c>
      <c r="CN130" s="22">
        <f t="shared" si="66"/>
        <v>116.68550497718752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5.1727511163335289E-14</v>
      </c>
      <c r="CV130" s="13">
        <f t="shared" si="95"/>
        <v>8.3906664221915895E-13</v>
      </c>
      <c r="CW130" s="20">
        <f t="shared" si="67"/>
        <v>1.551466483807844E-12</v>
      </c>
      <c r="CX130" s="59">
        <f t="shared" si="68"/>
        <v>293.33333333333485</v>
      </c>
      <c r="CY130" s="59">
        <f ca="1">AVERAGE(OFFSET($CX$3,0,0,'Données projet'!$E$13+1,1))-AVERAGE(OFFSET($H$3,0,0,'Données projet'!$E$13+1,1))</f>
        <v>338.22448697444298</v>
      </c>
      <c r="CZ130" s="59">
        <f t="shared" si="96"/>
        <v>293.3872365640849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83.859033383317211</v>
      </c>
      <c r="DG130" s="21">
        <f>EXP(-LN(2)/25)*DG129+(1-EXP(-LN(2)/25))/(LN(2)/25)*Calculateur!DB130*Calculateur!DD130*VLOOKUP('Données projet'!$B$13,Paramètres!$A$1:$I$89,3,0)*0.475*44/12</f>
        <v>20.107449941094181</v>
      </c>
      <c r="DH130" s="21">
        <f>EXP(-LN(2)/2)*DH129+(1-EXP(-LN(2)/2))/(LN(2)/2)*DB130*DE130*VLOOKUP('Données projet'!$B$13,Paramètres!$A$1:$I$89,3,0)*0.475*44/12</f>
        <v>6.8206894276669034E-6</v>
      </c>
      <c r="DI130" s="22">
        <f t="shared" si="69"/>
        <v>103.96649014510082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5.6843418860808015E-13</v>
      </c>
      <c r="DP130" s="17">
        <f>DO130*VLOOKUP('Données projet'!$B$14,Paramètres!$A$1:$I$89,3,0)*VLOOKUP('Données projet'!$B$14,Paramètres!$A$1:$I$89,5,0)</f>
        <v>3.177547114319168E-13</v>
      </c>
      <c r="DQ130" s="13">
        <f t="shared" si="97"/>
        <v>4.1725404435445377E-12</v>
      </c>
      <c r="DR130" s="20">
        <f t="shared" si="70"/>
        <v>7.820597394917325E-12</v>
      </c>
      <c r="DS130" s="59">
        <f t="shared" si="71"/>
        <v>293.33333333334116</v>
      </c>
      <c r="DT130" s="59">
        <f ca="1">AVERAGE(OFFSET($DS$3,0,0,'Données projet'!$E$14+1,1))-AVERAGE(OFFSET($H$3,0,0,'Données projet'!$E$14+1,1))</f>
        <v>328.15217666639006</v>
      </c>
      <c r="DU130" s="59">
        <f t="shared" si="98"/>
        <v>305.59175773326308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74.626048538603982</v>
      </c>
      <c r="EB130" s="21">
        <f>EXP(-LN(2)/25)*EB129+(1-EXP(-LN(2)/25))/(LN(2)/25)*Calculateur!DW130*Calculateur!DY130*VLOOKUP('Données projet'!$B$14,Paramètres!$A$1:$I$89,3,0)*0.475*44/12</f>
        <v>15.804165010060531</v>
      </c>
      <c r="EC130" s="21">
        <f>EXP(-LN(2)/2)*EC129+(1-EXP(-LN(2)/2))/(LN(2)/2)*DW130*DZ130*VLOOKUP('Données projet'!$B$14,Paramètres!$A$1:$I$89,3,0)*0.475*44/12</f>
        <v>1.9889499346059472E-7</v>
      </c>
      <c r="ED130" s="22">
        <f t="shared" si="72"/>
        <v>90.430213747559506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159.78276497127206</v>
      </c>
      <c r="EP130" s="59">
        <f t="shared" si="100"/>
        <v>190.72163407919857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1.7765648901231064</v>
      </c>
      <c r="EW130" s="21">
        <f>EXP(-LN(2)/25)*EW129+(1-EXP(-LN(2)/25))/(LN(2)/25)*Calculateur!ER130*Calculateur!ET130*VLOOKUP('Données projet'!$B$15,Paramètres!$A$1:$I$89,3,0)*0.475*44/12</f>
        <v>5.2933541592271167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7.0699190493502231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7.6799999999999971</v>
      </c>
      <c r="FE130" s="12">
        <f>IF('Données projet'!$A$218&gt;35,FE129+FD130-FM129,IF(A130&lt;'Données projet'!$A$218,$FB$205^A130,IF(A130='Données projet'!$A$218,'Données projet'!$B$218,FE129+FD130-FM129)))</f>
        <v>384.41000000000059</v>
      </c>
      <c r="FF130" s="17">
        <f>FE130*VLOOKUP('Données projet'!$B$16,Paramètres!$A$1:$I$89,3,0)*VLOOKUP('Données projet'!$B$16,Paramètres!$A$1:$I$89,5,0)</f>
        <v>329.82378000000057</v>
      </c>
      <c r="FG130" s="13">
        <f t="shared" si="101"/>
        <v>77.393771134166656</v>
      </c>
      <c r="FH130" s="20">
        <f t="shared" si="76"/>
        <v>709.23723489200802</v>
      </c>
      <c r="FI130" s="59">
        <f t="shared" si="77"/>
        <v>1002.5705682253413</v>
      </c>
      <c r="FJ130" s="59">
        <f ca="1">AVERAGE(OFFSET($FI$3,0,0,'Données projet'!$E$16+1,1))-AVERAGE(OFFSET($H$3,0,0,'Données projet'!$E$16+1,1))</f>
        <v>337.15023592377008</v>
      </c>
      <c r="FK130" s="59">
        <f t="shared" si="102"/>
        <v>286.60608582587099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26.671244259202169</v>
      </c>
      <c r="FR130" s="21">
        <f>EXP(-LN(2)/25)*FR129+(1-EXP(-LN(2)/25))/(LN(2)/25)*Calculateur!FM130*Calculateur!FO130*VLOOKUP('Données projet'!$B$16,Paramètres!$A$1:$I$89,3,0)*0.475*44/12</f>
        <v>27.933159453347539</v>
      </c>
      <c r="FS130" s="21">
        <f>EXP(-LN(2)/2)*FS129+(1-EXP(-LN(2)/2))/(LN(2)/2)*FM130*FP130*VLOOKUP('Données projet'!$B$16,Paramètres!$A$1:$I$89,3,0)*0.475*44/12</f>
        <v>0.38086943941357049</v>
      </c>
      <c r="FT130" s="22">
        <f t="shared" si="78"/>
        <v>54.985273151963284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9.0229999999999961</v>
      </c>
      <c r="FZ130" s="12">
        <f>IF('Données projet'!$A$244&gt;35,FZ129+FY130-GH129,IF(A130&lt;'Données projet'!$A$244,$FW$205^A130,IF(A130='Données projet'!$A$244,'Données projet'!$B$244,FZ129+FY130-GH129)))</f>
        <v>421.11900000000071</v>
      </c>
      <c r="GA130" s="17">
        <f>FZ130*VLOOKUP('Données projet'!$B$17,Paramètres!$A$1:$I$89,3,0)*VLOOKUP('Données projet'!$B$17,Paramètres!$A$1:$I$89,5,0)</f>
        <v>381.02847120000064</v>
      </c>
      <c r="GB130" s="13">
        <f t="shared" si="103"/>
        <v>87.919669823283783</v>
      </c>
      <c r="GC130" s="20">
        <f t="shared" si="79"/>
        <v>816.75134561555353</v>
      </c>
      <c r="GD130" s="59">
        <f t="shared" si="80"/>
        <v>1110.0846789488869</v>
      </c>
      <c r="GE130" s="59">
        <f ca="1">AVERAGE(OFFSET($GD$3,0,0,'Données projet'!$E$17+1,1))-AVERAGE(OFFSET($H$3,0,0,'Données projet'!$E$17+1,1))</f>
        <v>486.55344536255876</v>
      </c>
      <c r="GF130" s="59">
        <f t="shared" si="104"/>
        <v>231.14794884432229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36.385686072043235</v>
      </c>
      <c r="GM130" s="21">
        <f>EXP(-LN(2)/25)*GM129+(1-EXP(-LN(2)/25))/(LN(2)/25)*Calculateur!GH130*Calculateur!GJ130*VLOOKUP('Données projet'!$B$17,Paramètres!$A$1:$I$89,3,0)*0.475*44/12</f>
        <v>22.536750430785936</v>
      </c>
      <c r="GN130" s="21">
        <f>EXP(-LN(2)/2)*GN129+(1-EXP(-LN(2)/2))/(LN(2)/2)*GH130*GK130*VLOOKUP('Données projet'!$B$17,Paramètres!$A$1:$I$89,3,0)*0.475*44/12</f>
        <v>1.8052366606344215</v>
      </c>
      <c r="GO130" s="21">
        <f t="shared" si="81"/>
        <v>60.727673163463592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464.5188744588678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252.08270526008477</v>
      </c>
      <c r="T131" s="59">
        <f t="shared" si="88"/>
        <v>239.77811108960179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99.164364452160385</v>
      </c>
      <c r="AA131" s="21">
        <f>EXP(-LN(2)/25)*AA130+(1-EXP(-LN(2)/25))/(LN(2)/25)*Calculateur!V131*Calculateur!X131*VLOOKUP('Données projet'!$B$9,Paramètres!$A$1:$I$89,3,0)*0.475*44/12</f>
        <v>25.13722453049202</v>
      </c>
      <c r="AB131" s="21">
        <f>EXP(-LN(2)/2)*AB130+(1-EXP(-LN(2)/2))/(LN(2)/2)*V131*Y131*VLOOKUP('Données projet'!$B$9,Paramètres!$A$1:$I$89,3,0)*0.475*44/12</f>
        <v>3.3378285396919866E-3</v>
      </c>
      <c r="AC131" s="22">
        <f t="shared" si="57"/>
        <v>124.30492681119209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251.64326096359997</v>
      </c>
      <c r="AO131" s="59">
        <f t="shared" si="90"/>
        <v>256.72142151189894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36.119969214475411</v>
      </c>
      <c r="AV131" s="21">
        <f>EXP(-LN(2)/25)*AV130+(1-EXP(-LN(2)/25))/(LN(2)/25)*Calculateur!AQ131*Calculateur!AS131*VLOOKUP('Données projet'!$B$10,Paramètres!$A$1:$I$89,3,0)*0.475*44/12</f>
        <v>7.3520286082895954</v>
      </c>
      <c r="AW131" s="21">
        <f>EXP(-LN(2)/2)*AW130+(1-EXP(-LN(2)/2))/(LN(2)/2)*AQ131*AT131*VLOOKUP('Données projet'!$B$10,Paramètres!$A$1:$I$89,3,0)*0.475*44/12</f>
        <v>3.4902153317440239E-9</v>
      </c>
      <c r="AX131" s="21">
        <f t="shared" si="60"/>
        <v>43.471997826255219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199.29783428981898</v>
      </c>
      <c r="BJ131" s="59">
        <f t="shared" si="92"/>
        <v>237.32002274562547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1.4995576016982484</v>
      </c>
      <c r="BQ131" s="21">
        <f>EXP(-LN(2)/25)*BQ130+(1-EXP(-LN(2)/25))/(LN(2)/25)*Calculateur!BL131*Calculateur!BN131*VLOOKUP('Données projet'!$B$11,Paramètres!$A$1:$I$89,3,0)*0.475*44/12</f>
        <v>4.432744371003027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5.9323019727012749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2.4366666666666674</v>
      </c>
      <c r="BY131" s="12">
        <f>IF('Données projet'!$A$114&gt;35,BY130+BX131-CG130,IF(A131&lt;'Données projet'!$A$114,$BV$205^A131,IF(A131='Données projet'!$A$114,'Données projet'!$B$114,BY130+BX131-CG130)))</f>
        <v>107.87666666666692</v>
      </c>
      <c r="BZ131" s="13">
        <f>BY131*VLOOKUP('Données projet'!$B$12,Paramètres!$A$1:$I$89,3,0)*VLOOKUP('Données projet'!$B$12,Paramètres!$A$1:$I$89,5,0)</f>
        <v>90.875304000000227</v>
      </c>
      <c r="CA131" s="13">
        <f t="shared" si="93"/>
        <v>24.776208181495118</v>
      </c>
      <c r="CB131" s="20">
        <f t="shared" si="64"/>
        <v>201.4263837161044</v>
      </c>
      <c r="CC131" s="59">
        <f t="shared" si="65"/>
        <v>494.75971704943771</v>
      </c>
      <c r="CD131" s="59">
        <f ca="1">AVERAGE(OFFSET($CC$3,0,0,'Données projet'!$E$12+1,1))-AVERAGE(OFFSET($H$3,0,0,'Données projet'!$E$12+1,1))</f>
        <v>295.59075210589327</v>
      </c>
      <c r="CE131" s="59">
        <f t="shared" si="94"/>
        <v>210.41181542059576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88.287214293746601</v>
      </c>
      <c r="CL131" s="21">
        <f>EXP(-LN(2)/25)*CL130+(1-EXP(-LN(2)/25))/(LN(2)/25)*Calculateur!CG131*Calculateur!CI131*VLOOKUP('Données projet'!$B$12,Paramètres!$A$1:$I$89,3,0)*0.475*44/12</f>
        <v>20.790421958330551</v>
      </c>
      <c r="CM131" s="21">
        <f>EXP(-LN(2)/2)*CM130+(1-EXP(-LN(2)/2))/(LN(2)/2)*CG131*CJ131*VLOOKUP('Données projet'!$B$12,Paramètres!$A$1:$I$89,3,0)*0.475*44/12</f>
        <v>3.7176026087997172</v>
      </c>
      <c r="CN131" s="22">
        <f t="shared" si="66"/>
        <v>112.79523886087688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5.1727511163335289E-14</v>
      </c>
      <c r="CV131" s="13">
        <f t="shared" si="95"/>
        <v>8.3906664221915895E-13</v>
      </c>
      <c r="CW131" s="20">
        <f t="shared" si="67"/>
        <v>1.551466483807844E-12</v>
      </c>
      <c r="CX131" s="59">
        <f t="shared" si="68"/>
        <v>293.33333333333485</v>
      </c>
      <c r="CY131" s="59">
        <f ca="1">AVERAGE(OFFSET($CX$3,0,0,'Données projet'!$E$13+1,1))-AVERAGE(OFFSET($H$3,0,0,'Données projet'!$E$13+1,1))</f>
        <v>338.22448697444298</v>
      </c>
      <c r="CZ131" s="59">
        <f t="shared" si="96"/>
        <v>293.3872365640849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82.214608887630177</v>
      </c>
      <c r="DG131" s="21">
        <f>EXP(-LN(2)/25)*DG130+(1-EXP(-LN(2)/25))/(LN(2)/25)*Calculateur!DB131*Calculateur!DD131*VLOOKUP('Données projet'!$B$13,Paramètres!$A$1:$I$89,3,0)*0.475*44/12</f>
        <v>19.557610665050124</v>
      </c>
      <c r="DH131" s="21">
        <f>EXP(-LN(2)/2)*DH130+(1-EXP(-LN(2)/2))/(LN(2)/2)*DB131*DE131*VLOOKUP('Données projet'!$B$13,Paramètres!$A$1:$I$89,3,0)*0.475*44/12</f>
        <v>4.8229557466706591E-6</v>
      </c>
      <c r="DI131" s="22">
        <f t="shared" si="69"/>
        <v>101.77222437563604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5.6843418860808015E-13</v>
      </c>
      <c r="DP131" s="17">
        <f>DO131*VLOOKUP('Données projet'!$B$14,Paramètres!$A$1:$I$89,3,0)*VLOOKUP('Données projet'!$B$14,Paramètres!$A$1:$I$89,5,0)</f>
        <v>3.177547114319168E-13</v>
      </c>
      <c r="DQ131" s="13">
        <f t="shared" si="97"/>
        <v>4.1725404435445377E-12</v>
      </c>
      <c r="DR131" s="20">
        <f t="shared" si="70"/>
        <v>7.820597394917325E-12</v>
      </c>
      <c r="DS131" s="59">
        <f t="shared" si="71"/>
        <v>293.33333333334116</v>
      </c>
      <c r="DT131" s="59">
        <f ca="1">AVERAGE(OFFSET($DS$3,0,0,'Données projet'!$E$14+1,1))-AVERAGE(OFFSET($H$3,0,0,'Données projet'!$E$14+1,1))</f>
        <v>328.15217666639006</v>
      </c>
      <c r="DU131" s="59">
        <f t="shared" si="98"/>
        <v>305.59175773326308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73.162677244157095</v>
      </c>
      <c r="EB131" s="21">
        <f>EXP(-LN(2)/25)*EB130+(1-EXP(-LN(2)/25))/(LN(2)/25)*Calculateur!DW131*Calculateur!DY131*VLOOKUP('Données projet'!$B$14,Paramètres!$A$1:$I$89,3,0)*0.475*44/12</f>
        <v>15.371999286755509</v>
      </c>
      <c r="EC131" s="21">
        <f>EXP(-LN(2)/2)*EC130+(1-EXP(-LN(2)/2))/(LN(2)/2)*DW131*DZ131*VLOOKUP('Données projet'!$B$14,Paramètres!$A$1:$I$89,3,0)*0.475*44/12</f>
        <v>1.4063999862004055E-7</v>
      </c>
      <c r="ED131" s="22">
        <f t="shared" si="72"/>
        <v>88.534676671552603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159.78276497127206</v>
      </c>
      <c r="EP131" s="59">
        <f t="shared" si="100"/>
        <v>190.72163407919857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1.7417275362253788</v>
      </c>
      <c r="EW131" s="21">
        <f>EXP(-LN(2)/25)*EW130+(1-EXP(-LN(2)/25))/(LN(2)/25)*Calculateur!ER131*Calculateur!ET131*VLOOKUP('Données projet'!$B$15,Paramètres!$A$1:$I$89,3,0)*0.475*44/12</f>
        <v>5.1486071113776539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6.8903346476030327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7.6799999999999971</v>
      </c>
      <c r="FE131" s="12">
        <f>IF('Données projet'!$A$218&gt;35,FE130+FD131-FM130,IF(A131&lt;'Données projet'!$A$218,$FB$205^A131,IF(A131='Données projet'!$A$218,'Données projet'!$B$218,FE130+FD131-FM130)))</f>
        <v>392.0900000000006</v>
      </c>
      <c r="FF131" s="17">
        <f>FE131*VLOOKUP('Données projet'!$B$16,Paramètres!$A$1:$I$89,3,0)*VLOOKUP('Données projet'!$B$16,Paramètres!$A$1:$I$89,5,0)</f>
        <v>336.41322000000059</v>
      </c>
      <c r="FG131" s="13">
        <f t="shared" si="101"/>
        <v>78.758438183344538</v>
      </c>
      <c r="FH131" s="20">
        <f t="shared" si="76"/>
        <v>723.09063800265938</v>
      </c>
      <c r="FI131" s="59">
        <f t="shared" si="77"/>
        <v>1016.4239713359927</v>
      </c>
      <c r="FJ131" s="59">
        <f ca="1">AVERAGE(OFFSET($FI$3,0,0,'Données projet'!$E$16+1,1))-AVERAGE(OFFSET($H$3,0,0,'Données projet'!$E$16+1,1))</f>
        <v>337.15023592377008</v>
      </c>
      <c r="FK131" s="59">
        <f t="shared" si="102"/>
        <v>286.60608582587099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26.148237427131896</v>
      </c>
      <c r="FR131" s="21">
        <f>EXP(-LN(2)/25)*FR130+(1-EXP(-LN(2)/25))/(LN(2)/25)*Calculateur!FM131*Calculateur!FO131*VLOOKUP('Données projet'!$B$16,Paramètres!$A$1:$I$89,3,0)*0.475*44/12</f>
        <v>27.169325739154736</v>
      </c>
      <c r="FS131" s="21">
        <f>EXP(-LN(2)/2)*FS130+(1-EXP(-LN(2)/2))/(LN(2)/2)*FM131*FP131*VLOOKUP('Données projet'!$B$16,Paramètres!$A$1:$I$89,3,0)*0.475*44/12</f>
        <v>0.2693153633560546</v>
      </c>
      <c r="FT131" s="22">
        <f t="shared" si="78"/>
        <v>53.586878529642689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9.0229999999999961</v>
      </c>
      <c r="FZ131" s="12">
        <f>IF('Données projet'!$A$244&gt;35,FZ130+FY131-GH130,IF(A131&lt;'Données projet'!$A$244,$FW$205^A131,IF(A131='Données projet'!$A$244,'Données projet'!$B$244,FZ130+FY131-GH130)))</f>
        <v>430.14200000000073</v>
      </c>
      <c r="GA131" s="17">
        <f>FZ131*VLOOKUP('Données projet'!$B$17,Paramètres!$A$1:$I$89,3,0)*VLOOKUP('Données projet'!$B$17,Paramètres!$A$1:$I$89,5,0)</f>
        <v>389.19248160000063</v>
      </c>
      <c r="GB131" s="13">
        <f t="shared" si="103"/>
        <v>89.582126151232899</v>
      </c>
      <c r="GC131" s="20">
        <f t="shared" si="79"/>
        <v>833.86577516673162</v>
      </c>
      <c r="GD131" s="59">
        <f t="shared" si="80"/>
        <v>1127.199108500065</v>
      </c>
      <c r="GE131" s="59">
        <f ca="1">AVERAGE(OFFSET($GD$3,0,0,'Données projet'!$E$17+1,1))-AVERAGE(OFFSET($H$3,0,0,'Données projet'!$E$17+1,1))</f>
        <v>486.55344536255876</v>
      </c>
      <c r="GF131" s="59">
        <f t="shared" si="104"/>
        <v>231.14794884432229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35.672184961247588</v>
      </c>
      <c r="GM131" s="21">
        <f>EXP(-LN(2)/25)*GM130+(1-EXP(-LN(2)/25))/(LN(2)/25)*Calculateur!GH131*Calculateur!GJ131*VLOOKUP('Données projet'!$B$17,Paramètres!$A$1:$I$89,3,0)*0.475*44/12</f>
        <v>21.920481805099897</v>
      </c>
      <c r="GN131" s="21">
        <f>EXP(-LN(2)/2)*GN130+(1-EXP(-LN(2)/2))/(LN(2)/2)*GH131*GK131*VLOOKUP('Données projet'!$B$17,Paramètres!$A$1:$I$89,3,0)*0.475*44/12</f>
        <v>1.2764950843811578</v>
      </c>
      <c r="GO131" s="21">
        <f t="shared" si="81"/>
        <v>58.869161850728645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466.1022069169922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252.08270526008477</v>
      </c>
      <c r="T132" s="59">
        <f t="shared" si="88"/>
        <v>239.77811108960179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97.21981174954351</v>
      </c>
      <c r="AA132" s="21">
        <f>EXP(-LN(2)/25)*AA131+(1-EXP(-LN(2)/25))/(LN(2)/25)*Calculateur!V132*Calculateur!X132*VLOOKUP('Données projet'!$B$9,Paramètres!$A$1:$I$89,3,0)*0.475*44/12</f>
        <v>24.449845803796528</v>
      </c>
      <c r="AB132" s="21">
        <f>EXP(-LN(2)/2)*AB131+(1-EXP(-LN(2)/2))/(LN(2)/2)*V132*Y132*VLOOKUP('Données projet'!$B$9,Paramètres!$A$1:$I$89,3,0)*0.475*44/12</f>
        <v>2.360201194854195E-3</v>
      </c>
      <c r="AC132" s="22">
        <f t="shared" ref="AC132:AC153" si="111">SUM(Z132:AB132)</f>
        <v>121.67201775453491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251.64326096359997</v>
      </c>
      <c r="AO132" s="59">
        <f t="shared" si="90"/>
        <v>256.72142151189894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35.41167864918539</v>
      </c>
      <c r="AV132" s="21">
        <f>EXP(-LN(2)/25)*AV131+(1-EXP(-LN(2)/25))/(LN(2)/25)*Calculateur!AQ132*Calculateur!AS132*VLOOKUP('Données projet'!$B$10,Paramètres!$A$1:$I$89,3,0)*0.475*44/12</f>
        <v>7.1509869993695352</v>
      </c>
      <c r="AW132" s="21">
        <f>EXP(-LN(2)/2)*AW131+(1-EXP(-LN(2)/2))/(LN(2)/2)*AQ132*AT132*VLOOKUP('Données projet'!$B$10,Paramètres!$A$1:$I$89,3,0)*0.475*44/12</f>
        <v>2.4679549288774549E-9</v>
      </c>
      <c r="AX132" s="21">
        <f t="shared" ref="AX132:AX153" si="114">SUM(AU132:AW132)</f>
        <v>42.562665651022883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199.29783428981898</v>
      </c>
      <c r="BJ132" s="59">
        <f t="shared" si="92"/>
        <v>237.32002274562547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1.4701521917687697</v>
      </c>
      <c r="BQ132" s="21">
        <f>EXP(-LN(2)/25)*BQ131+(1-EXP(-LN(2)/25))/(LN(2)/25)*Calculateur!BL132*Calculateur!BN132*VLOOKUP('Données projet'!$B$11,Paramètres!$A$1:$I$89,3,0)*0.475*44/12</f>
        <v>4.3115307430700538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5.7816829348388232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2.4366666666666674</v>
      </c>
      <c r="BY132" s="12">
        <f>IF('Données projet'!$A$114&gt;35,BY131+BX132-CG131,IF(A132&lt;'Données projet'!$A$114,$BV$205^A132,IF(A132='Données projet'!$A$114,'Données projet'!$B$114,BY131+BX132-CG131)))</f>
        <v>110.31333333333359</v>
      </c>
      <c r="BZ132" s="13">
        <f>BY132*VLOOKUP('Données projet'!$B$12,Paramètres!$A$1:$I$89,3,0)*VLOOKUP('Données projet'!$B$12,Paramètres!$A$1:$I$89,5,0)</f>
        <v>92.927952000000232</v>
      </c>
      <c r="CA132" s="13">
        <f t="shared" si="93"/>
        <v>25.270055391515868</v>
      </c>
      <c r="CB132" s="20">
        <f t="shared" ref="CB132:CB153" si="118">(BZ132+CA132)*0.475*44/12</f>
        <v>205.86152954022387</v>
      </c>
      <c r="CC132" s="59">
        <f t="shared" ref="CC132:CC195" si="119">CB132+(BT132+BU132)*44/12</f>
        <v>499.19486287355721</v>
      </c>
      <c r="CD132" s="59">
        <f ca="1">AVERAGE(OFFSET($CC$3,0,0,'Données projet'!$E$12+1,1))-AVERAGE(OFFSET($H$3,0,0,'Données projet'!$E$12+1,1))</f>
        <v>295.59075210589327</v>
      </c>
      <c r="CE132" s="59">
        <f t="shared" si="94"/>
        <v>210.41181542059576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86.555955871329715</v>
      </c>
      <c r="CL132" s="21">
        <f>EXP(-LN(2)/25)*CL131+(1-EXP(-LN(2)/25))/(LN(2)/25)*Calculateur!CG132*Calculateur!CI132*VLOOKUP('Données projet'!$B$12,Paramètres!$A$1:$I$89,3,0)*0.475*44/12</f>
        <v>20.22190677655923</v>
      </c>
      <c r="CM132" s="21">
        <f>EXP(-LN(2)/2)*CM131+(1-EXP(-LN(2)/2))/(LN(2)/2)*CG132*CJ132*VLOOKUP('Données projet'!$B$12,Paramètres!$A$1:$I$89,3,0)*0.475*44/12</f>
        <v>2.6287420144390801</v>
      </c>
      <c r="CN132" s="22">
        <f t="shared" ref="CN132:CN153" si="120">SUM(CK132:CM132)</f>
        <v>109.40660466232804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5.1727511163335289E-14</v>
      </c>
      <c r="CV132" s="13">
        <f t="shared" si="95"/>
        <v>8.3906664221915895E-13</v>
      </c>
      <c r="CW132" s="20">
        <f t="shared" ref="CW132:CW153" si="121">(CU132+CV132)*0.475*44/12</f>
        <v>1.551466483807844E-12</v>
      </c>
      <c r="CX132" s="59">
        <f t="shared" ref="CX132:CX195" si="122">CW132+(CO132+CP132)*44/12</f>
        <v>293.33333333333485</v>
      </c>
      <c r="CY132" s="59">
        <f ca="1">AVERAGE(OFFSET($CX$3,0,0,'Données projet'!$E$13+1,1))-AVERAGE(OFFSET($H$3,0,0,'Données projet'!$E$13+1,1))</f>
        <v>338.22448697444298</v>
      </c>
      <c r="CZ132" s="59">
        <f t="shared" si="96"/>
        <v>293.3872365640849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80.602430553303662</v>
      </c>
      <c r="DG132" s="21">
        <f>EXP(-LN(2)/25)*DG131+(1-EXP(-LN(2)/25))/(LN(2)/25)*Calculateur!DB132*Calculateur!DD132*VLOOKUP('Données projet'!$B$13,Paramètres!$A$1:$I$89,3,0)*0.475*44/12</f>
        <v>19.022806772924284</v>
      </c>
      <c r="DH132" s="21">
        <f>EXP(-LN(2)/2)*DH131+(1-EXP(-LN(2)/2))/(LN(2)/2)*DB132*DE132*VLOOKUP('Données projet'!$B$13,Paramètres!$A$1:$I$89,3,0)*0.475*44/12</f>
        <v>3.4103447138334517E-6</v>
      </c>
      <c r="DI132" s="22">
        <f t="shared" ref="DI132:DI153" si="123">SUM(DF132:DH132)</f>
        <v>99.625240736572664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5.6843418860808015E-13</v>
      </c>
      <c r="DP132" s="17">
        <f>DO132*VLOOKUP('Données projet'!$B$14,Paramètres!$A$1:$I$89,3,0)*VLOOKUP('Données projet'!$B$14,Paramètres!$A$1:$I$89,5,0)</f>
        <v>3.177547114319168E-13</v>
      </c>
      <c r="DQ132" s="13">
        <f t="shared" si="97"/>
        <v>4.1725404435445377E-12</v>
      </c>
      <c r="DR132" s="20">
        <f t="shared" ref="DR132:DR153" si="124">(DP132+DQ132)*0.475*44/12</f>
        <v>7.820597394917325E-12</v>
      </c>
      <c r="DS132" s="59">
        <f t="shared" ref="DS132:DS195" si="125">DR132+(DJ132+DK132)*44/12</f>
        <v>293.33333333334116</v>
      </c>
      <c r="DT132" s="59">
        <f ca="1">AVERAGE(OFFSET($DS$3,0,0,'Données projet'!$E$14+1,1))-AVERAGE(OFFSET($H$3,0,0,'Données projet'!$E$14+1,1))</f>
        <v>328.15217666639006</v>
      </c>
      <c r="DU132" s="59">
        <f t="shared" si="98"/>
        <v>305.59175773326308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71.728001768225951</v>
      </c>
      <c r="EB132" s="21">
        <f>EXP(-LN(2)/25)*EB131+(1-EXP(-LN(2)/25))/(LN(2)/25)*Calculateur!DW132*Calculateur!DY132*VLOOKUP('Données projet'!$B$14,Paramètres!$A$1:$I$89,3,0)*0.475*44/12</f>
        <v>14.951651157880869</v>
      </c>
      <c r="EC132" s="21">
        <f>EXP(-LN(2)/2)*EC131+(1-EXP(-LN(2)/2))/(LN(2)/2)*DW132*DZ132*VLOOKUP('Données projet'!$B$14,Paramètres!$A$1:$I$89,3,0)*0.475*44/12</f>
        <v>9.9447496730297358E-8</v>
      </c>
      <c r="ED132" s="22">
        <f t="shared" ref="ED132:ED153" si="126">SUM(EA132:EC132)</f>
        <v>86.679653025554316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159.78276497127206</v>
      </c>
      <c r="EP132" s="59">
        <f t="shared" si="100"/>
        <v>190.72163407919857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1.707573321588898</v>
      </c>
      <c r="EW132" s="21">
        <f>EXP(-LN(2)/25)*EW131+(1-EXP(-LN(2)/25))/(LN(2)/25)*Calculateur!ER132*Calculateur!ET132*VLOOKUP('Données projet'!$B$15,Paramètres!$A$1:$I$89,3,0)*0.475*44/12</f>
        <v>5.007818179163551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6.7153915007524487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>
        <f>VLOOKUP(A132,'Données projet'!$A$217:$I$237,2,0)</f>
        <v>399.77</v>
      </c>
      <c r="FC132" s="12">
        <f>VLOOKUP(A132,'Données projet'!$A$217:$I$237,9,0)</f>
        <v>7.6799999999999971</v>
      </c>
      <c r="FD132" s="12">
        <f t="array" ref="FD132">INDEX(FC:FC,MIN(IF(ISNUMBER(FC132:FC328),ROW(FC132:FC328),"")))</f>
        <v>7.6799999999999971</v>
      </c>
      <c r="FE132" s="12">
        <f>IF('Données projet'!$A$218&gt;35,FE131+FD132-FM131,IF(A132&lt;'Données projet'!$A$218,$FB$205^A132,IF(A132='Données projet'!$A$218,'Données projet'!$B$218,FE131+FD132-FM131)))</f>
        <v>399.77000000000061</v>
      </c>
      <c r="FF132" s="17">
        <f>FE132*VLOOKUP('Données projet'!$B$16,Paramètres!$A$1:$I$89,3,0)*VLOOKUP('Données projet'!$B$16,Paramètres!$A$1:$I$89,5,0)</f>
        <v>343.00266000000056</v>
      </c>
      <c r="FG132" s="13">
        <f t="shared" si="101"/>
        <v>80.119997171748139</v>
      </c>
      <c r="FH132" s="20">
        <f t="shared" ref="FH132:FH153" si="130">(FF132+FG132)*0.475*44/12</f>
        <v>736.93862790746232</v>
      </c>
      <c r="FI132" s="59">
        <f t="shared" ref="FI132:FI195" si="131">FH132+(EZ132+FA132)*44/12</f>
        <v>1030.2719612407957</v>
      </c>
      <c r="FJ132" s="59">
        <f ca="1">AVERAGE(OFFSET($FI$3,0,0,'Données projet'!$E$16+1,1))-AVERAGE(OFFSET($H$3,0,0,'Données projet'!$E$16+1,1))</f>
        <v>337.15023592377008</v>
      </c>
      <c r="FK132" s="59">
        <f t="shared" si="102"/>
        <v>286.60608582587099</v>
      </c>
      <c r="FL132" s="15">
        <f>IF(ISNA(VLOOKUP(A132,'Données projet'!$A$217:$I$237,3,0)),0,VLOOKUP(A132,'Données projet'!$A$217:$I$237,3,0))</f>
        <v>8</v>
      </c>
      <c r="FM132" s="15">
        <f>IF(ISNA(VLOOKUP(A132,'Données projet'!$A$217:$I$237,4,0)),0,VLOOKUP(A132,'Données projet'!$A$217:$I$237,4,0))</f>
        <v>143.06</v>
      </c>
      <c r="FN132" s="16">
        <f>IF(ISNA(VLOOKUP(A132,'Données projet'!$A$217:$I$237,5,0)),0%,VLOOKUP(A132,'Données projet'!$A$217:$I$237,5,0)*VLOOKUP('Données projet'!$B$16,Paramètres!$A$1:$I$89,7,0))</f>
        <v>0.23850000000000002</v>
      </c>
      <c r="FO132" s="16">
        <f>IF(ISNA(VLOOKUP(A132,'Données projet'!$A$217:$I$237,6,0)),0%,VLOOKUP(A132,'Données projet'!$A$217:$I$237,6,0)*VLOOKUP('Données projet'!$B$16,Paramètres!$A$1:$I$89,7,0))</f>
        <v>2.6500000000000003E-2</v>
      </c>
      <c r="FP132" s="16">
        <f>IF(ISNA(VLOOKUP(A132,'Données projet'!$A$217:$I$237,7,0)),0%,VLOOKUP(A132,'Données projet'!$A$217:$I$237,7,0))</f>
        <v>0.05</v>
      </c>
      <c r="FQ132" s="21">
        <f>EXP(-LN(2)/35)*FQ131+(1-EXP(-LN(2)/35))/(LN(2)/35)*FM132*FN132*VLOOKUP('Données projet'!$B$16,Paramètres!$A$1:$I$89,3,0)*0.475*44/12</f>
        <v>57.99790736826651</v>
      </c>
      <c r="FR132" s="21">
        <f>EXP(-LN(2)/25)*FR131+(1-EXP(-LN(2)/25))/(LN(2)/25)*Calculateur!FM132*Calculateur!FO132*VLOOKUP('Données projet'!$B$16,Paramètres!$A$1:$I$89,3,0)*0.475*44/12</f>
        <v>30.008045514265596</v>
      </c>
      <c r="FS132" s="21">
        <f>EXP(-LN(2)/2)*FS131+(1-EXP(-LN(2)/2))/(LN(2)/2)*FM132*FP132*VLOOKUP('Données projet'!$B$16,Paramètres!$A$1:$I$89,3,0)*0.475*44/12</f>
        <v>5.9811179210146559</v>
      </c>
      <c r="FT132" s="22">
        <f t="shared" ref="FT132:FT153" si="132">SUM(FQ132:FS132)</f>
        <v>93.987070803546771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9.0229999999999961</v>
      </c>
      <c r="FZ132" s="12">
        <f>IF('Données projet'!$A$244&gt;35,FZ131+FY132-GH131,IF(A132&lt;'Données projet'!$A$244,$FW$205^A132,IF(A132='Données projet'!$A$244,'Données projet'!$B$244,FZ131+FY132-GH131)))</f>
        <v>439.16500000000076</v>
      </c>
      <c r="GA132" s="17">
        <f>FZ132*VLOOKUP('Données projet'!$B$17,Paramètres!$A$1:$I$89,3,0)*VLOOKUP('Données projet'!$B$17,Paramètres!$A$1:$I$89,5,0)</f>
        <v>397.35649200000069</v>
      </c>
      <c r="GB132" s="13">
        <f t="shared" si="103"/>
        <v>91.240527898934658</v>
      </c>
      <c r="GC132" s="20">
        <f t="shared" ref="GC132:GC153" si="133">(GA132+GB132)*0.475*44/12</f>
        <v>850.97314299064567</v>
      </c>
      <c r="GD132" s="59">
        <f t="shared" ref="GD132:GD195" si="134">GC132+(FU132+FV132)*44/12</f>
        <v>1144.306476323979</v>
      </c>
      <c r="GE132" s="59">
        <f ca="1">AVERAGE(OFFSET($GD$3,0,0,'Données projet'!$E$17+1,1))-AVERAGE(OFFSET($H$3,0,0,'Données projet'!$E$17+1,1))</f>
        <v>486.55344536255876</v>
      </c>
      <c r="GF132" s="59">
        <f t="shared" si="104"/>
        <v>231.14794884432229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34.972675172041939</v>
      </c>
      <c r="GM132" s="21">
        <f>EXP(-LN(2)/25)*GM131+(1-EXP(-LN(2)/25))/(LN(2)/25)*Calculateur!GH132*Calculateur!GJ132*VLOOKUP('Données projet'!$B$17,Paramètres!$A$1:$I$89,3,0)*0.475*44/12</f>
        <v>21.321065077391403</v>
      </c>
      <c r="GN132" s="21">
        <f>EXP(-LN(2)/2)*GN131+(1-EXP(-LN(2)/2))/(LN(2)/2)*GH132*GK132*VLOOKUP('Données projet'!$B$17,Paramètres!$A$1:$I$89,3,0)*0.475*44/12</f>
        <v>0.90261833031721095</v>
      </c>
      <c r="GO132" s="21">
        <f t="shared" ref="GO132:GO153" si="135">SUM(GL132:GN132)</f>
        <v>57.196358579750552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467.68526307622614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252.08270526008477</v>
      </c>
      <c r="T133" s="59">
        <f t="shared" ref="T133:T196" si="142">$T$3</f>
        <v>239.77811108960179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95.313390539364917</v>
      </c>
      <c r="AA133" s="21">
        <f>EXP(-LN(2)/25)*AA132+(1-EXP(-LN(2)/25))/(LN(2)/25)*Calculateur!V133*Calculateur!X133*VLOOKUP('Données projet'!$B$9,Paramètres!$A$1:$I$89,3,0)*0.475*44/12</f>
        <v>23.781263484530204</v>
      </c>
      <c r="AB133" s="21">
        <f>EXP(-LN(2)/2)*AB132+(1-EXP(-LN(2)/2))/(LN(2)/2)*V133*Y133*VLOOKUP('Données projet'!$B$9,Paramètres!$A$1:$I$89,3,0)*0.475*44/12</f>
        <v>1.6689142698459933E-3</v>
      </c>
      <c r="AC133" s="22">
        <f t="shared" si="111"/>
        <v>119.09632293816496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251.64326096359997</v>
      </c>
      <c r="AO133" s="59">
        <f t="shared" ref="AO133:AO196" si="144">$AO$3</f>
        <v>256.72142151189894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34.71727722986612</v>
      </c>
      <c r="AV133" s="21">
        <f>EXP(-LN(2)/25)*AV132+(1-EXP(-LN(2)/25))/(LN(2)/25)*Calculateur!AQ133*Calculateur!AS133*VLOOKUP('Données projet'!$B$10,Paramètres!$A$1:$I$89,3,0)*0.475*44/12</f>
        <v>6.9554428838177129</v>
      </c>
      <c r="AW133" s="21">
        <f>EXP(-LN(2)/2)*AW132+(1-EXP(-LN(2)/2))/(LN(2)/2)*AQ133*AT133*VLOOKUP('Données projet'!$B$10,Paramètres!$A$1:$I$89,3,0)*0.475*44/12</f>
        <v>1.745107665872012E-9</v>
      </c>
      <c r="AX133" s="21">
        <f t="shared" si="114"/>
        <v>41.672720115428938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199.29783428981898</v>
      </c>
      <c r="BJ133" s="59">
        <f t="shared" ref="BJ133:BJ196" si="146">$BJ$3</f>
        <v>237.32002274562547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1.4413234039924789</v>
      </c>
      <c r="BQ133" s="21">
        <f>EXP(-LN(2)/25)*BQ132+(1-EXP(-LN(2)/25))/(LN(2)/25)*Calculateur!BL133*Calculateur!BN133*VLOOKUP('Données projet'!$B$11,Paramètres!$A$1:$I$89,3,0)*0.475*44/12</f>
        <v>4.1936317081672554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5.6349551121597345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112.75</v>
      </c>
      <c r="BW133" s="12">
        <f>VLOOKUP(A133,'Données projet'!$A$113:$I$133,9,0)</f>
        <v>2.4366666666666674</v>
      </c>
      <c r="BX133" s="12">
        <f t="array" ref="BX133">INDEX(BW:BW,MIN(IF(ISNUMBER(BW133:BW329),ROW(BW133:BW329),"")))</f>
        <v>2.4366666666666674</v>
      </c>
      <c r="BY133" s="12">
        <f>IF('Données projet'!$A$114&gt;35,BY132+BX133-CG132,IF(A133&lt;'Données projet'!$A$114,$BV$205^A133,IF(A133='Données projet'!$A$114,'Données projet'!$B$114,BY132+BX133-CG132)))</f>
        <v>112.75000000000026</v>
      </c>
      <c r="BZ133" s="13">
        <f>BY133*VLOOKUP('Données projet'!$B$12,Paramètres!$A$1:$I$89,3,0)*VLOOKUP('Données projet'!$B$12,Paramètres!$A$1:$I$89,5,0)</f>
        <v>94.980600000000223</v>
      </c>
      <c r="CA133" s="13">
        <f t="shared" ref="CA133:CA153" si="147">EXP(-1.0587+0.8836*LN(BZ133)+0.284)</f>
        <v>25.762634386675185</v>
      </c>
      <c r="CB133" s="20">
        <f t="shared" si="118"/>
        <v>210.29446655679297</v>
      </c>
      <c r="CC133" s="59">
        <f t="shared" si="119"/>
        <v>503.62779989012631</v>
      </c>
      <c r="CD133" s="59">
        <f ca="1">AVERAGE(OFFSET($CC$3,0,0,'Données projet'!$E$12+1,1))-AVERAGE(OFFSET($H$3,0,0,'Données projet'!$E$12+1,1))</f>
        <v>295.59075210589327</v>
      </c>
      <c r="CE133" s="59">
        <f t="shared" ref="CE133:CE196" si="148">$CE$3</f>
        <v>210.41181542059576</v>
      </c>
      <c r="CF133" s="15">
        <f>IF(ISNA(VLOOKUP(A133,'Données projet'!$A$113:$I$133,3,0)),0,VLOOKUP(A133,'Données projet'!$A$113:$I$133,3,0))</f>
        <v>14</v>
      </c>
      <c r="CG133" s="15">
        <f>IF(ISNA(VLOOKUP(A133,'Données projet'!$A$113:$I$133,4,0)),0,VLOOKUP(A133,'Données projet'!$A$113:$I$133,4,0))</f>
        <v>112.75</v>
      </c>
      <c r="CH133" s="16">
        <f>IF(ISNA(VLOOKUP(A133,'Données projet'!$A$113:$I$133,5,0)),0%,VLOOKUP(A133,'Données projet'!$A$113:$I$133,5,0)*VLOOKUP('Données projet'!$B$12,Paramètres!$A$1:$I$89,7,0))</f>
        <v>0.19350000000000001</v>
      </c>
      <c r="CI133" s="16">
        <f>IF(ISNA(VLOOKUP(A133,'Données projet'!$A$113:$I$133,6,0)),0%,VLOOKUP(A133,'Données projet'!$A$113:$I$133,6,0)*VLOOKUP('Données projet'!$B$12,Paramètres!$A$1:$I$89,7,0))</f>
        <v>2.1500000000000002E-2</v>
      </c>
      <c r="CJ133" s="16">
        <f>IF(ISNA(VLOOKUP(A133,'Données projet'!$A$113:$I$133,7,0)),0%,VLOOKUP(A133,'Données projet'!$A$113:$I$133,7,0))</f>
        <v>0.05</v>
      </c>
      <c r="CK133" s="21">
        <f>EXP(-LN(2)/35)*CK132+(1-EXP(-LN(2)/35))/(LN(2)/35)*CG133*CH133*VLOOKUP('Données projet'!$B$12,Paramètres!$A$1:$I$89,3,0)*0.475*44/12</f>
        <v>105.17580579711979</v>
      </c>
      <c r="CL133" s="21">
        <f>EXP(-LN(2)/25)*CL132+(1-EXP(-LN(2)/25))/(LN(2)/25)*Calculateur!CG133*Calculateur!CI133*VLOOKUP('Données projet'!$B$12,Paramètres!$A$1:$I$89,3,0)*0.475*44/12</f>
        <v>21.917511342152572</v>
      </c>
      <c r="CM133" s="21">
        <f>EXP(-LN(2)/2)*CM132+(1-EXP(-LN(2)/2))/(LN(2)/2)*CG133*CJ133*VLOOKUP('Données projet'!$B$12,Paramètres!$A$1:$I$89,3,0)*0.475*44/12</f>
        <v>6.3396389276682861</v>
      </c>
      <c r="CN133" s="22">
        <f t="shared" si="120"/>
        <v>133.43295606694065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5.1727511163335289E-14</v>
      </c>
      <c r="CV133" s="13">
        <f t="shared" ref="CV133:CV153" si="149">EXP(-1.0587+0.8836*LN(CU133)+0.284)</f>
        <v>8.3906664221915895E-13</v>
      </c>
      <c r="CW133" s="20">
        <f t="shared" si="121"/>
        <v>1.551466483807844E-12</v>
      </c>
      <c r="CX133" s="59">
        <f t="shared" si="122"/>
        <v>293.33333333333485</v>
      </c>
      <c r="CY133" s="59">
        <f ca="1">AVERAGE(OFFSET($CX$3,0,0,'Données projet'!$E$13+1,1))-AVERAGE(OFFSET($H$3,0,0,'Données projet'!$E$13+1,1))</f>
        <v>338.22448697444298</v>
      </c>
      <c r="CZ133" s="59">
        <f t="shared" ref="CZ133:CZ196" si="150">$CZ$3</f>
        <v>293.3872365640849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79.021866052781604</v>
      </c>
      <c r="DG133" s="21">
        <f>EXP(-LN(2)/25)*DG132+(1-EXP(-LN(2)/25))/(LN(2)/25)*Calculateur!DB133*Calculateur!DD133*VLOOKUP('Données projet'!$B$13,Paramètres!$A$1:$I$89,3,0)*0.475*44/12</f>
        <v>18.502627121352738</v>
      </c>
      <c r="DH133" s="21">
        <f>EXP(-LN(2)/2)*DH132+(1-EXP(-LN(2)/2))/(LN(2)/2)*DB133*DE133*VLOOKUP('Données projet'!$B$13,Paramètres!$A$1:$I$89,3,0)*0.475*44/12</f>
        <v>2.4114778733353295E-6</v>
      </c>
      <c r="DI133" s="22">
        <f t="shared" si="123"/>
        <v>97.524495585612215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5.6843418860808015E-13</v>
      </c>
      <c r="DP133" s="17">
        <f>DO133*VLOOKUP('Données projet'!$B$14,Paramètres!$A$1:$I$89,3,0)*VLOOKUP('Données projet'!$B$14,Paramètres!$A$1:$I$89,5,0)</f>
        <v>3.177547114319168E-13</v>
      </c>
      <c r="DQ133" s="13">
        <f t="shared" ref="DQ133:DQ153" si="151">EXP(-1.0587+0.8836*LN(DP133)+0.284)</f>
        <v>4.1725404435445377E-12</v>
      </c>
      <c r="DR133" s="20">
        <f t="shared" si="124"/>
        <v>7.820597394917325E-12</v>
      </c>
      <c r="DS133" s="59">
        <f t="shared" si="125"/>
        <v>293.33333333334116</v>
      </c>
      <c r="DT133" s="59">
        <f ca="1">AVERAGE(OFFSET($DS$3,0,0,'Données projet'!$E$14+1,1))-AVERAGE(OFFSET($H$3,0,0,'Données projet'!$E$14+1,1))</f>
        <v>328.15217666639006</v>
      </c>
      <c r="DU133" s="59">
        <f t="shared" ref="DU133:DU196" si="152">$DU$3</f>
        <v>305.59175773326308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70.32145940331219</v>
      </c>
      <c r="EB133" s="21">
        <f>EXP(-LN(2)/25)*EB132+(1-EXP(-LN(2)/25))/(LN(2)/25)*Calculateur!DW133*Calculateur!DY133*VLOOKUP('Données projet'!$B$14,Paramètres!$A$1:$I$89,3,0)*0.475*44/12</f>
        <v>14.542797470695454</v>
      </c>
      <c r="EC133" s="21">
        <f>EXP(-LN(2)/2)*EC132+(1-EXP(-LN(2)/2))/(LN(2)/2)*DW133*DZ133*VLOOKUP('Données projet'!$B$14,Paramètres!$A$1:$I$89,3,0)*0.475*44/12</f>
        <v>7.0319999310020273E-8</v>
      </c>
      <c r="ED133" s="22">
        <f t="shared" si="126"/>
        <v>84.86425694432765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159.78276497127206</v>
      </c>
      <c r="EP133" s="59">
        <f t="shared" ref="EP133:EP196" si="154">$EP$3</f>
        <v>190.72163407919857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1.6740888502694247</v>
      </c>
      <c r="EW133" s="21">
        <f>EXP(-LN(2)/25)*EW132+(1-EXP(-LN(2)/25))/(LN(2)/25)*Calculateur!ER133*Calculateur!ET133*VLOOKUP('Données projet'!$B$15,Paramètres!$A$1:$I$89,3,0)*0.475*44/12</f>
        <v>4.8708791277046108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6.5449679779740357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6.6920000000000073</v>
      </c>
      <c r="FE133" s="12">
        <f>IF('Données projet'!$A$218&gt;35,FE132+FD133-FM132,IF(A133&lt;'Données projet'!$A$218,$FB$205^A133,IF(A133='Données projet'!$A$218,'Données projet'!$B$218,FE132+FD133-FM132)))</f>
        <v>263.40200000000061</v>
      </c>
      <c r="FF133" s="17">
        <f>FE133*VLOOKUP('Données projet'!$B$16,Paramètres!$A$1:$I$89,3,0)*VLOOKUP('Données projet'!$B$16,Paramètres!$A$1:$I$89,5,0)</f>
        <v>225.99891600000055</v>
      </c>
      <c r="FG133" s="13">
        <f t="shared" ref="FG133:FG153" si="155">EXP(-1.0587+0.8836*LN(FF133)+0.284)</f>
        <v>55.416672004775094</v>
      </c>
      <c r="FH133" s="20">
        <f t="shared" si="130"/>
        <v>490.13214910831761</v>
      </c>
      <c r="FI133" s="59">
        <f t="shared" si="131"/>
        <v>783.46548244165092</v>
      </c>
      <c r="FJ133" s="59">
        <f ca="1">AVERAGE(OFFSET($FI$3,0,0,'Données projet'!$E$16+1,1))-AVERAGE(OFFSET($H$3,0,0,'Données projet'!$E$16+1,1))</f>
        <v>337.15023592377008</v>
      </c>
      <c r="FK133" s="59">
        <f t="shared" ref="FK133:FK196" si="156">$FK$3</f>
        <v>286.60608582587099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56.860603780005285</v>
      </c>
      <c r="FR133" s="21">
        <f>EXP(-LN(2)/25)*FR132+(1-EXP(-LN(2)/25))/(LN(2)/25)*Calculateur!FM133*Calculateur!FO133*VLOOKUP('Données projet'!$B$16,Paramètres!$A$1:$I$89,3,0)*0.475*44/12</f>
        <v>29.187473931623476</v>
      </c>
      <c r="FS133" s="21">
        <f>EXP(-LN(2)/2)*FS132+(1-EXP(-LN(2)/2))/(LN(2)/2)*FM133*FP133*VLOOKUP('Données projet'!$B$16,Paramètres!$A$1:$I$89,3,0)*0.475*44/12</f>
        <v>4.229289041025849</v>
      </c>
      <c r="FT133" s="22">
        <f t="shared" si="132"/>
        <v>90.277366752654615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9.0229999999999961</v>
      </c>
      <c r="FZ133" s="12">
        <f>IF('Données projet'!$A$244&gt;35,FZ132+FY133-GH132,IF(A133&lt;'Données projet'!$A$244,$FW$205^A133,IF(A133='Données projet'!$A$244,'Données projet'!$B$244,FZ132+FY133-GH132)))</f>
        <v>448.18800000000078</v>
      </c>
      <c r="GA133" s="17">
        <f>FZ133*VLOOKUP('Données projet'!$B$17,Paramètres!$A$1:$I$89,3,0)*VLOOKUP('Données projet'!$B$17,Paramètres!$A$1:$I$89,5,0)</f>
        <v>405.52050240000068</v>
      </c>
      <c r="GB133" s="13">
        <f t="shared" ref="GB133:GB153" si="157">EXP(-1.0587+0.8836*LN(GA133)+0.284)</f>
        <v>92.894967969753338</v>
      </c>
      <c r="GC133" s="20">
        <f t="shared" si="133"/>
        <v>868.07361089398819</v>
      </c>
      <c r="GD133" s="59">
        <f t="shared" si="134"/>
        <v>1161.4069442273214</v>
      </c>
      <c r="GE133" s="59">
        <f ca="1">AVERAGE(OFFSET($GD$3,0,0,'Données projet'!$E$17+1,1))-AVERAGE(OFFSET($H$3,0,0,'Données projet'!$E$17+1,1))</f>
        <v>486.55344536255876</v>
      </c>
      <c r="GF133" s="59">
        <f t="shared" ref="GF133:GF196" si="158">$GF$3</f>
        <v>231.14794884432229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34.286882343143766</v>
      </c>
      <c r="GM133" s="21">
        <f>EXP(-LN(2)/25)*GM132+(1-EXP(-LN(2)/25))/(LN(2)/25)*Calculateur!GH133*Calculateur!GJ133*VLOOKUP('Données projet'!$B$17,Paramètres!$A$1:$I$89,3,0)*0.475*44/12</f>
        <v>20.738039431624053</v>
      </c>
      <c r="GN133" s="21">
        <f>EXP(-LN(2)/2)*GN132+(1-EXP(-LN(2)/2))/(LN(2)/2)*GH133*GK133*VLOOKUP('Données projet'!$B$17,Paramètres!$A$1:$I$89,3,0)*0.475*44/12</f>
        <v>0.638247542190579</v>
      </c>
      <c r="GO133" s="21">
        <f t="shared" si="135"/>
        <v>55.663169316958395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469.26804530832442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252.08270526008477</v>
      </c>
      <c r="T134" s="59">
        <f t="shared" si="142"/>
        <v>239.77811108960179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93.4443530863158</v>
      </c>
      <c r="AA134" s="21">
        <f>EXP(-LN(2)/25)*AA133+(1-EXP(-LN(2)/25))/(LN(2)/25)*Calculateur!V134*Calculateur!X134*VLOOKUP('Données projet'!$B$9,Paramètres!$A$1:$I$89,3,0)*0.475*44/12</f>
        <v>23.13096358394343</v>
      </c>
      <c r="AB134" s="21">
        <f>EXP(-LN(2)/2)*AB133+(1-EXP(-LN(2)/2))/(LN(2)/2)*V134*Y134*VLOOKUP('Données projet'!$B$9,Paramètres!$A$1:$I$89,3,0)*0.475*44/12</f>
        <v>1.1801005974270975E-3</v>
      </c>
      <c r="AC134" s="22">
        <f t="shared" si="111"/>
        <v>116.57649677085665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251.64326096359997</v>
      </c>
      <c r="AO134" s="59">
        <f t="shared" si="144"/>
        <v>256.72142151189894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34.036492598836652</v>
      </c>
      <c r="AV134" s="21">
        <f>EXP(-LN(2)/25)*AV133+(1-EXP(-LN(2)/25))/(LN(2)/25)*Calculateur!AQ134*Calculateur!AS134*VLOOKUP('Données projet'!$B$10,Paramètres!$A$1:$I$89,3,0)*0.475*44/12</f>
        <v>6.765245932388873</v>
      </c>
      <c r="AW134" s="21">
        <f>EXP(-LN(2)/2)*AW133+(1-EXP(-LN(2)/2))/(LN(2)/2)*AQ134*AT134*VLOOKUP('Données projet'!$B$10,Paramètres!$A$1:$I$89,3,0)*0.475*44/12</f>
        <v>1.2339774644387274E-9</v>
      </c>
      <c r="AX134" s="21">
        <f t="shared" si="114"/>
        <v>40.801738532459503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199.29783428981898</v>
      </c>
      <c r="BJ134" s="59">
        <f t="shared" si="146"/>
        <v>237.32002274562547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1.4130599311606569</v>
      </c>
      <c r="BQ134" s="21">
        <f>EXP(-LN(2)/25)*BQ133+(1-EXP(-LN(2)/25))/(LN(2)/25)*Calculateur!BL134*Calculateur!BN134*VLOOKUP('Données projet'!$B$11,Paramètres!$A$1:$I$89,3,0)*0.475*44/12</f>
        <v>4.0789566285739145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5.4920165597345711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2.5579538487363607E-13</v>
      </c>
      <c r="BZ134" s="13">
        <f>BY134*VLOOKUP('Données projet'!$B$12,Paramètres!$A$1:$I$89,3,0)*VLOOKUP('Données projet'!$B$12,Paramètres!$A$1:$I$89,5,0)</f>
        <v>2.1548203221755105E-13</v>
      </c>
      <c r="CA134" s="13">
        <f t="shared" si="147"/>
        <v>2.9604251148637229E-12</v>
      </c>
      <c r="CB134" s="20">
        <f t="shared" si="118"/>
        <v>5.5313716144998842E-12</v>
      </c>
      <c r="CC134" s="59">
        <f t="shared" si="119"/>
        <v>293.33333333333883</v>
      </c>
      <c r="CD134" s="59">
        <f ca="1">AVERAGE(OFFSET($CC$3,0,0,'Données projet'!$E$12+1,1))-AVERAGE(OFFSET($H$3,0,0,'Données projet'!$E$12+1,1))</f>
        <v>295.59075210589327</v>
      </c>
      <c r="CE134" s="59">
        <f t="shared" si="148"/>
        <v>210.41181542059576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103.11337239634544</v>
      </c>
      <c r="CL134" s="21">
        <f>EXP(-LN(2)/25)*CL133+(1-EXP(-LN(2)/25))/(LN(2)/25)*Calculateur!CG134*Calculateur!CI134*VLOOKUP('Données projet'!$B$12,Paramètres!$A$1:$I$89,3,0)*0.475*44/12</f>
        <v>21.318175841909582</v>
      </c>
      <c r="CM134" s="21">
        <f>EXP(-LN(2)/2)*CM133+(1-EXP(-LN(2)/2))/(LN(2)/2)*CG134*CJ134*VLOOKUP('Données projet'!$B$12,Paramètres!$A$1:$I$89,3,0)*0.475*44/12</f>
        <v>4.4828016760284575</v>
      </c>
      <c r="CN134" s="22">
        <f t="shared" si="120"/>
        <v>128.91434991428346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5.1727511163335289E-14</v>
      </c>
      <c r="CV134" s="13">
        <f t="shared" si="149"/>
        <v>8.3906664221915895E-13</v>
      </c>
      <c r="CW134" s="20">
        <f t="shared" si="121"/>
        <v>1.551466483807844E-12</v>
      </c>
      <c r="CX134" s="59">
        <f t="shared" si="122"/>
        <v>293.33333333333485</v>
      </c>
      <c r="CY134" s="59">
        <f ca="1">AVERAGE(OFFSET($CX$3,0,0,'Données projet'!$E$13+1,1))-AVERAGE(OFFSET($H$3,0,0,'Données projet'!$E$13+1,1))</f>
        <v>338.22448697444298</v>
      </c>
      <c r="CZ134" s="59">
        <f t="shared" si="150"/>
        <v>293.3872365640849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77.472295458065631</v>
      </c>
      <c r="DG134" s="21">
        <f>EXP(-LN(2)/25)*DG133+(1-EXP(-LN(2)/25))/(LN(2)/25)*Calculateur!DB134*Calculateur!DD134*VLOOKUP('Données projet'!$B$13,Paramètres!$A$1:$I$89,3,0)*0.475*44/12</f>
        <v>17.996671809708474</v>
      </c>
      <c r="DH134" s="21">
        <f>EXP(-LN(2)/2)*DH133+(1-EXP(-LN(2)/2))/(LN(2)/2)*DB134*DE134*VLOOKUP('Données projet'!$B$13,Paramètres!$A$1:$I$89,3,0)*0.475*44/12</f>
        <v>1.7051723569167259E-6</v>
      </c>
      <c r="DI134" s="22">
        <f t="shared" si="123"/>
        <v>95.468968972946456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5.6843418860808015E-13</v>
      </c>
      <c r="DP134" s="17">
        <f>DO134*VLOOKUP('Données projet'!$B$14,Paramètres!$A$1:$I$89,3,0)*VLOOKUP('Données projet'!$B$14,Paramètres!$A$1:$I$89,5,0)</f>
        <v>3.177547114319168E-13</v>
      </c>
      <c r="DQ134" s="13">
        <f t="shared" si="151"/>
        <v>4.1725404435445377E-12</v>
      </c>
      <c r="DR134" s="20">
        <f t="shared" si="124"/>
        <v>7.820597394917325E-12</v>
      </c>
      <c r="DS134" s="59">
        <f t="shared" si="125"/>
        <v>293.33333333334116</v>
      </c>
      <c r="DT134" s="59">
        <f ca="1">AVERAGE(OFFSET($DS$3,0,0,'Données projet'!$E$14+1,1))-AVERAGE(OFFSET($H$3,0,0,'Données projet'!$E$14+1,1))</f>
        <v>328.15217666639006</v>
      </c>
      <c r="DU134" s="59">
        <f t="shared" si="152"/>
        <v>305.59175773326308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68.942498476268256</v>
      </c>
      <c r="EB134" s="21">
        <f>EXP(-LN(2)/25)*EB133+(1-EXP(-LN(2)/25))/(LN(2)/25)*Calculateur!DW134*Calculateur!DY134*VLOOKUP('Données projet'!$B$14,Paramètres!$A$1:$I$89,3,0)*0.475*44/12</f>
        <v>14.145123909086806</v>
      </c>
      <c r="EC134" s="21">
        <f>EXP(-LN(2)/2)*EC133+(1-EXP(-LN(2)/2))/(LN(2)/2)*DW134*DZ134*VLOOKUP('Données projet'!$B$14,Paramètres!$A$1:$I$89,3,0)*0.475*44/12</f>
        <v>4.9723748365148679E-8</v>
      </c>
      <c r="ED134" s="22">
        <f t="shared" si="126"/>
        <v>83.087622435078814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159.78276497127206</v>
      </c>
      <c r="EP134" s="59">
        <f t="shared" si="154"/>
        <v>190.72163407919857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1.6412609890090153</v>
      </c>
      <c r="EW134" s="21">
        <f>EXP(-LN(2)/25)*EW133+(1-EXP(-LN(2)/25))/(LN(2)/25)*Calculateur!ER134*Calculateur!ET134*VLOOKUP('Données projet'!$B$15,Paramètres!$A$1:$I$89,3,0)*0.475*44/12</f>
        <v>4.7376846818091272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6.3789456708181422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6.6920000000000073</v>
      </c>
      <c r="FE134" s="12">
        <f>IF('Données projet'!$A$218&gt;35,FE133+FD134-FM133,IF(A134&lt;'Données projet'!$A$218,$FB$205^A134,IF(A134='Données projet'!$A$218,'Données projet'!$B$218,FE133+FD134-FM133)))</f>
        <v>270.09400000000062</v>
      </c>
      <c r="FF134" s="17">
        <f>FE134*VLOOKUP('Données projet'!$B$16,Paramètres!$A$1:$I$89,3,0)*VLOOKUP('Données projet'!$B$16,Paramètres!$A$1:$I$89,5,0)</f>
        <v>231.74065200000055</v>
      </c>
      <c r="FG134" s="13">
        <f t="shared" si="155"/>
        <v>56.658885878990617</v>
      </c>
      <c r="FH134" s="20">
        <f t="shared" si="130"/>
        <v>502.29586180590962</v>
      </c>
      <c r="FI134" s="59">
        <f t="shared" si="131"/>
        <v>795.62919513924294</v>
      </c>
      <c r="FJ134" s="59">
        <f ca="1">AVERAGE(OFFSET($FI$3,0,0,'Données projet'!$E$16+1,1))-AVERAGE(OFFSET($H$3,0,0,'Données projet'!$E$16+1,1))</f>
        <v>337.15023592377008</v>
      </c>
      <c r="FK134" s="59">
        <f t="shared" si="156"/>
        <v>286.60608582587099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55.745602021423167</v>
      </c>
      <c r="FR134" s="21">
        <f>EXP(-LN(2)/25)*FR133+(1-EXP(-LN(2)/25))/(LN(2)/25)*Calculateur!FM134*Calculateur!FO134*VLOOKUP('Données projet'!$B$16,Paramètres!$A$1:$I$89,3,0)*0.475*44/12</f>
        <v>28.389340922060686</v>
      </c>
      <c r="FS134" s="21">
        <f>EXP(-LN(2)/2)*FS133+(1-EXP(-LN(2)/2))/(LN(2)/2)*FM134*FP134*VLOOKUP('Données projet'!$B$16,Paramètres!$A$1:$I$89,3,0)*0.475*44/12</f>
        <v>2.9905589605073288</v>
      </c>
      <c r="FT134" s="22">
        <f t="shared" si="132"/>
        <v>87.125501903991179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9.0229999999999961</v>
      </c>
      <c r="FZ134" s="12">
        <f>IF('Données projet'!$A$244&gt;35,FZ133+FY134-GH133,IF(A134&lt;'Données projet'!$A$244,$FW$205^A134,IF(A134='Données projet'!$A$244,'Données projet'!$B$244,FZ133+FY134-GH133)))</f>
        <v>457.21100000000081</v>
      </c>
      <c r="GA134" s="17">
        <f>FZ134*VLOOKUP('Données projet'!$B$17,Paramètres!$A$1:$I$89,3,0)*VLOOKUP('Données projet'!$B$17,Paramètres!$A$1:$I$89,5,0)</f>
        <v>413.68451280000073</v>
      </c>
      <c r="GB134" s="13">
        <f t="shared" si="157"/>
        <v>94.545535312483779</v>
      </c>
      <c r="GC134" s="20">
        <f t="shared" si="133"/>
        <v>885.16733379591051</v>
      </c>
      <c r="GD134" s="59">
        <f t="shared" si="134"/>
        <v>1178.5006671292438</v>
      </c>
      <c r="GE134" s="59">
        <f ca="1">AVERAGE(OFFSET($GD$3,0,0,'Données projet'!$E$17+1,1))-AVERAGE(OFFSET($H$3,0,0,'Données projet'!$E$17+1,1))</f>
        <v>486.55344536255876</v>
      </c>
      <c r="GF134" s="59">
        <f t="shared" si="158"/>
        <v>231.14794884432229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33.614537493327965</v>
      </c>
      <c r="GM134" s="21">
        <f>EXP(-LN(2)/25)*GM133+(1-EXP(-LN(2)/25))/(LN(2)/25)*Calculateur!GH134*Calculateur!GJ134*VLOOKUP('Données projet'!$B$17,Paramètres!$A$1:$I$89,3,0)*0.475*44/12</f>
        <v>20.170956652800196</v>
      </c>
      <c r="GN134" s="21">
        <f>EXP(-LN(2)/2)*GN133+(1-EXP(-LN(2)/2))/(LN(2)/2)*GH134*GK134*VLOOKUP('Données projet'!$B$17,Paramètres!$A$1:$I$89,3,0)*0.475*44/12</f>
        <v>0.45130916515860553</v>
      </c>
      <c r="GO134" s="21">
        <f t="shared" si="135"/>
        <v>54.236803311286764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470.85055594674054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252.08270526008477</v>
      </c>
      <c r="T135" s="59">
        <f t="shared" si="142"/>
        <v>239.77811108960179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91.6119663177207</v>
      </c>
      <c r="AA135" s="21">
        <f>EXP(-LN(2)/25)*AA134+(1-EXP(-LN(2)/25))/(LN(2)/25)*Calculateur!V135*Calculateur!X135*VLOOKUP('Données projet'!$B$9,Paramètres!$A$1:$I$89,3,0)*0.475*44/12</f>
        <v>22.498446168335988</v>
      </c>
      <c r="AB135" s="21">
        <f>EXP(-LN(2)/2)*AB134+(1-EXP(-LN(2)/2))/(LN(2)/2)*V135*Y135*VLOOKUP('Données projet'!$B$9,Paramètres!$A$1:$I$89,3,0)*0.475*44/12</f>
        <v>8.3445713492299664E-4</v>
      </c>
      <c r="AC135" s="22">
        <f t="shared" si="111"/>
        <v>114.11124694319162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251.64326096359997</v>
      </c>
      <c r="AO135" s="59">
        <f t="shared" si="144"/>
        <v>256.72142151189894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33.369057739184051</v>
      </c>
      <c r="AV135" s="21">
        <f>EXP(-LN(2)/25)*AV134+(1-EXP(-LN(2)/25))/(LN(2)/25)*Calculateur!AQ135*Calculateur!AS135*VLOOKUP('Données projet'!$B$10,Paramètres!$A$1:$I$89,3,0)*0.475*44/12</f>
        <v>6.5802499265988779</v>
      </c>
      <c r="AW135" s="21">
        <f>EXP(-LN(2)/2)*AW134+(1-EXP(-LN(2)/2))/(LN(2)/2)*AQ135*AT135*VLOOKUP('Données projet'!$B$10,Paramètres!$A$1:$I$89,3,0)*0.475*44/12</f>
        <v>8.7255383293600598E-10</v>
      </c>
      <c r="AX135" s="21">
        <f t="shared" si="114"/>
        <v>39.949307666655478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199.29783428981898</v>
      </c>
      <c r="BJ135" s="59">
        <f t="shared" si="146"/>
        <v>237.32002274562547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1.3853506877920507</v>
      </c>
      <c r="BQ135" s="21">
        <f>EXP(-LN(2)/25)*BQ134+(1-EXP(-LN(2)/25))/(LN(2)/25)*Calculateur!BL135*Calculateur!BN135*VLOOKUP('Données projet'!$B$11,Paramètres!$A$1:$I$89,3,0)*0.475*44/12</f>
        <v>3.9674173450625543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5.3527680328546055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2.5579538487363607E-13</v>
      </c>
      <c r="BZ135" s="13">
        <f>BY135*VLOOKUP('Données projet'!$B$12,Paramètres!$A$1:$I$89,3,0)*VLOOKUP('Données projet'!$B$12,Paramètres!$A$1:$I$89,5,0)</f>
        <v>2.1548203221755105E-13</v>
      </c>
      <c r="CA135" s="13">
        <f t="shared" si="147"/>
        <v>2.9604251148637229E-12</v>
      </c>
      <c r="CB135" s="20">
        <f t="shared" si="118"/>
        <v>5.5313716144998842E-12</v>
      </c>
      <c r="CC135" s="59">
        <f t="shared" si="119"/>
        <v>293.33333333333883</v>
      </c>
      <c r="CD135" s="59">
        <f ca="1">AVERAGE(OFFSET($CC$3,0,0,'Données projet'!$E$12+1,1))-AVERAGE(OFFSET($H$3,0,0,'Données projet'!$E$12+1,1))</f>
        <v>295.59075210589327</v>
      </c>
      <c r="CE135" s="59">
        <f t="shared" si="148"/>
        <v>210.41181542059576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101.09138205660011</v>
      </c>
      <c r="CL135" s="21">
        <f>EXP(-LN(2)/25)*CL134+(1-EXP(-LN(2)/25))/(LN(2)/25)*Calculateur!CG135*Calculateur!CI135*VLOOKUP('Données projet'!$B$12,Paramètres!$A$1:$I$89,3,0)*0.475*44/12</f>
        <v>20.735229202438422</v>
      </c>
      <c r="CM135" s="21">
        <f>EXP(-LN(2)/2)*CM134+(1-EXP(-LN(2)/2))/(LN(2)/2)*CG135*CJ135*VLOOKUP('Données projet'!$B$12,Paramètres!$A$1:$I$89,3,0)*0.475*44/12</f>
        <v>3.169819463834143</v>
      </c>
      <c r="CN135" s="22">
        <f t="shared" si="120"/>
        <v>124.99643072287267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5.1727511163335289E-14</v>
      </c>
      <c r="CV135" s="13">
        <f t="shared" si="149"/>
        <v>8.3906664221915895E-13</v>
      </c>
      <c r="CW135" s="20">
        <f t="shared" si="121"/>
        <v>1.551466483807844E-12</v>
      </c>
      <c r="CX135" s="59">
        <f t="shared" si="122"/>
        <v>293.33333333333485</v>
      </c>
      <c r="CY135" s="59">
        <f ca="1">AVERAGE(OFFSET($CX$3,0,0,'Données projet'!$E$13+1,1))-AVERAGE(OFFSET($H$3,0,0,'Données projet'!$E$13+1,1))</f>
        <v>338.22448697444298</v>
      </c>
      <c r="CZ135" s="59">
        <f t="shared" si="150"/>
        <v>293.3872365640849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75.953110997567308</v>
      </c>
      <c r="DG135" s="21">
        <f>EXP(-LN(2)/25)*DG134+(1-EXP(-LN(2)/25))/(LN(2)/25)*Calculateur!DB135*Calculateur!DD135*VLOOKUP('Données projet'!$B$13,Paramètres!$A$1:$I$89,3,0)*0.475*44/12</f>
        <v>17.504551872668156</v>
      </c>
      <c r="DH135" s="21">
        <f>EXP(-LN(2)/2)*DH134+(1-EXP(-LN(2)/2))/(LN(2)/2)*DB135*DE135*VLOOKUP('Données projet'!$B$13,Paramètres!$A$1:$I$89,3,0)*0.475*44/12</f>
        <v>1.2057389366676648E-6</v>
      </c>
      <c r="DI135" s="22">
        <f t="shared" si="123"/>
        <v>93.457664075974407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5.6843418860808015E-13</v>
      </c>
      <c r="DP135" s="17">
        <f>DO135*VLOOKUP('Données projet'!$B$14,Paramètres!$A$1:$I$89,3,0)*VLOOKUP('Données projet'!$B$14,Paramètres!$A$1:$I$89,5,0)</f>
        <v>3.177547114319168E-13</v>
      </c>
      <c r="DQ135" s="13">
        <f t="shared" si="151"/>
        <v>4.1725404435445377E-12</v>
      </c>
      <c r="DR135" s="20">
        <f t="shared" si="124"/>
        <v>7.820597394917325E-12</v>
      </c>
      <c r="DS135" s="59">
        <f t="shared" si="125"/>
        <v>293.33333333334116</v>
      </c>
      <c r="DT135" s="59">
        <f ca="1">AVERAGE(OFFSET($DS$3,0,0,'Données projet'!$E$14+1,1))-AVERAGE(OFFSET($H$3,0,0,'Données projet'!$E$14+1,1))</f>
        <v>328.15217666639006</v>
      </c>
      <c r="DU135" s="59">
        <f t="shared" si="152"/>
        <v>305.59175773326308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67.590578131920537</v>
      </c>
      <c r="EB135" s="21">
        <f>EXP(-LN(2)/25)*EB134+(1-EXP(-LN(2)/25))/(LN(2)/25)*Calculateur!DW135*Calculateur!DY135*VLOOKUP('Données projet'!$B$14,Paramètres!$A$1:$I$89,3,0)*0.475*44/12</f>
        <v>13.75832475193309</v>
      </c>
      <c r="EC135" s="21">
        <f>EXP(-LN(2)/2)*EC134+(1-EXP(-LN(2)/2))/(LN(2)/2)*DW135*DZ135*VLOOKUP('Données projet'!$B$14,Paramètres!$A$1:$I$89,3,0)*0.475*44/12</f>
        <v>3.5159999655010136E-8</v>
      </c>
      <c r="ED135" s="22">
        <f t="shared" si="126"/>
        <v>81.348902919013625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159.78276497127206</v>
      </c>
      <c r="EP135" s="59">
        <f t="shared" si="154"/>
        <v>190.72163407919857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1.6090768620849043</v>
      </c>
      <c r="EW135" s="21">
        <f>EXP(-LN(2)/25)*EW134+(1-EXP(-LN(2)/25))/(LN(2)/25)*Calculateur!ER135*Calculateur!ET135*VLOOKUP('Données projet'!$B$15,Paramètres!$A$1:$I$89,3,0)*0.475*44/12</f>
        <v>4.608132445041047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6.2172093071259518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6.6920000000000073</v>
      </c>
      <c r="FE135" s="12">
        <f>IF('Données projet'!$A$218&gt;35,FE134+FD135-FM134,IF(A135&lt;'Données projet'!$A$218,$FB$205^A135,IF(A135='Données projet'!$A$218,'Données projet'!$B$218,FE134+FD135-FM134)))</f>
        <v>276.78600000000063</v>
      </c>
      <c r="FF135" s="17">
        <f>FE135*VLOOKUP('Données projet'!$B$16,Paramètres!$A$1:$I$89,3,0)*VLOOKUP('Données projet'!$B$16,Paramètres!$A$1:$I$89,5,0)</f>
        <v>237.48238800000055</v>
      </c>
      <c r="FG135" s="13">
        <f t="shared" si="155"/>
        <v>57.897521993134497</v>
      </c>
      <c r="FH135" s="20">
        <f t="shared" si="130"/>
        <v>514.45334323804366</v>
      </c>
      <c r="FI135" s="59">
        <f t="shared" si="131"/>
        <v>807.78667657137703</v>
      </c>
      <c r="FJ135" s="59">
        <f ca="1">AVERAGE(OFFSET($FI$3,0,0,'Données projet'!$E$16+1,1))-AVERAGE(OFFSET($H$3,0,0,'Données projet'!$E$16+1,1))</f>
        <v>337.15023592377008</v>
      </c>
      <c r="FK135" s="59">
        <f t="shared" si="156"/>
        <v>286.60608582587099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54.652464767242925</v>
      </c>
      <c r="FR135" s="21">
        <f>EXP(-LN(2)/25)*FR134+(1-EXP(-LN(2)/25))/(LN(2)/25)*Calculateur!FM135*Calculateur!FO135*VLOOKUP('Données projet'!$B$16,Paramètres!$A$1:$I$89,3,0)*0.475*44/12</f>
        <v>27.613032901616382</v>
      </c>
      <c r="FS135" s="21">
        <f>EXP(-LN(2)/2)*FS134+(1-EXP(-LN(2)/2))/(LN(2)/2)*FM135*FP135*VLOOKUP('Données projet'!$B$16,Paramètres!$A$1:$I$89,3,0)*0.475*44/12</f>
        <v>2.114644520512925</v>
      </c>
      <c r="FT135" s="22">
        <f t="shared" si="132"/>
        <v>84.380142189372236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9.0229999999999961</v>
      </c>
      <c r="FZ135" s="12">
        <f>IF('Données projet'!$A$244&gt;35,FZ134+FY135-GH134,IF(A135&lt;'Données projet'!$A$244,$FW$205^A135,IF(A135='Données projet'!$A$244,'Données projet'!$B$244,FZ134+FY135-GH134)))</f>
        <v>466.23400000000083</v>
      </c>
      <c r="GA135" s="17">
        <f>FZ135*VLOOKUP('Données projet'!$B$17,Paramètres!$A$1:$I$89,3,0)*VLOOKUP('Données projet'!$B$17,Paramètres!$A$1:$I$89,5,0)</f>
        <v>421.84852320000078</v>
      </c>
      <c r="GB135" s="13">
        <f t="shared" si="157"/>
        <v>96.192315164348642</v>
      </c>
      <c r="GC135" s="20">
        <f t="shared" si="133"/>
        <v>902.2544601512418</v>
      </c>
      <c r="GD135" s="59">
        <f t="shared" si="134"/>
        <v>1195.5877934845751</v>
      </c>
      <c r="GE135" s="59">
        <f ca="1">AVERAGE(OFFSET($GD$3,0,0,'Données projet'!$E$17+1,1))-AVERAGE(OFFSET($H$3,0,0,'Données projet'!$E$17+1,1))</f>
        <v>486.55344536255876</v>
      </c>
      <c r="GF135" s="59">
        <f t="shared" si="158"/>
        <v>231.14794884432229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32.955376915927189</v>
      </c>
      <c r="GM135" s="21">
        <f>EXP(-LN(2)/25)*GM134+(1-EXP(-LN(2)/25))/(LN(2)/25)*Calculateur!GH135*Calculateur!GJ135*VLOOKUP('Données projet'!$B$17,Paramètres!$A$1:$I$89,3,0)*0.475*44/12</f>
        <v>19.619380782384866</v>
      </c>
      <c r="GN135" s="21">
        <f>EXP(-LN(2)/2)*GN134+(1-EXP(-LN(2)/2))/(LN(2)/2)*GH135*GK135*VLOOKUP('Données projet'!$B$17,Paramètres!$A$1:$I$89,3,0)*0.475*44/12</f>
        <v>0.31912377109528955</v>
      </c>
      <c r="GO135" s="21">
        <f t="shared" si="135"/>
        <v>52.893881469407347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472.43279728753004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252.08270526008477</v>
      </c>
      <c r="T136" s="59">
        <f t="shared" si="142"/>
        <v>239.77811108960179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89.815511536012181</v>
      </c>
      <c r="AA136" s="21">
        <f>EXP(-LN(2)/25)*AA135+(1-EXP(-LN(2)/25))/(LN(2)/25)*Calculateur!V136*Calculateur!X136*VLOOKUP('Données projet'!$B$9,Paramètres!$A$1:$I$89,3,0)*0.475*44/12</f>
        <v>21.883224974720978</v>
      </c>
      <c r="AB136" s="21">
        <f>EXP(-LN(2)/2)*AB135+(1-EXP(-LN(2)/2))/(LN(2)/2)*V136*Y136*VLOOKUP('Données projet'!$B$9,Paramètres!$A$1:$I$89,3,0)*0.475*44/12</f>
        <v>5.9005029871354875E-4</v>
      </c>
      <c r="AC136" s="22">
        <f t="shared" si="111"/>
        <v>111.69932656103187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251.64326096359997</v>
      </c>
      <c r="AO136" s="59">
        <f t="shared" si="144"/>
        <v>256.72142151189894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32.714710870034168</v>
      </c>
      <c r="AV136" s="21">
        <f>EXP(-LN(2)/25)*AV135+(1-EXP(-LN(2)/25))/(LN(2)/25)*Calculateur!AQ136*Calculateur!AS136*VLOOKUP('Données projet'!$B$10,Paramètres!$A$1:$I$89,3,0)*0.475*44/12</f>
        <v>6.4003126463157276</v>
      </c>
      <c r="AW136" s="21">
        <f>EXP(-LN(2)/2)*AW135+(1-EXP(-LN(2)/2))/(LN(2)/2)*AQ136*AT136*VLOOKUP('Données projet'!$B$10,Paramètres!$A$1:$I$89,3,0)*0.475*44/12</f>
        <v>6.1698873221936372E-10</v>
      </c>
      <c r="AX136" s="21">
        <f t="shared" si="114"/>
        <v>39.115023516966879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199.29783428981898</v>
      </c>
      <c r="BJ136" s="59">
        <f t="shared" si="146"/>
        <v>237.32002274562547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1.3581848057849333</v>
      </c>
      <c r="BQ136" s="21">
        <f>EXP(-LN(2)/25)*BQ135+(1-EXP(-LN(2)/25))/(LN(2)/25)*Calculateur!BL136*Calculateur!BN136*VLOOKUP('Données projet'!$B$11,Paramètres!$A$1:$I$89,3,0)*0.475*44/12</f>
        <v>3.8589281091244083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5.2171129149093414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2.5579538487363607E-13</v>
      </c>
      <c r="BZ136" s="13">
        <f>BY136*VLOOKUP('Données projet'!$B$12,Paramètres!$A$1:$I$89,3,0)*VLOOKUP('Données projet'!$B$12,Paramètres!$A$1:$I$89,5,0)</f>
        <v>2.1548203221755105E-13</v>
      </c>
      <c r="CA136" s="13">
        <f t="shared" si="147"/>
        <v>2.9604251148637229E-12</v>
      </c>
      <c r="CB136" s="20">
        <f t="shared" si="118"/>
        <v>5.5313716144998842E-12</v>
      </c>
      <c r="CC136" s="59">
        <f t="shared" si="119"/>
        <v>293.33333333333883</v>
      </c>
      <c r="CD136" s="59">
        <f ca="1">AVERAGE(OFFSET($CC$3,0,0,'Données projet'!$E$12+1,1))-AVERAGE(OFFSET($H$3,0,0,'Données projet'!$E$12+1,1))</f>
        <v>295.59075210589327</v>
      </c>
      <c r="CE136" s="59">
        <f t="shared" si="148"/>
        <v>210.41181542059576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99.109041714124857</v>
      </c>
      <c r="CL136" s="21">
        <f>EXP(-LN(2)/25)*CL135+(1-EXP(-LN(2)/25))/(LN(2)/25)*Calculateur!CG136*Calculateur!CI136*VLOOKUP('Données projet'!$B$12,Paramètres!$A$1:$I$89,3,0)*0.475*44/12</f>
        <v>20.16822326947943</v>
      </c>
      <c r="CM136" s="21">
        <f>EXP(-LN(2)/2)*CM135+(1-EXP(-LN(2)/2))/(LN(2)/2)*CG136*CJ136*VLOOKUP('Données projet'!$B$12,Paramètres!$A$1:$I$89,3,0)*0.475*44/12</f>
        <v>2.2414008380142287</v>
      </c>
      <c r="CN136" s="22">
        <f t="shared" si="120"/>
        <v>121.51866582161851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5.1727511163335289E-14</v>
      </c>
      <c r="CV136" s="13">
        <f t="shared" si="149"/>
        <v>8.3906664221915895E-13</v>
      </c>
      <c r="CW136" s="20">
        <f t="shared" si="121"/>
        <v>1.551466483807844E-12</v>
      </c>
      <c r="CX136" s="59">
        <f t="shared" si="122"/>
        <v>293.33333333333485</v>
      </c>
      <c r="CY136" s="59">
        <f ca="1">AVERAGE(OFFSET($CX$3,0,0,'Données projet'!$E$13+1,1))-AVERAGE(OFFSET($H$3,0,0,'Données projet'!$E$13+1,1))</f>
        <v>338.22448697444298</v>
      </c>
      <c r="CZ136" s="59">
        <f t="shared" si="150"/>
        <v>293.3872365640849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74.463716817728326</v>
      </c>
      <c r="DG136" s="21">
        <f>EXP(-LN(2)/25)*DG135+(1-EXP(-LN(2)/25))/(LN(2)/25)*Calculateur!DB136*Calculateur!DD136*VLOOKUP('Données projet'!$B$13,Paramètres!$A$1:$I$89,3,0)*0.475*44/12</f>
        <v>17.02588898118567</v>
      </c>
      <c r="DH136" s="21">
        <f>EXP(-LN(2)/2)*DH135+(1-EXP(-LN(2)/2))/(LN(2)/2)*DB136*DE136*VLOOKUP('Données projet'!$B$13,Paramètres!$A$1:$I$89,3,0)*0.475*44/12</f>
        <v>8.5258617845836293E-7</v>
      </c>
      <c r="DI136" s="22">
        <f t="shared" si="123"/>
        <v>91.489606651500182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5.6843418860808015E-13</v>
      </c>
      <c r="DP136" s="17">
        <f>DO136*VLOOKUP('Données projet'!$B$14,Paramètres!$A$1:$I$89,3,0)*VLOOKUP('Données projet'!$B$14,Paramètres!$A$1:$I$89,5,0)</f>
        <v>3.177547114319168E-13</v>
      </c>
      <c r="DQ136" s="13">
        <f t="shared" si="151"/>
        <v>4.1725404435445377E-12</v>
      </c>
      <c r="DR136" s="20">
        <f t="shared" si="124"/>
        <v>7.820597394917325E-12</v>
      </c>
      <c r="DS136" s="59">
        <f t="shared" si="125"/>
        <v>293.33333333334116</v>
      </c>
      <c r="DT136" s="59">
        <f ca="1">AVERAGE(OFFSET($DS$3,0,0,'Données projet'!$E$14+1,1))-AVERAGE(OFFSET($H$3,0,0,'Données projet'!$E$14+1,1))</f>
        <v>328.15217666639006</v>
      </c>
      <c r="DU136" s="59">
        <f t="shared" si="152"/>
        <v>305.59175773326308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66.265168120935485</v>
      </c>
      <c r="EB136" s="21">
        <f>EXP(-LN(2)/25)*EB135+(1-EXP(-LN(2)/25))/(LN(2)/25)*Calculateur!DW136*Calculateur!DY136*VLOOKUP('Données projet'!$B$14,Paramètres!$A$1:$I$89,3,0)*0.475*44/12</f>
        <v>13.382102638072626</v>
      </c>
      <c r="EC136" s="21">
        <f>EXP(-LN(2)/2)*EC135+(1-EXP(-LN(2)/2))/(LN(2)/2)*DW136*DZ136*VLOOKUP('Données projet'!$B$14,Paramètres!$A$1:$I$89,3,0)*0.475*44/12</f>
        <v>2.4861874182574339E-8</v>
      </c>
      <c r="ED136" s="22">
        <f t="shared" si="126"/>
        <v>79.647270783869985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159.78276497127206</v>
      </c>
      <c r="EP136" s="59">
        <f t="shared" si="154"/>
        <v>190.72163407919857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1.5775238462593961</v>
      </c>
      <c r="EW136" s="21">
        <f>EXP(-LN(2)/25)*EW135+(1-EXP(-LN(2)/25))/(LN(2)/25)*Calculateur!ER136*Calculateur!ET136*VLOOKUP('Données projet'!$B$15,Paramètres!$A$1:$I$89,3,0)*0.475*44/12</f>
        <v>4.4821228210002459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6.0596466672596421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6.6920000000000073</v>
      </c>
      <c r="FE136" s="12">
        <f>IF('Données projet'!$A$218&gt;35,FE135+FD136-FM135,IF(A136&lt;'Données projet'!$A$218,$FB$205^A136,IF(A136='Données projet'!$A$218,'Données projet'!$B$218,FE135+FD136-FM135)))</f>
        <v>283.47800000000063</v>
      </c>
      <c r="FF136" s="17">
        <f>FE136*VLOOKUP('Données projet'!$B$16,Paramètres!$A$1:$I$89,3,0)*VLOOKUP('Données projet'!$B$16,Paramètres!$A$1:$I$89,5,0)</f>
        <v>243.22412400000056</v>
      </c>
      <c r="FG136" s="13">
        <f t="shared" si="155"/>
        <v>59.132676800588278</v>
      </c>
      <c r="FH136" s="20">
        <f t="shared" si="130"/>
        <v>526.60476139435877</v>
      </c>
      <c r="FI136" s="59">
        <f t="shared" si="131"/>
        <v>819.93809472769203</v>
      </c>
      <c r="FJ136" s="59">
        <f ca="1">AVERAGE(OFFSET($FI$3,0,0,'Données projet'!$E$16+1,1))-AVERAGE(OFFSET($H$3,0,0,'Données projet'!$E$16+1,1))</f>
        <v>337.15023592377008</v>
      </c>
      <c r="FK136" s="59">
        <f t="shared" si="156"/>
        <v>286.60608582587099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53.580763267869273</v>
      </c>
      <c r="FR136" s="21">
        <f>EXP(-LN(2)/25)*FR135+(1-EXP(-LN(2)/25))/(LN(2)/25)*Calculateur!FM136*Calculateur!FO136*VLOOKUP('Données projet'!$B$16,Paramètres!$A$1:$I$89,3,0)*0.475*44/12</f>
        <v>26.857953064815391</v>
      </c>
      <c r="FS136" s="21">
        <f>EXP(-LN(2)/2)*FS135+(1-EXP(-LN(2)/2))/(LN(2)/2)*FM136*FP136*VLOOKUP('Données projet'!$B$16,Paramètres!$A$1:$I$89,3,0)*0.475*44/12</f>
        <v>1.4952794802536646</v>
      </c>
      <c r="FT136" s="22">
        <f t="shared" si="132"/>
        <v>81.933995812938335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9.0229999999999961</v>
      </c>
      <c r="FZ136" s="12">
        <f>IF('Données projet'!$A$244&gt;35,FZ135+FY136-GH135,IF(A136&lt;'Données projet'!$A$244,$FW$205^A136,IF(A136='Données projet'!$A$244,'Données projet'!$B$244,FZ135+FY136-GH135)))</f>
        <v>475.25700000000086</v>
      </c>
      <c r="GA136" s="17">
        <f>FZ136*VLOOKUP('Données projet'!$B$17,Paramètres!$A$1:$I$89,3,0)*VLOOKUP('Données projet'!$B$17,Paramètres!$A$1:$I$89,5,0)</f>
        <v>430.01253360000078</v>
      </c>
      <c r="GB136" s="13">
        <f t="shared" si="157"/>
        <v>97.835389274652726</v>
      </c>
      <c r="GC136" s="20">
        <f t="shared" si="133"/>
        <v>919.33513234002146</v>
      </c>
      <c r="GD136" s="59">
        <f t="shared" si="134"/>
        <v>1212.6684656733548</v>
      </c>
      <c r="GE136" s="59">
        <f ca="1">AVERAGE(OFFSET($GD$3,0,0,'Données projet'!$E$17+1,1))-AVERAGE(OFFSET($H$3,0,0,'Données projet'!$E$17+1,1))</f>
        <v>486.55344536255876</v>
      </c>
      <c r="GF136" s="59">
        <f t="shared" si="158"/>
        <v>231.14794884432229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32.309142075400985</v>
      </c>
      <c r="GM136" s="21">
        <f>EXP(-LN(2)/25)*GM135+(1-EXP(-LN(2)/25))/(LN(2)/25)*Calculateur!GH136*Calculateur!GJ136*VLOOKUP('Données projet'!$B$17,Paramètres!$A$1:$I$89,3,0)*0.475*44/12</f>
        <v>19.082887783152156</v>
      </c>
      <c r="GN136" s="21">
        <f>EXP(-LN(2)/2)*GN135+(1-EXP(-LN(2)/2))/(LN(2)/2)*GH136*GK136*VLOOKUP('Données projet'!$B$17,Paramètres!$A$1:$I$89,3,0)*0.475*44/12</f>
        <v>0.22565458257930279</v>
      </c>
      <c r="GO136" s="21">
        <f t="shared" si="135"/>
        <v>51.617684441132447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474.01477159022704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252.08270526008477</v>
      </c>
      <c r="T137" s="59">
        <f t="shared" si="142"/>
        <v>239.77811108960179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88.054284136843748</v>
      </c>
      <c r="AA137" s="21">
        <f>EXP(-LN(2)/25)*AA136+(1-EXP(-LN(2)/25))/(LN(2)/25)*Calculateur!V137*Calculateur!X137*VLOOKUP('Données projet'!$B$9,Paramètres!$A$1:$I$89,3,0)*0.475*44/12</f>
        <v>21.284827036998447</v>
      </c>
      <c r="AB137" s="21">
        <f>EXP(-LN(2)/2)*AB136+(1-EXP(-LN(2)/2))/(LN(2)/2)*V137*Y137*VLOOKUP('Données projet'!$B$9,Paramètres!$A$1:$I$89,3,0)*0.475*44/12</f>
        <v>4.1722856746149832E-4</v>
      </c>
      <c r="AC137" s="22">
        <f t="shared" si="111"/>
        <v>109.33952840240966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251.64326096359997</v>
      </c>
      <c r="AO137" s="59">
        <f t="shared" si="144"/>
        <v>256.72142151189894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32.073195343876137</v>
      </c>
      <c r="AV137" s="21">
        <f>EXP(-LN(2)/25)*AV136+(1-EXP(-LN(2)/25))/(LN(2)/25)*Calculateur!AQ137*Calculateur!AS137*VLOOKUP('Données projet'!$B$10,Paramètres!$A$1:$I$89,3,0)*0.475*44/12</f>
        <v>6.2252957604244097</v>
      </c>
      <c r="AW137" s="21">
        <f>EXP(-LN(2)/2)*AW136+(1-EXP(-LN(2)/2))/(LN(2)/2)*AQ137*AT137*VLOOKUP('Données projet'!$B$10,Paramètres!$A$1:$I$89,3,0)*0.475*44/12</f>
        <v>4.3627691646800299E-10</v>
      </c>
      <c r="AX137" s="21">
        <f t="shared" si="114"/>
        <v>38.298491104736826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199.29783428981898</v>
      </c>
      <c r="BJ137" s="59">
        <f t="shared" si="146"/>
        <v>237.32002274562547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1.3315516301544235</v>
      </c>
      <c r="BQ137" s="21">
        <f>EXP(-LN(2)/25)*BQ136+(1-EXP(-LN(2)/25))/(LN(2)/25)*Calculateur!BL137*Calculateur!BN137*VLOOKUP('Données projet'!$B$11,Paramètres!$A$1:$I$89,3,0)*0.475*44/12</f>
        <v>3.7534055170481917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5.0849571472026156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2.5579538487363607E-13</v>
      </c>
      <c r="BZ137" s="13">
        <f>BY137*VLOOKUP('Données projet'!$B$12,Paramètres!$A$1:$I$89,3,0)*VLOOKUP('Données projet'!$B$12,Paramètres!$A$1:$I$89,5,0)</f>
        <v>2.1548203221755105E-13</v>
      </c>
      <c r="CA137" s="13">
        <f t="shared" si="147"/>
        <v>2.9604251148637229E-12</v>
      </c>
      <c r="CB137" s="20">
        <f t="shared" si="118"/>
        <v>5.5313716144998842E-12</v>
      </c>
      <c r="CC137" s="59">
        <f t="shared" si="119"/>
        <v>293.33333333333883</v>
      </c>
      <c r="CD137" s="59">
        <f ca="1">AVERAGE(OFFSET($CC$3,0,0,'Données projet'!$E$12+1,1))-AVERAGE(OFFSET($H$3,0,0,'Données projet'!$E$12+1,1))</f>
        <v>295.59075210589327</v>
      </c>
      <c r="CE137" s="59">
        <f t="shared" si="148"/>
        <v>210.41181542059576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97.165573856657318</v>
      </c>
      <c r="CL137" s="21">
        <f>EXP(-LN(2)/25)*CL136+(1-EXP(-LN(2)/25))/(LN(2)/25)*Calculateur!CG137*Calculateur!CI137*VLOOKUP('Données projet'!$B$12,Paramètres!$A$1:$I$89,3,0)*0.475*44/12</f>
        <v>19.616722143574748</v>
      </c>
      <c r="CM137" s="21">
        <f>EXP(-LN(2)/2)*CM136+(1-EXP(-LN(2)/2))/(LN(2)/2)*CG137*CJ137*VLOOKUP('Données projet'!$B$12,Paramètres!$A$1:$I$89,3,0)*0.475*44/12</f>
        <v>1.5849097319170715</v>
      </c>
      <c r="CN137" s="22">
        <f t="shared" si="120"/>
        <v>118.36720573214913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5.1727511163335289E-14</v>
      </c>
      <c r="CV137" s="13">
        <f t="shared" si="149"/>
        <v>8.3906664221915895E-13</v>
      </c>
      <c r="CW137" s="20">
        <f t="shared" si="121"/>
        <v>1.551466483807844E-12</v>
      </c>
      <c r="CX137" s="59">
        <f t="shared" si="122"/>
        <v>293.33333333333485</v>
      </c>
      <c r="CY137" s="59">
        <f ca="1">AVERAGE(OFFSET($CX$3,0,0,'Données projet'!$E$13+1,1))-AVERAGE(OFFSET($H$3,0,0,'Données projet'!$E$13+1,1))</f>
        <v>338.22448697444298</v>
      </c>
      <c r="CZ137" s="59">
        <f t="shared" si="150"/>
        <v>293.3872365640849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73.003528749315237</v>
      </c>
      <c r="DG137" s="21">
        <f>EXP(-LN(2)/25)*DG136+(1-EXP(-LN(2)/25))/(LN(2)/25)*Calculateur!DB137*Calculateur!DD137*VLOOKUP('Données projet'!$B$13,Paramètres!$A$1:$I$89,3,0)*0.475*44/12</f>
        <v>16.560315151642559</v>
      </c>
      <c r="DH137" s="21">
        <f>EXP(-LN(2)/2)*DH136+(1-EXP(-LN(2)/2))/(LN(2)/2)*DB137*DE137*VLOOKUP('Données projet'!$B$13,Paramètres!$A$1:$I$89,3,0)*0.475*44/12</f>
        <v>6.0286946833383239E-7</v>
      </c>
      <c r="DI137" s="22">
        <f t="shared" si="123"/>
        <v>89.563844503827255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5.6843418860808015E-13</v>
      </c>
      <c r="DP137" s="17">
        <f>DO137*VLOOKUP('Données projet'!$B$14,Paramètres!$A$1:$I$89,3,0)*VLOOKUP('Données projet'!$B$14,Paramètres!$A$1:$I$89,5,0)</f>
        <v>3.177547114319168E-13</v>
      </c>
      <c r="DQ137" s="13">
        <f t="shared" si="151"/>
        <v>4.1725404435445377E-12</v>
      </c>
      <c r="DR137" s="20">
        <f t="shared" si="124"/>
        <v>7.820597394917325E-12</v>
      </c>
      <c r="DS137" s="59">
        <f t="shared" si="125"/>
        <v>293.33333333334116</v>
      </c>
      <c r="DT137" s="59">
        <f ca="1">AVERAGE(OFFSET($DS$3,0,0,'Données projet'!$E$14+1,1))-AVERAGE(OFFSET($H$3,0,0,'Données projet'!$E$14+1,1))</f>
        <v>328.15217666639006</v>
      </c>
      <c r="DU137" s="59">
        <f t="shared" si="152"/>
        <v>305.59175773326308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64.965748591845568</v>
      </c>
      <c r="EB137" s="21">
        <f>EXP(-LN(2)/25)*EB136+(1-EXP(-LN(2)/25))/(LN(2)/25)*Calculateur!DW137*Calculateur!DY137*VLOOKUP('Données projet'!$B$14,Paramètres!$A$1:$I$89,3,0)*0.475*44/12</f>
        <v>13.016168337700337</v>
      </c>
      <c r="EC137" s="21">
        <f>EXP(-LN(2)/2)*EC136+(1-EXP(-LN(2)/2))/(LN(2)/2)*DW137*DZ137*VLOOKUP('Données projet'!$B$14,Paramètres!$A$1:$I$89,3,0)*0.475*44/12</f>
        <v>1.7579999827505068E-8</v>
      </c>
      <c r="ED137" s="22">
        <f t="shared" si="126"/>
        <v>77.98191694712591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159.78276497127206</v>
      </c>
      <c r="EP137" s="59">
        <f t="shared" si="154"/>
        <v>190.72163407919857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1.5465895658287867</v>
      </c>
      <c r="EW137" s="21">
        <f>EXP(-LN(2)/25)*EW136+(1-EXP(-LN(2)/25))/(LN(2)/25)*Calculateur!ER137*Calculateur!ET137*VLOOKUP('Données projet'!$B$15,Paramètres!$A$1:$I$89,3,0)*0.475*44/12</f>
        <v>4.3595589367553993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5.9061485025841858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290.17</v>
      </c>
      <c r="FC137" s="12">
        <f>VLOOKUP(A137,'Données projet'!$A$217:$I$237,9,0)</f>
        <v>6.6920000000000073</v>
      </c>
      <c r="FD137" s="12">
        <f t="array" ref="FD137">INDEX(FC:FC,MIN(IF(ISNUMBER(FC137:FC333),ROW(FC137:FC333),"")))</f>
        <v>6.6920000000000073</v>
      </c>
      <c r="FE137" s="12">
        <f>IF('Données projet'!$A$218&gt;35,FE136+FD137-FM136,IF(A137&lt;'Données projet'!$A$218,$FB$205^A137,IF(A137='Données projet'!$A$218,'Données projet'!$B$218,FE136+FD137-FM136)))</f>
        <v>290.17000000000064</v>
      </c>
      <c r="FF137" s="17">
        <f>FE137*VLOOKUP('Données projet'!$B$16,Paramètres!$A$1:$I$89,3,0)*VLOOKUP('Données projet'!$B$16,Paramètres!$A$1:$I$89,5,0)</f>
        <v>248.96586000000059</v>
      </c>
      <c r="FG137" s="13">
        <f t="shared" si="155"/>
        <v>60.36444194105966</v>
      </c>
      <c r="FH137" s="20">
        <f t="shared" si="130"/>
        <v>538.75027588067985</v>
      </c>
      <c r="FI137" s="59">
        <f t="shared" si="131"/>
        <v>832.08360921401322</v>
      </c>
      <c r="FJ137" s="59">
        <f ca="1">AVERAGE(OFFSET($FI$3,0,0,'Données projet'!$E$16+1,1))-AVERAGE(OFFSET($H$3,0,0,'Données projet'!$E$16+1,1))</f>
        <v>337.15023592377008</v>
      </c>
      <c r="FK137" s="59">
        <f t="shared" si="156"/>
        <v>286.60608582587099</v>
      </c>
      <c r="FL137" s="15">
        <f>IF(ISNA(VLOOKUP(A137,'Données projet'!$A$217:$I$237,3,0)),0,VLOOKUP(A137,'Données projet'!$A$217:$I$237,3,0))</f>
        <v>9</v>
      </c>
      <c r="FM137" s="15">
        <f>IF(ISNA(VLOOKUP(A137,'Données projet'!$A$217:$I$237,4,0)),0,VLOOKUP(A137,'Données projet'!$A$217:$I$237,4,0))</f>
        <v>102.91000000000003</v>
      </c>
      <c r="FN137" s="16">
        <f>IF(ISNA(VLOOKUP(A137,'Données projet'!$A$217:$I$237,5,0)),0%,VLOOKUP(A137,'Données projet'!$A$217:$I$237,5,0)*VLOOKUP('Données projet'!$B$16,Paramètres!$A$1:$I$89,7,0))</f>
        <v>0.23850000000000002</v>
      </c>
      <c r="FO137" s="16">
        <f>IF(ISNA(VLOOKUP(A137,'Données projet'!$A$217:$I$237,6,0)),0%,VLOOKUP(A137,'Données projet'!$A$217:$I$237,6,0)*VLOOKUP('Données projet'!$B$16,Paramètres!$A$1:$I$89,7,0))</f>
        <v>2.6500000000000003E-2</v>
      </c>
      <c r="FP137" s="16">
        <f>IF(ISNA(VLOOKUP(A137,'Données projet'!$A$217:$I$237,7,0)),0%,VLOOKUP(A137,'Données projet'!$A$217:$I$237,7,0))</f>
        <v>0.05</v>
      </c>
      <c r="FQ137" s="21">
        <f>EXP(-LN(2)/35)*FQ136+(1-EXP(-LN(2)/35))/(LN(2)/35)*FM137*FN137*VLOOKUP('Données projet'!$B$16,Paramètres!$A$1:$I$89,3,0)*0.475*44/12</f>
        <v>75.809936944430746</v>
      </c>
      <c r="FR137" s="21">
        <f>EXP(-LN(2)/25)*FR136+(1-EXP(-LN(2)/25))/(LN(2)/25)*Calculateur!FM137*Calculateur!FO137*VLOOKUP('Données projet'!$B$16,Paramètres!$A$1:$I$89,3,0)*0.475*44/12</f>
        <v>28.699987379748098</v>
      </c>
      <c r="FS137" s="21">
        <f>EXP(-LN(2)/2)*FS136+(1-EXP(-LN(2)/2))/(LN(2)/2)*FM137*FP137*VLOOKUP('Données projet'!$B$16,Paramètres!$A$1:$I$89,3,0)*0.475*44/12</f>
        <v>5.2228416804060016</v>
      </c>
      <c r="FT137" s="22">
        <f t="shared" si="132"/>
        <v>109.73276600458485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>
        <f>VLOOKUP(A137,'Données projet'!$A$243:$I$263,2,0)</f>
        <v>484.28</v>
      </c>
      <c r="FX137" s="12">
        <f>VLOOKUP(A137,'Données projet'!$A$243:$I$263,9,0)</f>
        <v>9.0229999999999961</v>
      </c>
      <c r="FY137" s="12">
        <f t="array" ref="FY137">INDEX(FX:FX,MIN(IF(ISNUMBER(FX137:FX333),ROW(FX137:FX333),"")))</f>
        <v>9.0229999999999961</v>
      </c>
      <c r="FZ137" s="12">
        <f>IF('Données projet'!$A$244&gt;35,FZ136+FY137-GH136,IF(A137&lt;'Données projet'!$A$244,$FW$205^A137,IF(A137='Données projet'!$A$244,'Données projet'!$B$244,FZ136+FY137-GH136)))</f>
        <v>484.28000000000088</v>
      </c>
      <c r="GA137" s="17">
        <f>FZ137*VLOOKUP('Données projet'!$B$17,Paramètres!$A$1:$I$89,3,0)*VLOOKUP('Données projet'!$B$17,Paramètres!$A$1:$I$89,5,0)</f>
        <v>438.17654400000077</v>
      </c>
      <c r="GB137" s="13">
        <f t="shared" si="157"/>
        <v>99.474836110972063</v>
      </c>
      <c r="GC137" s="20">
        <f t="shared" si="133"/>
        <v>936.40948702661092</v>
      </c>
      <c r="GD137" s="59">
        <f t="shared" si="134"/>
        <v>1229.7428203599443</v>
      </c>
      <c r="GE137" s="59">
        <f ca="1">AVERAGE(OFFSET($GD$3,0,0,'Données projet'!$E$17+1,1))-AVERAGE(OFFSET($H$3,0,0,'Données projet'!$E$17+1,1))</f>
        <v>486.55344536255876</v>
      </c>
      <c r="GF137" s="59">
        <f t="shared" si="158"/>
        <v>231.14794884432229</v>
      </c>
      <c r="GG137" s="15">
        <f>IF(ISNA(VLOOKUP(A137,'Données projet'!$A$243:$I$263,3,0)),0,VLOOKUP(A137,'Données projet'!$A$243:$I$263,3,0))</f>
        <v>11</v>
      </c>
      <c r="GH137" s="15">
        <f>IF(ISNA(VLOOKUP(A137,'Données projet'!$A$243:$I$263,4,0)),0,VLOOKUP(A137,'Données projet'!$A$243:$I$263,4,0))</f>
        <v>60.779999999999973</v>
      </c>
      <c r="GI137" s="16">
        <f>IF(ISNA(VLOOKUP(A137,'Données projet'!$A$243:$I$263,5,0)),0%,VLOOKUP(A137,'Données projet'!$A$243:$I$263,5,0)*VLOOKUP('Données projet'!$B$17,Paramètres!$A$1:$I$89,7,0))</f>
        <v>0.215</v>
      </c>
      <c r="GJ137" s="16">
        <f>IF(ISNA(VLOOKUP(A137,'Données projet'!$A$243:$I$263,6,0)),0%,VLOOKUP(A137,'Données projet'!$A$243:$I$263,6,0)*VLOOKUP('Données projet'!$B$17,Paramètres!$A$1:$I$89,7,0))</f>
        <v>8.6000000000000007E-2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44.746279842031008</v>
      </c>
      <c r="GM137" s="21">
        <f>EXP(-LN(2)/25)*GM136+(1-EXP(-LN(2)/25))/(LN(2)/25)*Calculateur!GH137*Calculateur!GJ137*VLOOKUP('Données projet'!$B$17,Paramètres!$A$1:$I$89,3,0)*0.475*44/12</f>
        <v>23.768759616615345</v>
      </c>
      <c r="GN137" s="21">
        <f>EXP(-LN(2)/2)*GN136+(1-EXP(-LN(2)/2))/(LN(2)/2)*GH137*GK137*VLOOKUP('Données projet'!$B$17,Paramètres!$A$1:$I$89,3,0)*0.475*44/12</f>
        <v>0.15956188554764478</v>
      </c>
      <c r="GO137" s="21">
        <f t="shared" si="135"/>
        <v>68.674601344194002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475.59648107869305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252.08270526008477</v>
      </c>
      <c r="T138" s="59">
        <f t="shared" si="142"/>
        <v>239.77811108960179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86.327593332730359</v>
      </c>
      <c r="AA138" s="21">
        <f>EXP(-LN(2)/25)*AA137+(1-EXP(-LN(2)/25))/(LN(2)/25)*Calculateur!V138*Calculateur!X138*VLOOKUP('Données projet'!$B$9,Paramètres!$A$1:$I$89,3,0)*0.475*44/12</f>
        <v>20.702792322351318</v>
      </c>
      <c r="AB138" s="21">
        <f>EXP(-LN(2)/2)*AB137+(1-EXP(-LN(2)/2))/(LN(2)/2)*V138*Y138*VLOOKUP('Données projet'!$B$9,Paramètres!$A$1:$I$89,3,0)*0.475*44/12</f>
        <v>2.9502514935677437E-4</v>
      </c>
      <c r="AC138" s="22">
        <f t="shared" si="111"/>
        <v>107.03068068023103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251.64326096359997</v>
      </c>
      <c r="AO138" s="59">
        <f t="shared" si="144"/>
        <v>256.72142151189894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31.444259545900227</v>
      </c>
      <c r="AV138" s="21">
        <f>EXP(-LN(2)/25)*AV137+(1-EXP(-LN(2)/25))/(LN(2)/25)*Calculateur!AQ138*Calculateur!AS138*VLOOKUP('Données projet'!$B$10,Paramètres!$A$1:$I$89,3,0)*0.475*44/12</f>
        <v>6.0550647204815284</v>
      </c>
      <c r="AW138" s="21">
        <f>EXP(-LN(2)/2)*AW137+(1-EXP(-LN(2)/2))/(LN(2)/2)*AQ138*AT138*VLOOKUP('Données projet'!$B$10,Paramètres!$A$1:$I$89,3,0)*0.475*44/12</f>
        <v>3.0849436610968186E-10</v>
      </c>
      <c r="AX138" s="21">
        <f t="shared" si="114"/>
        <v>37.499324266690252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199.29783428981898</v>
      </c>
      <c r="BJ138" s="59">
        <f t="shared" si="146"/>
        <v>237.32002274562547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1.3054407148533949</v>
      </c>
      <c r="BQ138" s="21">
        <f>EXP(-LN(2)/25)*BQ137+(1-EXP(-LN(2)/25))/(LN(2)/25)*Calculateur!BL138*Calculateur!BN138*VLOOKUP('Données projet'!$B$11,Paramètres!$A$1:$I$89,3,0)*0.475*44/12</f>
        <v>3.6507684458014911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4.9562091606548861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2.5579538487363607E-13</v>
      </c>
      <c r="BZ138" s="13">
        <f>BY138*VLOOKUP('Données projet'!$B$12,Paramètres!$A$1:$I$89,3,0)*VLOOKUP('Données projet'!$B$12,Paramètres!$A$1:$I$89,5,0)</f>
        <v>2.1548203221755105E-13</v>
      </c>
      <c r="CA138" s="13">
        <f t="shared" si="147"/>
        <v>2.9604251148637229E-12</v>
      </c>
      <c r="CB138" s="20">
        <f t="shared" si="118"/>
        <v>5.5313716144998842E-12</v>
      </c>
      <c r="CC138" s="59">
        <f t="shared" si="119"/>
        <v>293.33333333333883</v>
      </c>
      <c r="CD138" s="59">
        <f ca="1">AVERAGE(OFFSET($CC$3,0,0,'Données projet'!$E$12+1,1))-AVERAGE(OFFSET($H$3,0,0,'Données projet'!$E$12+1,1))</f>
        <v>295.59075210589327</v>
      </c>
      <c r="CE138" s="59">
        <f t="shared" si="148"/>
        <v>210.41181542059576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95.260216218476373</v>
      </c>
      <c r="CL138" s="21">
        <f>EXP(-LN(2)/25)*CL137+(1-EXP(-LN(2)/25))/(LN(2)/25)*Calculateur!CG138*Calculateur!CI138*VLOOKUP('Données projet'!$B$12,Paramètres!$A$1:$I$89,3,0)*0.475*44/12</f>
        <v>19.080301844960115</v>
      </c>
      <c r="CM138" s="21">
        <f>EXP(-LN(2)/2)*CM137+(1-EXP(-LN(2)/2))/(LN(2)/2)*CG138*CJ138*VLOOKUP('Données projet'!$B$12,Paramètres!$A$1:$I$89,3,0)*0.475*44/12</f>
        <v>1.1207004190071144</v>
      </c>
      <c r="CN138" s="22">
        <f t="shared" si="120"/>
        <v>115.4612184824436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5.1727511163335289E-14</v>
      </c>
      <c r="CV138" s="13">
        <f t="shared" si="149"/>
        <v>8.3906664221915895E-13</v>
      </c>
      <c r="CW138" s="20">
        <f t="shared" si="121"/>
        <v>1.551466483807844E-12</v>
      </c>
      <c r="CX138" s="59">
        <f t="shared" si="122"/>
        <v>293.33333333333485</v>
      </c>
      <c r="CY138" s="59">
        <f ca="1">AVERAGE(OFFSET($CX$3,0,0,'Données projet'!$E$13+1,1))-AVERAGE(OFFSET($H$3,0,0,'Données projet'!$E$13+1,1))</f>
        <v>338.22448697444298</v>
      </c>
      <c r="CZ138" s="59">
        <f t="shared" si="150"/>
        <v>293.3872365640849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71.571974078296947</v>
      </c>
      <c r="DG138" s="21">
        <f>EXP(-LN(2)/25)*DG137+(1-EXP(-LN(2)/25))/(LN(2)/25)*Calculateur!DB138*Calculateur!DD138*VLOOKUP('Données projet'!$B$13,Paramètres!$A$1:$I$89,3,0)*0.475*44/12</f>
        <v>16.107472462951769</v>
      </c>
      <c r="DH138" s="21">
        <f>EXP(-LN(2)/2)*DH137+(1-EXP(-LN(2)/2))/(LN(2)/2)*DB138*DE138*VLOOKUP('Données projet'!$B$13,Paramètres!$A$1:$I$89,3,0)*0.475*44/12</f>
        <v>4.2629308922918146E-7</v>
      </c>
      <c r="DI138" s="22">
        <f t="shared" si="123"/>
        <v>87.679446967541807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5.6843418860808015E-13</v>
      </c>
      <c r="DP138" s="17">
        <f>DO138*VLOOKUP('Données projet'!$B$14,Paramètres!$A$1:$I$89,3,0)*VLOOKUP('Données projet'!$B$14,Paramètres!$A$1:$I$89,5,0)</f>
        <v>3.177547114319168E-13</v>
      </c>
      <c r="DQ138" s="13">
        <f t="shared" si="151"/>
        <v>4.1725404435445377E-12</v>
      </c>
      <c r="DR138" s="20">
        <f t="shared" si="124"/>
        <v>7.820597394917325E-12</v>
      </c>
      <c r="DS138" s="59">
        <f t="shared" si="125"/>
        <v>293.33333333334116</v>
      </c>
      <c r="DT138" s="59">
        <f ca="1">AVERAGE(OFFSET($DS$3,0,0,'Données projet'!$E$14+1,1))-AVERAGE(OFFSET($H$3,0,0,'Données projet'!$E$14+1,1))</f>
        <v>328.15217666639006</v>
      </c>
      <c r="DU138" s="59">
        <f t="shared" si="152"/>
        <v>305.59175773326308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63.691809887153454</v>
      </c>
      <c r="EB138" s="21">
        <f>EXP(-LN(2)/25)*EB137+(1-EXP(-LN(2)/25))/(LN(2)/25)*Calculateur!DW138*Calculateur!DY138*VLOOKUP('Données projet'!$B$14,Paramètres!$A$1:$I$89,3,0)*0.475*44/12</f>
        <v>12.660240530015377</v>
      </c>
      <c r="EC138" s="21">
        <f>EXP(-LN(2)/2)*EC137+(1-EXP(-LN(2)/2))/(LN(2)/2)*DW138*DZ138*VLOOKUP('Données projet'!$B$14,Paramètres!$A$1:$I$89,3,0)*0.475*44/12</f>
        <v>1.243093709128717E-8</v>
      </c>
      <c r="ED138" s="22">
        <f t="shared" si="126"/>
        <v>76.352050429599757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159.78276497127206</v>
      </c>
      <c r="EP138" s="59">
        <f t="shared" si="154"/>
        <v>190.72163407919857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1.5162618877693737</v>
      </c>
      <c r="EW138" s="21">
        <f>EXP(-LN(2)/25)*EW137+(1-EXP(-LN(2)/25))/(LN(2)/25)*Calculateur!ER138*Calculateur!ET138*VLOOKUP('Données projet'!$B$15,Paramètres!$A$1:$I$89,3,0)*0.475*44/12</f>
        <v>4.2403465683705823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5.756608456139956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5.3759999999999994</v>
      </c>
      <c r="FE138" s="12">
        <f>IF('Données projet'!$A$218&gt;35,FE137+FD138-FM137,IF(A138&lt;'Données projet'!$A$218,$FB$205^A138,IF(A138='Données projet'!$A$218,'Données projet'!$B$218,FE137+FD138-FM137)))</f>
        <v>192.63600000000059</v>
      </c>
      <c r="FF138" s="17">
        <f>FE138*VLOOKUP('Données projet'!$B$16,Paramètres!$A$1:$I$89,3,0)*VLOOKUP('Données projet'!$B$16,Paramètres!$A$1:$I$89,5,0)</f>
        <v>165.28168800000054</v>
      </c>
      <c r="FG138" s="13">
        <f t="shared" si="155"/>
        <v>42.031553771273103</v>
      </c>
      <c r="FH138" s="20">
        <f t="shared" si="130"/>
        <v>361.07056275163495</v>
      </c>
      <c r="FI138" s="59">
        <f t="shared" si="131"/>
        <v>654.40389608496821</v>
      </c>
      <c r="FJ138" s="59">
        <f ca="1">AVERAGE(OFFSET($FI$3,0,0,'Données projet'!$E$16+1,1))-AVERAGE(OFFSET($H$3,0,0,'Données projet'!$E$16+1,1))</f>
        <v>337.15023592377008</v>
      </c>
      <c r="FK138" s="59">
        <f t="shared" si="156"/>
        <v>286.60608582587099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74.323350320446224</v>
      </c>
      <c r="FR138" s="21">
        <f>EXP(-LN(2)/25)*FR137+(1-EXP(-LN(2)/25))/(LN(2)/25)*Calculateur!FM138*Calculateur!FO138*VLOOKUP('Données projet'!$B$16,Paramètres!$A$1:$I$89,3,0)*0.475*44/12</f>
        <v>27.915184715582146</v>
      </c>
      <c r="FS138" s="21">
        <f>EXP(-LN(2)/2)*FS137+(1-EXP(-LN(2)/2))/(LN(2)/2)*FM138*FP138*VLOOKUP('Données projet'!$B$16,Paramètres!$A$1:$I$89,3,0)*0.475*44/12</f>
        <v>3.6931067692788271</v>
      </c>
      <c r="FT138" s="22">
        <f t="shared" si="132"/>
        <v>105.93164180530719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9.1440000000000055</v>
      </c>
      <c r="FZ138" s="12">
        <f>IF('Données projet'!$A$244&gt;35,FZ137+FY138-GH137,IF(A138&lt;'Données projet'!$A$244,$FW$205^A138,IF(A138='Données projet'!$A$244,'Données projet'!$B$244,FZ137+FY138-GH137)))</f>
        <v>432.64400000000091</v>
      </c>
      <c r="GA138" s="17">
        <f>FZ138*VLOOKUP('Données projet'!$B$17,Paramètres!$A$1:$I$89,3,0)*VLOOKUP('Données projet'!$B$17,Paramètres!$A$1:$I$89,5,0)</f>
        <v>391.45629120000086</v>
      </c>
      <c r="GB138" s="13">
        <f t="shared" si="157"/>
        <v>90.042388870129827</v>
      </c>
      <c r="GC138" s="20">
        <f t="shared" si="133"/>
        <v>838.6102011221443</v>
      </c>
      <c r="GD138" s="59">
        <f t="shared" si="134"/>
        <v>1131.9435344554777</v>
      </c>
      <c r="GE138" s="59">
        <f ca="1">AVERAGE(OFFSET($GD$3,0,0,'Données projet'!$E$17+1,1))-AVERAGE(OFFSET($H$3,0,0,'Données projet'!$E$17+1,1))</f>
        <v>486.55344536255876</v>
      </c>
      <c r="GF138" s="59">
        <f t="shared" si="158"/>
        <v>231.14794884432229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43.868832586864571</v>
      </c>
      <c r="GM138" s="21">
        <f>EXP(-LN(2)/25)*GM137+(1-EXP(-LN(2)/25))/(LN(2)/25)*Calculateur!GH138*Calculateur!GJ138*VLOOKUP('Données projet'!$B$17,Paramètres!$A$1:$I$89,3,0)*0.475*44/12</f>
        <v>23.118801634954256</v>
      </c>
      <c r="GN138" s="21">
        <f>EXP(-LN(2)/2)*GN137+(1-EXP(-LN(2)/2))/(LN(2)/2)*GH138*GK138*VLOOKUP('Données projet'!$B$17,Paramètres!$A$1:$I$89,3,0)*0.475*44/12</f>
        <v>0.1128272912896514</v>
      </c>
      <c r="GO138" s="21">
        <f t="shared" si="135"/>
        <v>67.100461513108471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477.17792794193997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252.08270526008477</v>
      </c>
      <c r="T139" s="59">
        <f t="shared" si="142"/>
        <v>239.77811108960179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84.634761882108236</v>
      </c>
      <c r="AA139" s="21">
        <f>EXP(-LN(2)/25)*AA138+(1-EXP(-LN(2)/25))/(LN(2)/25)*Calculateur!V139*Calculateur!X139*VLOOKUP('Données projet'!$B$9,Paramètres!$A$1:$I$89,3,0)*0.475*44/12</f>
        <v>20.136673377584088</v>
      </c>
      <c r="AB139" s="21">
        <f>EXP(-LN(2)/2)*AB138+(1-EXP(-LN(2)/2))/(LN(2)/2)*V139*Y139*VLOOKUP('Données projet'!$B$9,Paramètres!$A$1:$I$89,3,0)*0.475*44/12</f>
        <v>2.0861428373074916E-4</v>
      </c>
      <c r="AC139" s="22">
        <f t="shared" si="111"/>
        <v>104.77164387397606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251.64326096359997</v>
      </c>
      <c r="AO139" s="59">
        <f t="shared" si="144"/>
        <v>256.72142151189894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30.827656795309668</v>
      </c>
      <c r="AV139" s="21">
        <f>EXP(-LN(2)/25)*AV138+(1-EXP(-LN(2)/25))/(LN(2)/25)*Calculateur!AQ139*Calculateur!AS139*VLOOKUP('Données projet'!$B$10,Paramètres!$A$1:$I$89,3,0)*0.475*44/12</f>
        <v>5.8894886572779468</v>
      </c>
      <c r="AW139" s="21">
        <f>EXP(-LN(2)/2)*AW138+(1-EXP(-LN(2)/2))/(LN(2)/2)*AQ139*AT139*VLOOKUP('Données projet'!$B$10,Paramètres!$A$1:$I$89,3,0)*0.475*44/12</f>
        <v>2.181384582340015E-10</v>
      </c>
      <c r="AX139" s="21">
        <f t="shared" si="114"/>
        <v>36.717145452805752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199.29783428981898</v>
      </c>
      <c r="BJ139" s="59">
        <f t="shared" si="146"/>
        <v>237.32002274562547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1.2798418186753338</v>
      </c>
      <c r="BQ139" s="21">
        <f>EXP(-LN(2)/25)*BQ138+(1-EXP(-LN(2)/25))/(LN(2)/25)*Calculateur!BL139*Calculateur!BN139*VLOOKUP('Données projet'!$B$11,Paramètres!$A$1:$I$89,3,0)*0.475*44/12</f>
        <v>3.5509379906654805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4.8307798093408145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2.5579538487363607E-13</v>
      </c>
      <c r="BZ139" s="13">
        <f>BY139*VLOOKUP('Données projet'!$B$12,Paramètres!$A$1:$I$89,3,0)*VLOOKUP('Données projet'!$B$12,Paramètres!$A$1:$I$89,5,0)</f>
        <v>2.1548203221755105E-13</v>
      </c>
      <c r="CA139" s="13">
        <f t="shared" si="147"/>
        <v>2.9604251148637229E-12</v>
      </c>
      <c r="CB139" s="20">
        <f t="shared" si="118"/>
        <v>5.5313716144998842E-12</v>
      </c>
      <c r="CC139" s="59">
        <f t="shared" si="119"/>
        <v>293.33333333333883</v>
      </c>
      <c r="CD139" s="59">
        <f ca="1">AVERAGE(OFFSET($CC$3,0,0,'Données projet'!$E$12+1,1))-AVERAGE(OFFSET($H$3,0,0,'Données projet'!$E$12+1,1))</f>
        <v>295.59075210589327</v>
      </c>
      <c r="CE139" s="59">
        <f t="shared" si="148"/>
        <v>210.41181542059576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93.392221481426745</v>
      </c>
      <c r="CL139" s="21">
        <f>EXP(-LN(2)/25)*CL138+(1-EXP(-LN(2)/25))/(LN(2)/25)*Calculateur!CG139*Calculateur!CI139*VLOOKUP('Données projet'!$B$12,Paramètres!$A$1:$I$89,3,0)*0.475*44/12</f>
        <v>18.558549987620214</v>
      </c>
      <c r="CM139" s="21">
        <f>EXP(-LN(2)/2)*CM138+(1-EXP(-LN(2)/2))/(LN(2)/2)*CG139*CJ139*VLOOKUP('Données projet'!$B$12,Paramètres!$A$1:$I$89,3,0)*0.475*44/12</f>
        <v>0.79245486595853576</v>
      </c>
      <c r="CN139" s="22">
        <f t="shared" si="120"/>
        <v>112.74322633500549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5.1727511163335289E-14</v>
      </c>
      <c r="CV139" s="13">
        <f t="shared" si="149"/>
        <v>8.3906664221915895E-13</v>
      </c>
      <c r="CW139" s="20">
        <f t="shared" si="121"/>
        <v>1.551466483807844E-12</v>
      </c>
      <c r="CX139" s="59">
        <f t="shared" si="122"/>
        <v>293.33333333333485</v>
      </c>
      <c r="CY139" s="59">
        <f ca="1">AVERAGE(OFFSET($CX$3,0,0,'Données projet'!$E$13+1,1))-AVERAGE(OFFSET($H$3,0,0,'Données projet'!$E$13+1,1))</f>
        <v>338.22448697444298</v>
      </c>
      <c r="CZ139" s="59">
        <f t="shared" si="150"/>
        <v>293.3872365640849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70.1684913212152</v>
      </c>
      <c r="DG139" s="21">
        <f>EXP(-LN(2)/25)*DG138+(1-EXP(-LN(2)/25))/(LN(2)/25)*Calculateur!DB139*Calculateur!DD139*VLOOKUP('Données projet'!$B$13,Paramètres!$A$1:$I$89,3,0)*0.475*44/12</f>
        <v>15.66701278139719</v>
      </c>
      <c r="DH139" s="21">
        <f>EXP(-LN(2)/2)*DH138+(1-EXP(-LN(2)/2))/(LN(2)/2)*DB139*DE139*VLOOKUP('Données projet'!$B$13,Paramètres!$A$1:$I$89,3,0)*0.475*44/12</f>
        <v>3.0143473416691619E-7</v>
      </c>
      <c r="DI139" s="22">
        <f t="shared" si="123"/>
        <v>85.835504404047128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5.6843418860808015E-13</v>
      </c>
      <c r="DP139" s="17">
        <f>DO139*VLOOKUP('Données projet'!$B$14,Paramètres!$A$1:$I$89,3,0)*VLOOKUP('Données projet'!$B$14,Paramètres!$A$1:$I$89,5,0)</f>
        <v>3.177547114319168E-13</v>
      </c>
      <c r="DQ139" s="13">
        <f t="shared" si="151"/>
        <v>4.1725404435445377E-12</v>
      </c>
      <c r="DR139" s="20">
        <f t="shared" si="124"/>
        <v>7.820597394917325E-12</v>
      </c>
      <c r="DS139" s="59">
        <f t="shared" si="125"/>
        <v>293.33333333334116</v>
      </c>
      <c r="DT139" s="59">
        <f ca="1">AVERAGE(OFFSET($DS$3,0,0,'Données projet'!$E$14+1,1))-AVERAGE(OFFSET($H$3,0,0,'Données projet'!$E$14+1,1))</f>
        <v>328.15217666639006</v>
      </c>
      <c r="DU139" s="59">
        <f t="shared" si="152"/>
        <v>305.59175773326308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62.442852343434467</v>
      </c>
      <c r="EB139" s="21">
        <f>EXP(-LN(2)/25)*EB138+(1-EXP(-LN(2)/25))/(LN(2)/25)*Calculateur!DW139*Calculateur!DY139*VLOOKUP('Données projet'!$B$14,Paramètres!$A$1:$I$89,3,0)*0.475*44/12</f>
        <v>12.314045586948993</v>
      </c>
      <c r="EC139" s="21">
        <f>EXP(-LN(2)/2)*EC138+(1-EXP(-LN(2)/2))/(LN(2)/2)*DW139*DZ139*VLOOKUP('Données projet'!$B$14,Paramètres!$A$1:$I$89,3,0)*0.475*44/12</f>
        <v>8.7899999137525341E-9</v>
      </c>
      <c r="ED139" s="22">
        <f t="shared" si="126"/>
        <v>74.756897939173456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159.78276497127206</v>
      </c>
      <c r="EP139" s="59">
        <f t="shared" si="154"/>
        <v>190.72163407919857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1.4865289169786486</v>
      </c>
      <c r="EW139" s="21">
        <f>EXP(-LN(2)/25)*EW138+(1-EXP(-LN(2)/25))/(LN(2)/25)*Calculateur!ER139*Calculateur!ET139*VLOOKUP('Données projet'!$B$15,Paramètres!$A$1:$I$89,3,0)*0.475*44/12</f>
        <v>4.1243940684683542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5.6109229854470026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5.3759999999999994</v>
      </c>
      <c r="FE139" s="12">
        <f>IF('Données projet'!$A$218&gt;35,FE138+FD139-FM138,IF(A139&lt;'Données projet'!$A$218,$FB$205^A139,IF(A139='Données projet'!$A$218,'Données projet'!$B$218,FE138+FD139-FM138)))</f>
        <v>198.0120000000006</v>
      </c>
      <c r="FF139" s="17">
        <f>FE139*VLOOKUP('Données projet'!$B$16,Paramètres!$A$1:$I$89,3,0)*VLOOKUP('Données projet'!$B$16,Paramètres!$A$1:$I$89,5,0)</f>
        <v>169.89429600000054</v>
      </c>
      <c r="FG139" s="13">
        <f t="shared" si="155"/>
        <v>43.066348548702905</v>
      </c>
      <c r="FH139" s="20">
        <f t="shared" si="130"/>
        <v>370.90645592232516</v>
      </c>
      <c r="FI139" s="59">
        <f t="shared" si="131"/>
        <v>664.23978925565848</v>
      </c>
      <c r="FJ139" s="59">
        <f ca="1">AVERAGE(OFFSET($FI$3,0,0,'Données projet'!$E$16+1,1))-AVERAGE(OFFSET($H$3,0,0,'Données projet'!$E$16+1,1))</f>
        <v>337.15023592377008</v>
      </c>
      <c r="FK139" s="59">
        <f t="shared" si="156"/>
        <v>286.60608582587099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72.865914753429735</v>
      </c>
      <c r="FR139" s="21">
        <f>EXP(-LN(2)/25)*FR138+(1-EXP(-LN(2)/25))/(LN(2)/25)*Calculateur!FM139*Calculateur!FO139*VLOOKUP('Données projet'!$B$16,Paramètres!$A$1:$I$89,3,0)*0.475*44/12</f>
        <v>27.151842521538789</v>
      </c>
      <c r="FS139" s="21">
        <f>EXP(-LN(2)/2)*FS138+(1-EXP(-LN(2)/2))/(LN(2)/2)*FM139*FP139*VLOOKUP('Données projet'!$B$16,Paramètres!$A$1:$I$89,3,0)*0.475*44/12</f>
        <v>2.6114208402030012</v>
      </c>
      <c r="FT139" s="22">
        <f t="shared" si="132"/>
        <v>102.62917811517151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9.1440000000000055</v>
      </c>
      <c r="FZ139" s="12">
        <f>IF('Données projet'!$A$244&gt;35,FZ138+FY139-GH138,IF(A139&lt;'Données projet'!$A$244,$FW$205^A139,IF(A139='Données projet'!$A$244,'Données projet'!$B$244,FZ138+FY139-GH138)))</f>
        <v>441.78800000000092</v>
      </c>
      <c r="GA139" s="17">
        <f>FZ139*VLOOKUP('Données projet'!$B$17,Paramètres!$A$1:$I$89,3,0)*VLOOKUP('Données projet'!$B$17,Paramètres!$A$1:$I$89,5,0)</f>
        <v>399.72978240000077</v>
      </c>
      <c r="GB139" s="13">
        <f t="shared" si="157"/>
        <v>91.721880595341759</v>
      </c>
      <c r="GC139" s="20">
        <f t="shared" si="133"/>
        <v>855.94497971688827</v>
      </c>
      <c r="GD139" s="59">
        <f t="shared" si="134"/>
        <v>1149.2783130502216</v>
      </c>
      <c r="GE139" s="59">
        <f ca="1">AVERAGE(OFFSET($GD$3,0,0,'Données projet'!$E$17+1,1))-AVERAGE(OFFSET($H$3,0,0,'Données projet'!$E$17+1,1))</f>
        <v>486.55344536255876</v>
      </c>
      <c r="GF139" s="59">
        <f t="shared" si="158"/>
        <v>231.14794884432229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43.008591537181964</v>
      </c>
      <c r="GM139" s="21">
        <f>EXP(-LN(2)/25)*GM138+(1-EXP(-LN(2)/25))/(LN(2)/25)*Calculateur!GH139*Calculateur!GJ139*VLOOKUP('Données projet'!$B$17,Paramètres!$A$1:$I$89,3,0)*0.475*44/12</f>
        <v>22.486616788481491</v>
      </c>
      <c r="GN139" s="21">
        <f>EXP(-LN(2)/2)*GN138+(1-EXP(-LN(2)/2))/(LN(2)/2)*GH139*GK139*VLOOKUP('Données projet'!$B$17,Paramètres!$A$1:$I$89,3,0)*0.475*44/12</f>
        <v>7.9780942773822389E-2</v>
      </c>
      <c r="GO139" s="21">
        <f t="shared" si="135"/>
        <v>65.574989268437278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478.75911433492848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252.08270526008477</v>
      </c>
      <c r="T140" s="59">
        <f t="shared" si="142"/>
        <v>239.77811108960179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82.975125823707586</v>
      </c>
      <c r="AA140" s="21">
        <f>EXP(-LN(2)/25)*AA139+(1-EXP(-LN(2)/25))/(LN(2)/25)*Calculateur!V140*Calculateur!X140*VLOOKUP('Données projet'!$B$9,Paramètres!$A$1:$I$89,3,0)*0.475*44/12</f>
        <v>19.586034985132422</v>
      </c>
      <c r="AB140" s="21">
        <f>EXP(-LN(2)/2)*AB139+(1-EXP(-LN(2)/2))/(LN(2)/2)*V140*Y140*VLOOKUP('Données projet'!$B$9,Paramètres!$A$1:$I$89,3,0)*0.475*44/12</f>
        <v>1.4751257467838719E-4</v>
      </c>
      <c r="AC140" s="22">
        <f t="shared" si="111"/>
        <v>102.5613083214147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251.64326096359997</v>
      </c>
      <c r="AO140" s="59">
        <f t="shared" si="144"/>
        <v>256.72142151189894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30.223145248567647</v>
      </c>
      <c r="AV140" s="21">
        <f>EXP(-LN(2)/25)*AV139+(1-EXP(-LN(2)/25))/(LN(2)/25)*Calculateur!AQ140*Calculateur!AS140*VLOOKUP('Données projet'!$B$10,Paramètres!$A$1:$I$89,3,0)*0.475*44/12</f>
        <v>5.7284402802299335</v>
      </c>
      <c r="AW140" s="21">
        <f>EXP(-LN(2)/2)*AW139+(1-EXP(-LN(2)/2))/(LN(2)/2)*AQ140*AT140*VLOOKUP('Données projet'!$B$10,Paramètres!$A$1:$I$89,3,0)*0.475*44/12</f>
        <v>1.5424718305484093E-10</v>
      </c>
      <c r="AX140" s="21">
        <f t="shared" si="114"/>
        <v>35.951585528951824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199.29783428981898</v>
      </c>
      <c r="BJ140" s="59">
        <f t="shared" si="146"/>
        <v>237.32002274562547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1.2547449012375393</v>
      </c>
      <c r="BQ140" s="21">
        <f>EXP(-LN(2)/25)*BQ139+(1-EXP(-LN(2)/25))/(LN(2)/25)*Calculateur!BL140*Calculateur!BN140*VLOOKUP('Données projet'!$B$11,Paramètres!$A$1:$I$89,3,0)*0.475*44/12</f>
        <v>3.4538374045750198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4.7085823058125591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2.5579538487363607E-13</v>
      </c>
      <c r="BZ140" s="13">
        <f>BY140*VLOOKUP('Données projet'!$B$12,Paramètres!$A$1:$I$89,3,0)*VLOOKUP('Données projet'!$B$12,Paramètres!$A$1:$I$89,5,0)</f>
        <v>2.1548203221755105E-13</v>
      </c>
      <c r="CA140" s="13">
        <f t="shared" si="147"/>
        <v>2.9604251148637229E-12</v>
      </c>
      <c r="CB140" s="20">
        <f t="shared" si="118"/>
        <v>5.5313716144998842E-12</v>
      </c>
      <c r="CC140" s="59">
        <f t="shared" si="119"/>
        <v>293.33333333333883</v>
      </c>
      <c r="CD140" s="59">
        <f ca="1">AVERAGE(OFFSET($CC$3,0,0,'Données projet'!$E$12+1,1))-AVERAGE(OFFSET($H$3,0,0,'Données projet'!$E$12+1,1))</f>
        <v>295.59075210589327</v>
      </c>
      <c r="CE140" s="59">
        <f t="shared" si="148"/>
        <v>210.41181542059576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91.560856981806381</v>
      </c>
      <c r="CL140" s="21">
        <f>EXP(-LN(2)/25)*CL139+(1-EXP(-LN(2)/25))/(LN(2)/25)*Calculateur!CG140*Calculateur!CI140*VLOOKUP('Données projet'!$B$12,Paramètres!$A$1:$I$89,3,0)*0.475*44/12</f>
        <v>18.051065462257011</v>
      </c>
      <c r="CM140" s="21">
        <f>EXP(-LN(2)/2)*CM139+(1-EXP(-LN(2)/2))/(LN(2)/2)*CG140*CJ140*VLOOKUP('Données projet'!$B$12,Paramètres!$A$1:$I$89,3,0)*0.475*44/12</f>
        <v>0.56035020950355718</v>
      </c>
      <c r="CN140" s="22">
        <f t="shared" si="120"/>
        <v>110.17227265356695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5.1727511163335289E-14</v>
      </c>
      <c r="CV140" s="13">
        <f t="shared" si="149"/>
        <v>8.3906664221915895E-13</v>
      </c>
      <c r="CW140" s="20">
        <f t="shared" si="121"/>
        <v>1.551466483807844E-12</v>
      </c>
      <c r="CX140" s="59">
        <f t="shared" si="122"/>
        <v>293.33333333333485</v>
      </c>
      <c r="CY140" s="59">
        <f ca="1">AVERAGE(OFFSET($CX$3,0,0,'Données projet'!$E$13+1,1))-AVERAGE(OFFSET($H$3,0,0,'Données projet'!$E$13+1,1))</f>
        <v>338.22448697444298</v>
      </c>
      <c r="CZ140" s="59">
        <f t="shared" si="150"/>
        <v>293.3872365640849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68.792530004959872</v>
      </c>
      <c r="DG140" s="21">
        <f>EXP(-LN(2)/25)*DG139+(1-EXP(-LN(2)/25))/(LN(2)/25)*Calculateur!DB140*Calculateur!DD140*VLOOKUP('Données projet'!$B$13,Paramètres!$A$1:$I$89,3,0)*0.475*44/12</f>
        <v>15.238597492997489</v>
      </c>
      <c r="DH140" s="21">
        <f>EXP(-LN(2)/2)*DH139+(1-EXP(-LN(2)/2))/(LN(2)/2)*DB140*DE140*VLOOKUP('Données projet'!$B$13,Paramètres!$A$1:$I$89,3,0)*0.475*44/12</f>
        <v>2.1314654461459073E-7</v>
      </c>
      <c r="DI140" s="22">
        <f t="shared" si="123"/>
        <v>84.031127711103906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5.6843418860808015E-13</v>
      </c>
      <c r="DP140" s="17">
        <f>DO140*VLOOKUP('Données projet'!$B$14,Paramètres!$A$1:$I$89,3,0)*VLOOKUP('Données projet'!$B$14,Paramètres!$A$1:$I$89,5,0)</f>
        <v>3.177547114319168E-13</v>
      </c>
      <c r="DQ140" s="13">
        <f t="shared" si="151"/>
        <v>4.1725404435445377E-12</v>
      </c>
      <c r="DR140" s="20">
        <f t="shared" si="124"/>
        <v>7.820597394917325E-12</v>
      </c>
      <c r="DS140" s="59">
        <f t="shared" si="125"/>
        <v>293.33333333334116</v>
      </c>
      <c r="DT140" s="59">
        <f ca="1">AVERAGE(OFFSET($DS$3,0,0,'Données projet'!$E$14+1,1))-AVERAGE(OFFSET($H$3,0,0,'Données projet'!$E$14+1,1))</f>
        <v>328.15217666639006</v>
      </c>
      <c r="DU140" s="59">
        <f t="shared" si="152"/>
        <v>305.59175773326308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61.21838609535893</v>
      </c>
      <c r="EB140" s="21">
        <f>EXP(-LN(2)/25)*EB139+(1-EXP(-LN(2)/25))/(LN(2)/25)*Calculateur!DW140*Calculateur!DY140*VLOOKUP('Données projet'!$B$14,Paramètres!$A$1:$I$89,3,0)*0.475*44/12</f>
        <v>11.977317362806359</v>
      </c>
      <c r="EC140" s="21">
        <f>EXP(-LN(2)/2)*EC139+(1-EXP(-LN(2)/2))/(LN(2)/2)*DW140*DZ140*VLOOKUP('Données projet'!$B$14,Paramètres!$A$1:$I$89,3,0)*0.475*44/12</f>
        <v>6.2154685456435849E-9</v>
      </c>
      <c r="ED140" s="22">
        <f t="shared" si="126"/>
        <v>73.195703464380756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159.78276497127206</v>
      </c>
      <c r="EP140" s="59">
        <f t="shared" si="154"/>
        <v>190.72163407919857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1.4573789916098081</v>
      </c>
      <c r="EW140" s="21">
        <f>EXP(-LN(2)/25)*EW139+(1-EXP(-LN(2)/25))/(LN(2)/25)*Calculateur!ER140*Calculateur!ET140*VLOOKUP('Données projet'!$B$15,Paramètres!$A$1:$I$89,3,0)*0.475*44/12</f>
        <v>4.0116122957736291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5.468991287383437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5.3759999999999994</v>
      </c>
      <c r="FE140" s="12">
        <f>IF('Données projet'!$A$218&gt;35,FE139+FD140-FM139,IF(A140&lt;'Données projet'!$A$218,$FB$205^A140,IF(A140='Données projet'!$A$218,'Données projet'!$B$218,FE139+FD140-FM139)))</f>
        <v>203.3880000000006</v>
      </c>
      <c r="FF140" s="17">
        <f>FE140*VLOOKUP('Données projet'!$B$16,Paramètres!$A$1:$I$89,3,0)*VLOOKUP('Données projet'!$B$16,Paramètres!$A$1:$I$89,5,0)</f>
        <v>174.50690400000053</v>
      </c>
      <c r="FG140" s="13">
        <f t="shared" si="155"/>
        <v>44.097877859243965</v>
      </c>
      <c r="FH140" s="20">
        <f t="shared" si="130"/>
        <v>380.73666173818418</v>
      </c>
      <c r="FI140" s="59">
        <f t="shared" si="131"/>
        <v>674.0699950715175</v>
      </c>
      <c r="FJ140" s="59">
        <f ca="1">AVERAGE(OFFSET($FI$3,0,0,'Données projet'!$E$16+1,1))-AVERAGE(OFFSET($H$3,0,0,'Données projet'!$E$16+1,1))</f>
        <v>337.15023592377008</v>
      </c>
      <c r="FK140" s="59">
        <f t="shared" si="156"/>
        <v>286.60608582587099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71.437058608934521</v>
      </c>
      <c r="FR140" s="21">
        <f>EXP(-LN(2)/25)*FR139+(1-EXP(-LN(2)/25))/(LN(2)/25)*Calculateur!FM140*Calculateur!FO140*VLOOKUP('Données projet'!$B$16,Paramètres!$A$1:$I$89,3,0)*0.475*44/12</f>
        <v>26.409373959933969</v>
      </c>
      <c r="FS140" s="21">
        <f>EXP(-LN(2)/2)*FS139+(1-EXP(-LN(2)/2))/(LN(2)/2)*FM140*FP140*VLOOKUP('Données projet'!$B$16,Paramètres!$A$1:$I$89,3,0)*0.475*44/12</f>
        <v>1.8465533846394138</v>
      </c>
      <c r="FT140" s="22">
        <f t="shared" si="132"/>
        <v>99.6929859535079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9.1440000000000055</v>
      </c>
      <c r="FZ140" s="12">
        <f>IF('Données projet'!$A$244&gt;35,FZ139+FY140-GH139,IF(A140&lt;'Données projet'!$A$244,$FW$205^A140,IF(A140='Données projet'!$A$244,'Données projet'!$B$244,FZ139+FY140-GH139)))</f>
        <v>450.93200000000093</v>
      </c>
      <c r="GA140" s="17">
        <f>FZ140*VLOOKUP('Données projet'!$B$17,Paramètres!$A$1:$I$89,3,0)*VLOOKUP('Données projet'!$B$17,Paramètres!$A$1:$I$89,5,0)</f>
        <v>408.00327360000085</v>
      </c>
      <c r="GB140" s="13">
        <f t="shared" si="157"/>
        <v>93.397330631669121</v>
      </c>
      <c r="GC140" s="20">
        <f t="shared" si="133"/>
        <v>873.27271903682515</v>
      </c>
      <c r="GD140" s="59">
        <f t="shared" si="134"/>
        <v>1166.6060523701585</v>
      </c>
      <c r="GE140" s="59">
        <f ca="1">AVERAGE(OFFSET($GD$3,0,0,'Données projet'!$E$17+1,1))-AVERAGE(OFFSET($H$3,0,0,'Données projet'!$E$17+1,1))</f>
        <v>486.55344536255876</v>
      </c>
      <c r="GF140" s="59">
        <f t="shared" si="158"/>
        <v>231.14794884432229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42.165219289788404</v>
      </c>
      <c r="GM140" s="21">
        <f>EXP(-LN(2)/25)*GM139+(1-EXP(-LN(2)/25))/(LN(2)/25)*Calculateur!GH140*Calculateur!GJ140*VLOOKUP('Données projet'!$B$17,Paramètres!$A$1:$I$89,3,0)*0.475*44/12</f>
        <v>21.871719069880683</v>
      </c>
      <c r="GN140" s="21">
        <f>EXP(-LN(2)/2)*GN139+(1-EXP(-LN(2)/2))/(LN(2)/2)*GH140*GK140*VLOOKUP('Données projet'!$B$17,Paramètres!$A$1:$I$89,3,0)*0.475*44/12</f>
        <v>5.6413645644825698E-2</v>
      </c>
      <c r="GO140" s="21">
        <f t="shared" si="135"/>
        <v>64.093352005313903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480.34004237934255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252.08270526008477</v>
      </c>
      <c r="T141" s="59">
        <f t="shared" si="142"/>
        <v>239.77811108960179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81.348034216134124</v>
      </c>
      <c r="AA141" s="21">
        <f>EXP(-LN(2)/25)*AA140+(1-EXP(-LN(2)/25))/(LN(2)/25)*Calculateur!V141*Calculateur!X141*VLOOKUP('Données projet'!$B$9,Paramètres!$A$1:$I$89,3,0)*0.475*44/12</f>
        <v>19.05045382847916</v>
      </c>
      <c r="AB141" s="21">
        <f>EXP(-LN(2)/2)*AB140+(1-EXP(-LN(2)/2))/(LN(2)/2)*V141*Y141*VLOOKUP('Données projet'!$B$9,Paramètres!$A$1:$I$89,3,0)*0.475*44/12</f>
        <v>1.0430714186537458E-4</v>
      </c>
      <c r="AC141" s="22">
        <f t="shared" si="111"/>
        <v>100.39859235175516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251.64326096359997</v>
      </c>
      <c r="AO141" s="59">
        <f t="shared" si="144"/>
        <v>256.72142151189894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29.630487804541602</v>
      </c>
      <c r="AV141" s="21">
        <f>EXP(-LN(2)/25)*AV140+(1-EXP(-LN(2)/25))/(LN(2)/25)*Calculateur!AQ141*Calculateur!AS141*VLOOKUP('Données projet'!$B$10,Paramètres!$A$1:$I$89,3,0)*0.475*44/12</f>
        <v>5.5717957795214641</v>
      </c>
      <c r="AW141" s="21">
        <f>EXP(-LN(2)/2)*AW140+(1-EXP(-LN(2)/2))/(LN(2)/2)*AQ141*AT141*VLOOKUP('Données projet'!$B$10,Paramètres!$A$1:$I$89,3,0)*0.475*44/12</f>
        <v>1.0906922911700075E-10</v>
      </c>
      <c r="AX141" s="21">
        <f t="shared" si="114"/>
        <v>35.202283584172136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199.29783428981898</v>
      </c>
      <c r="BJ141" s="59">
        <f t="shared" si="146"/>
        <v>237.32002274562547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1.2301401190430921</v>
      </c>
      <c r="BQ141" s="21">
        <f>EXP(-LN(2)/25)*BQ140+(1-EXP(-LN(2)/25))/(LN(2)/25)*Calculateur!BL141*Calculateur!BN141*VLOOKUP('Données projet'!$B$11,Paramètres!$A$1:$I$89,3,0)*0.475*44/12</f>
        <v>3.3593920391175005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4.5895321581605923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2.5579538487363607E-13</v>
      </c>
      <c r="BZ141" s="13">
        <f>BY141*VLOOKUP('Données projet'!$B$12,Paramètres!$A$1:$I$89,3,0)*VLOOKUP('Données projet'!$B$12,Paramètres!$A$1:$I$89,5,0)</f>
        <v>2.1548203221755105E-13</v>
      </c>
      <c r="CA141" s="13">
        <f t="shared" si="147"/>
        <v>2.9604251148637229E-12</v>
      </c>
      <c r="CB141" s="20">
        <f t="shared" si="118"/>
        <v>5.5313716144998842E-12</v>
      </c>
      <c r="CC141" s="59">
        <f t="shared" si="119"/>
        <v>293.33333333333883</v>
      </c>
      <c r="CD141" s="59">
        <f ca="1">AVERAGE(OFFSET($CC$3,0,0,'Données projet'!$E$12+1,1))-AVERAGE(OFFSET($H$3,0,0,'Données projet'!$E$12+1,1))</f>
        <v>295.59075210589327</v>
      </c>
      <c r="CE141" s="59">
        <f t="shared" si="148"/>
        <v>210.41181542059576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89.765404423001527</v>
      </c>
      <c r="CL141" s="21">
        <f>EXP(-LN(2)/25)*CL140+(1-EXP(-LN(2)/25))/(LN(2)/25)*Calculateur!CG141*Calculateur!CI141*VLOOKUP('Données projet'!$B$12,Paramètres!$A$1:$I$89,3,0)*0.475*44/12</f>
        <v>17.557458127927315</v>
      </c>
      <c r="CM141" s="21">
        <f>EXP(-LN(2)/2)*CM140+(1-EXP(-LN(2)/2))/(LN(2)/2)*CG141*CJ141*VLOOKUP('Données projet'!$B$12,Paramètres!$A$1:$I$89,3,0)*0.475*44/12</f>
        <v>0.39622743297926788</v>
      </c>
      <c r="CN141" s="22">
        <f t="shared" si="120"/>
        <v>107.71908998390812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5.1727511163335289E-14</v>
      </c>
      <c r="CV141" s="13">
        <f t="shared" si="149"/>
        <v>8.3906664221915895E-13</v>
      </c>
      <c r="CW141" s="20">
        <f t="shared" si="121"/>
        <v>1.551466483807844E-12</v>
      </c>
      <c r="CX141" s="59">
        <f t="shared" si="122"/>
        <v>293.33333333333485</v>
      </c>
      <c r="CY141" s="59">
        <f ca="1">AVERAGE(OFFSET($CX$3,0,0,'Données projet'!$E$13+1,1))-AVERAGE(OFFSET($H$3,0,0,'Données projet'!$E$13+1,1))</f>
        <v>338.22448697444298</v>
      </c>
      <c r="CZ141" s="59">
        <f t="shared" si="150"/>
        <v>293.3872365640849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67.443550450862773</v>
      </c>
      <c r="DG141" s="21">
        <f>EXP(-LN(2)/25)*DG140+(1-EXP(-LN(2)/25))/(LN(2)/25)*Calculateur!DB141*Calculateur!DD141*VLOOKUP('Données projet'!$B$13,Paramètres!$A$1:$I$89,3,0)*0.475*44/12</f>
        <v>14.821897243188458</v>
      </c>
      <c r="DH141" s="21">
        <f>EXP(-LN(2)/2)*DH140+(1-EXP(-LN(2)/2))/(LN(2)/2)*DB141*DE141*VLOOKUP('Données projet'!$B$13,Paramètres!$A$1:$I$89,3,0)*0.475*44/12</f>
        <v>1.507173670834581E-7</v>
      </c>
      <c r="DI141" s="22">
        <f t="shared" si="123"/>
        <v>82.265447844768602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5.6843418860808015E-13</v>
      </c>
      <c r="DP141" s="17">
        <f>DO141*VLOOKUP('Données projet'!$B$14,Paramètres!$A$1:$I$89,3,0)*VLOOKUP('Données projet'!$B$14,Paramètres!$A$1:$I$89,5,0)</f>
        <v>3.177547114319168E-13</v>
      </c>
      <c r="DQ141" s="13">
        <f t="shared" si="151"/>
        <v>4.1725404435445377E-12</v>
      </c>
      <c r="DR141" s="20">
        <f t="shared" si="124"/>
        <v>7.820597394917325E-12</v>
      </c>
      <c r="DS141" s="59">
        <f t="shared" si="125"/>
        <v>293.33333333334116</v>
      </c>
      <c r="DT141" s="59">
        <f ca="1">AVERAGE(OFFSET($DS$3,0,0,'Données projet'!$E$14+1,1))-AVERAGE(OFFSET($H$3,0,0,'Données projet'!$E$14+1,1))</f>
        <v>328.15217666639006</v>
      </c>
      <c r="DU141" s="59">
        <f t="shared" si="152"/>
        <v>305.59175773326308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60.01793088355749</v>
      </c>
      <c r="EB141" s="21">
        <f>EXP(-LN(2)/25)*EB140+(1-EXP(-LN(2)/25))/(LN(2)/25)*Calculateur!DW141*Calculateur!DY141*VLOOKUP('Données projet'!$B$14,Paramètres!$A$1:$I$89,3,0)*0.475*44/12</f>
        <v>11.649796989660674</v>
      </c>
      <c r="EC141" s="21">
        <f>EXP(-LN(2)/2)*EC140+(1-EXP(-LN(2)/2))/(LN(2)/2)*DW141*DZ141*VLOOKUP('Données projet'!$B$14,Paramètres!$A$1:$I$89,3,0)*0.475*44/12</f>
        <v>4.394999956876267E-9</v>
      </c>
      <c r="ED141" s="22">
        <f t="shared" si="126"/>
        <v>71.667727877613174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159.78276497127206</v>
      </c>
      <c r="EP141" s="59">
        <f t="shared" si="154"/>
        <v>190.72163407919857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1.4288006784977518</v>
      </c>
      <c r="EW141" s="21">
        <f>EXP(-LN(2)/25)*EW140+(1-EXP(-LN(2)/25))/(LN(2)/25)*Calculateur!ER141*Calculateur!ET141*VLOOKUP('Données projet'!$B$15,Paramètres!$A$1:$I$89,3,0)*0.475*44/12</f>
        <v>3.9019145465841771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5.3307152250819287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5.3759999999999994</v>
      </c>
      <c r="FE141" s="12">
        <f>IF('Données projet'!$A$218&gt;35,FE140+FD141-FM140,IF(A141&lt;'Données projet'!$A$218,$FB$205^A141,IF(A141='Données projet'!$A$218,'Données projet'!$B$218,FE140+FD141-FM140)))</f>
        <v>208.76400000000061</v>
      </c>
      <c r="FF141" s="17">
        <f>FE141*VLOOKUP('Données projet'!$B$16,Paramètres!$A$1:$I$89,3,0)*VLOOKUP('Données projet'!$B$16,Paramètres!$A$1:$I$89,5,0)</f>
        <v>179.11951200000053</v>
      </c>
      <c r="FG141" s="13">
        <f t="shared" si="155"/>
        <v>45.126237937997139</v>
      </c>
      <c r="FH141" s="20">
        <f t="shared" si="130"/>
        <v>390.56134780867916</v>
      </c>
      <c r="FI141" s="59">
        <f t="shared" si="131"/>
        <v>683.89468114201247</v>
      </c>
      <c r="FJ141" s="59">
        <f ca="1">AVERAGE(OFFSET($FI$3,0,0,'Données projet'!$E$16+1,1))-AVERAGE(OFFSET($H$3,0,0,'Données projet'!$E$16+1,1))</f>
        <v>337.15023592377008</v>
      </c>
      <c r="FK141" s="59">
        <f t="shared" si="156"/>
        <v>286.60608582587099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70.036221461916654</v>
      </c>
      <c r="FR141" s="21">
        <f>EXP(-LN(2)/25)*FR140+(1-EXP(-LN(2)/25))/(LN(2)/25)*Calculateur!FM141*Calculateur!FO141*VLOOKUP('Données projet'!$B$16,Paramètres!$A$1:$I$89,3,0)*0.475*44/12</f>
        <v>25.687208240190959</v>
      </c>
      <c r="FS141" s="21">
        <f>EXP(-LN(2)/2)*FS140+(1-EXP(-LN(2)/2))/(LN(2)/2)*FM141*FP141*VLOOKUP('Données projet'!$B$16,Paramètres!$A$1:$I$89,3,0)*0.475*44/12</f>
        <v>1.3057104201015008</v>
      </c>
      <c r="FT141" s="22">
        <f t="shared" si="132"/>
        <v>97.029140122209114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9.1440000000000055</v>
      </c>
      <c r="FZ141" s="12">
        <f>IF('Données projet'!$A$244&gt;35,FZ140+FY141-GH140,IF(A141&lt;'Données projet'!$A$244,$FW$205^A141,IF(A141='Données projet'!$A$244,'Données projet'!$B$244,FZ140+FY141-GH140)))</f>
        <v>460.07600000000093</v>
      </c>
      <c r="GA141" s="17">
        <f>FZ141*VLOOKUP('Données projet'!$B$17,Paramètres!$A$1:$I$89,3,0)*VLOOKUP('Données projet'!$B$17,Paramètres!$A$1:$I$89,5,0)</f>
        <v>416.27676480000082</v>
      </c>
      <c r="GB141" s="13">
        <f t="shared" si="157"/>
        <v>95.068830381071379</v>
      </c>
      <c r="GC141" s="20">
        <f t="shared" si="133"/>
        <v>890.5935782737007</v>
      </c>
      <c r="GD141" s="59">
        <f t="shared" si="134"/>
        <v>1183.9269116070341</v>
      </c>
      <c r="GE141" s="59">
        <f ca="1">AVERAGE(OFFSET($GD$3,0,0,'Données projet'!$E$17+1,1))-AVERAGE(OFFSET($H$3,0,0,'Données projet'!$E$17+1,1))</f>
        <v>486.55344536255876</v>
      </c>
      <c r="GF141" s="59">
        <f t="shared" si="158"/>
        <v>231.14794884432229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41.338385057759957</v>
      </c>
      <c r="GM141" s="21">
        <f>EXP(-LN(2)/25)*GM140+(1-EXP(-LN(2)/25))/(LN(2)/25)*Calculateur!GH141*Calculateur!GJ141*VLOOKUP('Données projet'!$B$17,Paramètres!$A$1:$I$89,3,0)*0.475*44/12</f>
        <v>21.273635761731079</v>
      </c>
      <c r="GN141" s="21">
        <f>EXP(-LN(2)/2)*GN140+(1-EXP(-LN(2)/2))/(LN(2)/2)*GH141*GK141*VLOOKUP('Données projet'!$B$17,Paramètres!$A$1:$I$89,3,0)*0.475*44/12</f>
        <v>3.9890471386911194E-2</v>
      </c>
      <c r="GO141" s="21">
        <f t="shared" si="135"/>
        <v>62.651911290877948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481.92071416433993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252.08270526008477</v>
      </c>
      <c r="T142" s="59">
        <f t="shared" si="142"/>
        <v>239.77811108960179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79.752848882557288</v>
      </c>
      <c r="AA142" s="21">
        <f>EXP(-LN(2)/25)*AA141+(1-EXP(-LN(2)/25))/(LN(2)/25)*Calculateur!V142*Calculateur!X142*VLOOKUP('Données projet'!$B$9,Paramètres!$A$1:$I$89,3,0)*0.475*44/12</f>
        <v>18.529518166719569</v>
      </c>
      <c r="AB142" s="21">
        <f>EXP(-LN(2)/2)*AB141+(1-EXP(-LN(2)/2))/(LN(2)/2)*V142*Y142*VLOOKUP('Données projet'!$B$9,Paramètres!$A$1:$I$89,3,0)*0.475*44/12</f>
        <v>7.3756287339193593E-5</v>
      </c>
      <c r="AC142" s="22">
        <f t="shared" si="111"/>
        <v>98.282440805564192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251.64326096359997</v>
      </c>
      <c r="AO142" s="59">
        <f t="shared" si="144"/>
        <v>256.72142151189894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29.049452011507558</v>
      </c>
      <c r="AV142" s="21">
        <f>EXP(-LN(2)/25)*AV141+(1-EXP(-LN(2)/25))/(LN(2)/25)*Calculateur!AQ142*Calculateur!AS142*VLOOKUP('Données projet'!$B$10,Paramètres!$A$1:$I$89,3,0)*0.475*44/12</f>
        <v>5.4194347309224442</v>
      </c>
      <c r="AW142" s="21">
        <f>EXP(-LN(2)/2)*AW141+(1-EXP(-LN(2)/2))/(LN(2)/2)*AQ142*AT142*VLOOKUP('Données projet'!$B$10,Paramètres!$A$1:$I$89,3,0)*0.475*44/12</f>
        <v>7.7123591527420465E-11</v>
      </c>
      <c r="AX142" s="21">
        <f t="shared" si="114"/>
        <v>34.468886742507124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199.29783428981898</v>
      </c>
      <c r="BJ142" s="59">
        <f t="shared" si="146"/>
        <v>237.32002274562547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1.2060178216200426</v>
      </c>
      <c r="BQ142" s="21">
        <f>EXP(-LN(2)/25)*BQ141+(1-EXP(-LN(2)/25))/(LN(2)/25)*Calculateur!BL142*Calculateur!BN142*VLOOKUP('Données projet'!$B$11,Paramètres!$A$1:$I$89,3,0)*0.475*44/12</f>
        <v>3.267529287145083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4.4735471087651257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2.5579538487363607E-13</v>
      </c>
      <c r="BZ142" s="13">
        <f>BY142*VLOOKUP('Données projet'!$B$12,Paramètres!$A$1:$I$89,3,0)*VLOOKUP('Données projet'!$B$12,Paramètres!$A$1:$I$89,5,0)</f>
        <v>2.1548203221755105E-13</v>
      </c>
      <c r="CA142" s="13">
        <f t="shared" si="147"/>
        <v>2.9604251148637229E-12</v>
      </c>
      <c r="CB142" s="20">
        <f t="shared" si="118"/>
        <v>5.5313716144998842E-12</v>
      </c>
      <c r="CC142" s="59">
        <f t="shared" si="119"/>
        <v>293.33333333333883</v>
      </c>
      <c r="CD142" s="59">
        <f ca="1">AVERAGE(OFFSET($CC$3,0,0,'Données projet'!$E$12+1,1))-AVERAGE(OFFSET($H$3,0,0,'Données projet'!$E$12+1,1))</f>
        <v>295.59075210589327</v>
      </c>
      <c r="CE142" s="59">
        <f t="shared" si="148"/>
        <v>210.41181542059576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88.0051595937569</v>
      </c>
      <c r="CL142" s="21">
        <f>EXP(-LN(2)/25)*CL141+(1-EXP(-LN(2)/25))/(LN(2)/25)*Calculateur!CG142*Calculateur!CI142*VLOOKUP('Données projet'!$B$12,Paramètres!$A$1:$I$89,3,0)*0.475*44/12</f>
        <v>17.077348512112547</v>
      </c>
      <c r="CM142" s="21">
        <f>EXP(-LN(2)/2)*CM141+(1-EXP(-LN(2)/2))/(LN(2)/2)*CG142*CJ142*VLOOKUP('Données projet'!$B$12,Paramètres!$A$1:$I$89,3,0)*0.475*44/12</f>
        <v>0.28017510475177859</v>
      </c>
      <c r="CN142" s="22">
        <f t="shared" si="120"/>
        <v>105.36268321062123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5.1727511163335289E-14</v>
      </c>
      <c r="CV142" s="13">
        <f t="shared" si="149"/>
        <v>8.3906664221915895E-13</v>
      </c>
      <c r="CW142" s="20">
        <f t="shared" si="121"/>
        <v>1.551466483807844E-12</v>
      </c>
      <c r="CX142" s="59">
        <f t="shared" si="122"/>
        <v>293.33333333333485</v>
      </c>
      <c r="CY142" s="59">
        <f ca="1">AVERAGE(OFFSET($CX$3,0,0,'Données projet'!$E$13+1,1))-AVERAGE(OFFSET($H$3,0,0,'Données projet'!$E$13+1,1))</f>
        <v>338.22448697444298</v>
      </c>
      <c r="CZ142" s="59">
        <f t="shared" si="150"/>
        <v>293.3872365640849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66.121023563025233</v>
      </c>
      <c r="DG142" s="21">
        <f>EXP(-LN(2)/25)*DG141+(1-EXP(-LN(2)/25))/(LN(2)/25)*Calculateur!DB142*Calculateur!DD142*VLOOKUP('Données projet'!$B$13,Paramètres!$A$1:$I$89,3,0)*0.475*44/12</f>
        <v>14.41659168362377</v>
      </c>
      <c r="DH142" s="21">
        <f>EXP(-LN(2)/2)*DH141+(1-EXP(-LN(2)/2))/(LN(2)/2)*DB142*DE142*VLOOKUP('Données projet'!$B$13,Paramètres!$A$1:$I$89,3,0)*0.475*44/12</f>
        <v>1.0657327230729537E-7</v>
      </c>
      <c r="DI142" s="22">
        <f t="shared" si="123"/>
        <v>80.537615353222265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5.6843418860808015E-13</v>
      </c>
      <c r="DP142" s="17">
        <f>DO142*VLOOKUP('Données projet'!$B$14,Paramètres!$A$1:$I$89,3,0)*VLOOKUP('Données projet'!$B$14,Paramètres!$A$1:$I$89,5,0)</f>
        <v>3.177547114319168E-13</v>
      </c>
      <c r="DQ142" s="13">
        <f t="shared" si="151"/>
        <v>4.1725404435445377E-12</v>
      </c>
      <c r="DR142" s="20">
        <f t="shared" si="124"/>
        <v>7.820597394917325E-12</v>
      </c>
      <c r="DS142" s="59">
        <f t="shared" si="125"/>
        <v>293.33333333334116</v>
      </c>
      <c r="DT142" s="59">
        <f ca="1">AVERAGE(OFFSET($DS$3,0,0,'Données projet'!$E$14+1,1))-AVERAGE(OFFSET($H$3,0,0,'Données projet'!$E$14+1,1))</f>
        <v>328.15217666639006</v>
      </c>
      <c r="DU142" s="59">
        <f t="shared" si="152"/>
        <v>305.59175773326308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58.841015866254097</v>
      </c>
      <c r="EB142" s="21">
        <f>EXP(-LN(2)/25)*EB141+(1-EXP(-LN(2)/25))/(LN(2)/25)*Calculateur!DW142*Calculateur!DY142*VLOOKUP('Données projet'!$B$14,Paramètres!$A$1:$I$89,3,0)*0.475*44/12</f>
        <v>11.331232678342205</v>
      </c>
      <c r="EC142" s="21">
        <f>EXP(-LN(2)/2)*EC141+(1-EXP(-LN(2)/2))/(LN(2)/2)*DW142*DZ142*VLOOKUP('Données projet'!$B$14,Paramètres!$A$1:$I$89,3,0)*0.475*44/12</f>
        <v>3.1077342728217924E-9</v>
      </c>
      <c r="ED142" s="22">
        <f t="shared" si="126"/>
        <v>70.172248547704029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159.78276497127206</v>
      </c>
      <c r="EP142" s="59">
        <f t="shared" si="154"/>
        <v>190.72163407919857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1.4007827686747731</v>
      </c>
      <c r="EW142" s="21">
        <f>EXP(-LN(2)/25)*EW141+(1-EXP(-LN(2)/25))/(LN(2)/25)*Calculateur!ER142*Calculateur!ET142*VLOOKUP('Données projet'!$B$15,Paramètres!$A$1:$I$89,3,0)*0.475*44/12</f>
        <v>3.7952164881150647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5.1959992567898379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>
        <f>VLOOKUP(A142,'Données projet'!$A$217:$I$237,2,0)</f>
        <v>214.14</v>
      </c>
      <c r="FC142" s="12">
        <f>VLOOKUP(A142,'Données projet'!$A$217:$I$237,9,0)</f>
        <v>5.3759999999999994</v>
      </c>
      <c r="FD142" s="12">
        <f t="array" ref="FD142">INDEX(FC:FC,MIN(IF(ISNUMBER(FC142:FC338),ROW(FC142:FC338),"")))</f>
        <v>5.3759999999999994</v>
      </c>
      <c r="FE142" s="12">
        <f>IF('Données projet'!$A$218&gt;35,FE141+FD142-FM141,IF(A142&lt;'Données projet'!$A$218,$FB$205^A142,IF(A142='Données projet'!$A$218,'Données projet'!$B$218,FE141+FD142-FM141)))</f>
        <v>214.14000000000061</v>
      </c>
      <c r="FF142" s="17">
        <f>FE142*VLOOKUP('Données projet'!$B$16,Paramètres!$A$1:$I$89,3,0)*VLOOKUP('Données projet'!$B$16,Paramètres!$A$1:$I$89,5,0)</f>
        <v>183.73212000000055</v>
      </c>
      <c r="FG142" s="13">
        <f t="shared" si="155"/>
        <v>46.15151978129721</v>
      </c>
      <c r="FH142" s="20">
        <f t="shared" si="130"/>
        <v>400.38067261909356</v>
      </c>
      <c r="FI142" s="59">
        <f t="shared" si="131"/>
        <v>693.71400595242687</v>
      </c>
      <c r="FJ142" s="59">
        <f ca="1">AVERAGE(OFFSET($FI$3,0,0,'Données projet'!$E$16+1,1))-AVERAGE(OFFSET($H$3,0,0,'Données projet'!$E$16+1,1))</f>
        <v>337.15023592377008</v>
      </c>
      <c r="FK142" s="59">
        <f t="shared" si="156"/>
        <v>286.60608582587099</v>
      </c>
      <c r="FL142" s="15">
        <f>IF(ISNA(VLOOKUP(A142,'Données projet'!$A$217:$I$237,3,0)),0,VLOOKUP(A142,'Données projet'!$A$217:$I$237,3,0))</f>
        <v>10</v>
      </c>
      <c r="FM142" s="15">
        <f>IF(ISNA(VLOOKUP(A142,'Données projet'!$A$217:$I$237,4,0)),0,VLOOKUP(A142,'Données projet'!$A$217:$I$237,4,0))</f>
        <v>88.109999999999985</v>
      </c>
      <c r="FN142" s="16">
        <f>IF(ISNA(VLOOKUP(A142,'Données projet'!$A$217:$I$237,5,0)),0%,VLOOKUP(A142,'Données projet'!$A$217:$I$237,5,0)*VLOOKUP('Données projet'!$B$16,Paramètres!$A$1:$I$89,7,0))</f>
        <v>0.23850000000000002</v>
      </c>
      <c r="FO142" s="16">
        <f>IF(ISNA(VLOOKUP(A142,'Données projet'!$A$217:$I$237,6,0)),0%,VLOOKUP(A142,'Données projet'!$A$217:$I$237,6,0)*VLOOKUP('Données projet'!$B$16,Paramètres!$A$1:$I$89,7,0))</f>
        <v>2.6500000000000003E-2</v>
      </c>
      <c r="FP142" s="16">
        <f>IF(ISNA(VLOOKUP(A142,'Données projet'!$A$217:$I$237,7,0)),0%,VLOOKUP(A142,'Données projet'!$A$217:$I$237,7,0))</f>
        <v>0.05</v>
      </c>
      <c r="FQ142" s="21">
        <f>EXP(-LN(2)/35)*FQ141+(1-EXP(-LN(2)/35))/(LN(2)/35)*FM142*FN142*VLOOKUP('Données projet'!$B$16,Paramètres!$A$1:$I$89,3,0)*0.475*44/12</f>
        <v>88.594720981541798</v>
      </c>
      <c r="FR142" s="21">
        <f>EXP(-LN(2)/25)*FR141+(1-EXP(-LN(2)/25))/(LN(2)/25)*Calculateur!FM142*Calculateur!FO142*VLOOKUP('Données projet'!$B$16,Paramètres!$A$1:$I$89,3,0)*0.475*44/12</f>
        <v>27.190722152163435</v>
      </c>
      <c r="FS142" s="21">
        <f>EXP(-LN(2)/2)*FS141+(1-EXP(-LN(2)/2))/(LN(2)/2)*FM142*FP142*VLOOKUP('Données projet'!$B$16,Paramètres!$A$1:$I$89,3,0)*0.475*44/12</f>
        <v>4.4897320038479913</v>
      </c>
      <c r="FT142" s="22">
        <f t="shared" si="132"/>
        <v>120.27517513755322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9.1440000000000055</v>
      </c>
      <c r="FZ142" s="12">
        <f>IF('Données projet'!$A$244&gt;35,FZ141+FY142-GH141,IF(A142&lt;'Données projet'!$A$244,$FW$205^A142,IF(A142='Données projet'!$A$244,'Données projet'!$B$244,FZ141+FY142-GH141)))</f>
        <v>469.22000000000094</v>
      </c>
      <c r="GA142" s="17">
        <f>FZ142*VLOOKUP('Données projet'!$B$17,Paramètres!$A$1:$I$89,3,0)*VLOOKUP('Données projet'!$B$17,Paramètres!$A$1:$I$89,5,0)</f>
        <v>424.55025600000084</v>
      </c>
      <c r="GB142" s="13">
        <f t="shared" si="157"/>
        <v>96.736467404516418</v>
      </c>
      <c r="GC142" s="20">
        <f t="shared" si="133"/>
        <v>907.90770992953412</v>
      </c>
      <c r="GD142" s="59">
        <f t="shared" si="134"/>
        <v>1201.2410432628674</v>
      </c>
      <c r="GE142" s="59">
        <f ca="1">AVERAGE(OFFSET($GD$3,0,0,'Données projet'!$E$17+1,1))-AVERAGE(OFFSET($H$3,0,0,'Données projet'!$E$17+1,1))</f>
        <v>486.55344536255876</v>
      </c>
      <c r="GF142" s="59">
        <f t="shared" si="158"/>
        <v>231.14794884432229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40.527764540702499</v>
      </c>
      <c r="GM142" s="21">
        <f>EXP(-LN(2)/25)*GM141+(1-EXP(-LN(2)/25))/(LN(2)/25)*Calculateur!GH142*Calculateur!GJ142*VLOOKUP('Données projet'!$B$17,Paramètres!$A$1:$I$89,3,0)*0.475*44/12</f>
        <v>20.691907073094658</v>
      </c>
      <c r="GN142" s="21">
        <f>EXP(-LN(2)/2)*GN141+(1-EXP(-LN(2)/2))/(LN(2)/2)*GH142*GK142*VLOOKUP('Données projet'!$B$17,Paramètres!$A$1:$I$89,3,0)*0.475*44/12</f>
        <v>2.8206822822412849E-2</v>
      </c>
      <c r="GO142" s="21">
        <f t="shared" si="135"/>
        <v>61.247878436619573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483.50113174728205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252.08270526008477</v>
      </c>
      <c r="T143" s="59">
        <f t="shared" si="142"/>
        <v>239.77811108960179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78.188944160404915</v>
      </c>
      <c r="AA143" s="21">
        <f>EXP(-LN(2)/25)*AA142+(1-EXP(-LN(2)/25))/(LN(2)/25)*Calculateur!V143*Calculateur!X143*VLOOKUP('Données projet'!$B$9,Paramètres!$A$1:$I$89,3,0)*0.475*44/12</f>
        <v>18.022827518025611</v>
      </c>
      <c r="AB143" s="21">
        <f>EXP(-LN(2)/2)*AB142+(1-EXP(-LN(2)/2))/(LN(2)/2)*V143*Y143*VLOOKUP('Données projet'!$B$9,Paramètres!$A$1:$I$89,3,0)*0.475*44/12</f>
        <v>5.215357093268729E-5</v>
      </c>
      <c r="AC143" s="22">
        <f t="shared" si="111"/>
        <v>96.211823832001457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251.64326096359997</v>
      </c>
      <c r="AO143" s="59">
        <f t="shared" si="144"/>
        <v>256.72142151189894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28.479809975978075</v>
      </c>
      <c r="AV143" s="21">
        <f>EXP(-LN(2)/25)*AV142+(1-EXP(-LN(2)/25))/(LN(2)/25)*Calculateur!AQ143*Calculateur!AS143*VLOOKUP('Données projet'!$B$10,Paramètres!$A$1:$I$89,3,0)*0.475*44/12</f>
        <v>5.2712400032096838</v>
      </c>
      <c r="AW143" s="21">
        <f>EXP(-LN(2)/2)*AW142+(1-EXP(-LN(2)/2))/(LN(2)/2)*AQ143*AT143*VLOOKUP('Données projet'!$B$10,Paramètres!$A$1:$I$89,3,0)*0.475*44/12</f>
        <v>5.4534614558500374E-11</v>
      </c>
      <c r="AX143" s="21">
        <f t="shared" si="114"/>
        <v>33.751049979242289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199.29783428981898</v>
      </c>
      <c r="BJ143" s="59">
        <f t="shared" si="146"/>
        <v>237.32002274562547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1.1823685477363104</v>
      </c>
      <c r="BQ143" s="21">
        <f>EXP(-LN(2)/25)*BQ142+(1-EXP(-LN(2)/25))/(LN(2)/25)*Calculateur!BL143*Calculateur!BN143*VLOOKUP('Données projet'!$B$11,Paramètres!$A$1:$I$89,3,0)*0.475*44/12</f>
        <v>3.1781785269562035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4.3605470746925139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2.5579538487363607E-13</v>
      </c>
      <c r="BZ143" s="13">
        <f>BY143*VLOOKUP('Données projet'!$B$12,Paramètres!$A$1:$I$89,3,0)*VLOOKUP('Données projet'!$B$12,Paramètres!$A$1:$I$89,5,0)</f>
        <v>2.1548203221755105E-13</v>
      </c>
      <c r="CA143" s="13">
        <f t="shared" si="147"/>
        <v>2.9604251148637229E-12</v>
      </c>
      <c r="CB143" s="20">
        <f t="shared" si="118"/>
        <v>5.5313716144998842E-12</v>
      </c>
      <c r="CC143" s="59">
        <f t="shared" si="119"/>
        <v>293.33333333333883</v>
      </c>
      <c r="CD143" s="59">
        <f ca="1">AVERAGE(OFFSET($CC$3,0,0,'Données projet'!$E$12+1,1))-AVERAGE(OFFSET($H$3,0,0,'Données projet'!$E$12+1,1))</f>
        <v>295.59075210589327</v>
      </c>
      <c r="CE143" s="59">
        <f t="shared" si="148"/>
        <v>210.41181542059576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86.279432091970435</v>
      </c>
      <c r="CL143" s="21">
        <f>EXP(-LN(2)/25)*CL142+(1-EXP(-LN(2)/25))/(LN(2)/25)*Calculateur!CG143*Calculateur!CI143*VLOOKUP('Données projet'!$B$12,Paramètres!$A$1:$I$89,3,0)*0.475*44/12</f>
        <v>16.610367518990103</v>
      </c>
      <c r="CM143" s="21">
        <f>EXP(-LN(2)/2)*CM142+(1-EXP(-LN(2)/2))/(LN(2)/2)*CG143*CJ143*VLOOKUP('Données projet'!$B$12,Paramètres!$A$1:$I$89,3,0)*0.475*44/12</f>
        <v>0.19811371648963394</v>
      </c>
      <c r="CN143" s="22">
        <f t="shared" si="120"/>
        <v>103.08791332745017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5.1727511163335289E-14</v>
      </c>
      <c r="CV143" s="13">
        <f t="shared" si="149"/>
        <v>8.3906664221915895E-13</v>
      </c>
      <c r="CW143" s="20">
        <f t="shared" si="121"/>
        <v>1.551466483807844E-12</v>
      </c>
      <c r="CX143" s="59">
        <f t="shared" si="122"/>
        <v>293.33333333333485</v>
      </c>
      <c r="CY143" s="59">
        <f ca="1">AVERAGE(OFFSET($CX$3,0,0,'Données projet'!$E$13+1,1))-AVERAGE(OFFSET($H$3,0,0,'Données projet'!$E$13+1,1))</f>
        <v>338.22448697444298</v>
      </c>
      <c r="CZ143" s="59">
        <f t="shared" si="150"/>
        <v>293.3872365640849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64.824430620796434</v>
      </c>
      <c r="DG143" s="21">
        <f>EXP(-LN(2)/25)*DG142+(1-EXP(-LN(2)/25))/(LN(2)/25)*Calculateur!DB143*Calculateur!DD143*VLOOKUP('Données projet'!$B$13,Paramètres!$A$1:$I$89,3,0)*0.475*44/12</f>
        <v>14.022369225899471</v>
      </c>
      <c r="DH143" s="21">
        <f>EXP(-LN(2)/2)*DH142+(1-EXP(-LN(2)/2))/(LN(2)/2)*DB143*DE143*VLOOKUP('Données projet'!$B$13,Paramètres!$A$1:$I$89,3,0)*0.475*44/12</f>
        <v>7.5358683541729048E-8</v>
      </c>
      <c r="DI143" s="22">
        <f t="shared" si="123"/>
        <v>78.846799922054586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5.6843418860808015E-13</v>
      </c>
      <c r="DP143" s="17">
        <f>DO143*VLOOKUP('Données projet'!$B$14,Paramètres!$A$1:$I$89,3,0)*VLOOKUP('Données projet'!$B$14,Paramètres!$A$1:$I$89,5,0)</f>
        <v>3.177547114319168E-13</v>
      </c>
      <c r="DQ143" s="13">
        <f t="shared" si="151"/>
        <v>4.1725404435445377E-12</v>
      </c>
      <c r="DR143" s="20">
        <f t="shared" si="124"/>
        <v>7.820597394917325E-12</v>
      </c>
      <c r="DS143" s="59">
        <f t="shared" si="125"/>
        <v>293.33333333334116</v>
      </c>
      <c r="DT143" s="59">
        <f ca="1">AVERAGE(OFFSET($DS$3,0,0,'Données projet'!$E$14+1,1))-AVERAGE(OFFSET($H$3,0,0,'Données projet'!$E$14+1,1))</f>
        <v>328.15217666639006</v>
      </c>
      <c r="DU143" s="59">
        <f t="shared" si="152"/>
        <v>305.59175773326308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57.687179434592743</v>
      </c>
      <c r="EB143" s="21">
        <f>EXP(-LN(2)/25)*EB142+(1-EXP(-LN(2)/25))/(LN(2)/25)*Calculateur!DW143*Calculateur!DY143*VLOOKUP('Données projet'!$B$14,Paramètres!$A$1:$I$89,3,0)*0.475*44/12</f>
        <v>11.021379524869308</v>
      </c>
      <c r="EC143" s="21">
        <f>EXP(-LN(2)/2)*EC142+(1-EXP(-LN(2)/2))/(LN(2)/2)*DW143*DZ143*VLOOKUP('Données projet'!$B$14,Paramètres!$A$1:$I$89,3,0)*0.475*44/12</f>
        <v>2.1974999784381335E-9</v>
      </c>
      <c r="ED143" s="22">
        <f t="shared" si="126"/>
        <v>68.708558961659548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159.78276497127206</v>
      </c>
      <c r="EP143" s="59">
        <f t="shared" si="154"/>
        <v>190.72163407919857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1.3733142729741854</v>
      </c>
      <c r="EW143" s="21">
        <f>EXP(-LN(2)/25)*EW142+(1-EXP(-LN(2)/25))/(LN(2)/25)*Calculateur!ER143*Calculateur!ET143*VLOOKUP('Données projet'!$B$15,Paramètres!$A$1:$I$89,3,0)*0.475*44/12</f>
        <v>3.6914360936657973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5.0647503666399825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4.0349999999999966</v>
      </c>
      <c r="FE143" s="12">
        <f>IF('Données projet'!$A$218&gt;35,FE142+FD143-FM142,IF(A143&lt;'Données projet'!$A$218,$FB$205^A143,IF(A143='Données projet'!$A$218,'Données projet'!$B$218,FE142+FD143-FM142)))</f>
        <v>130.06500000000062</v>
      </c>
      <c r="FF143" s="17">
        <f>FE143*VLOOKUP('Données projet'!$B$16,Paramètres!$A$1:$I$89,3,0)*VLOOKUP('Données projet'!$B$16,Paramètres!$A$1:$I$89,5,0)</f>
        <v>111.59577000000054</v>
      </c>
      <c r="FG143" s="13">
        <f t="shared" si="155"/>
        <v>29.706644692577495</v>
      </c>
      <c r="FH143" s="20">
        <f t="shared" si="130"/>
        <v>246.10170558957336</v>
      </c>
      <c r="FI143" s="59">
        <f t="shared" si="131"/>
        <v>539.43503892290664</v>
      </c>
      <c r="FJ143" s="59">
        <f ca="1">AVERAGE(OFFSET($FI$3,0,0,'Données projet'!$E$16+1,1))-AVERAGE(OFFSET($H$3,0,0,'Données projet'!$E$16+1,1))</f>
        <v>337.15023592377008</v>
      </c>
      <c r="FK143" s="59">
        <f t="shared" si="156"/>
        <v>286.60608582587099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86.8574325405378</v>
      </c>
      <c r="FR143" s="21">
        <f>EXP(-LN(2)/25)*FR142+(1-EXP(-LN(2)/25))/(LN(2)/25)*Calculateur!FM143*Calculateur!FO143*VLOOKUP('Données projet'!$B$16,Paramètres!$A$1:$I$89,3,0)*0.475*44/12</f>
        <v>26.447190425014593</v>
      </c>
      <c r="FS143" s="21">
        <f>EXP(-LN(2)/2)*FS142+(1-EXP(-LN(2)/2))/(LN(2)/2)*FM143*FP143*VLOOKUP('Données projet'!$B$16,Paramètres!$A$1:$I$89,3,0)*0.475*44/12</f>
        <v>3.1747199456311814</v>
      </c>
      <c r="FT143" s="22">
        <f t="shared" si="132"/>
        <v>116.47934291118358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9.1440000000000055</v>
      </c>
      <c r="FZ143" s="12">
        <f>IF('Données projet'!$A$244&gt;35,FZ142+FY143-GH142,IF(A143&lt;'Données projet'!$A$244,$FW$205^A143,IF(A143='Données projet'!$A$244,'Données projet'!$B$244,FZ142+FY143-GH142)))</f>
        <v>478.36400000000094</v>
      </c>
      <c r="GA143" s="17">
        <f>FZ143*VLOOKUP('Données projet'!$B$17,Paramètres!$A$1:$I$89,3,0)*VLOOKUP('Données projet'!$B$17,Paramètres!$A$1:$I$89,5,0)</f>
        <v>432.82374720000081</v>
      </c>
      <c r="GB143" s="13">
        <f t="shared" si="157"/>
        <v>98.400325655042849</v>
      </c>
      <c r="GC143" s="20">
        <f t="shared" si="133"/>
        <v>925.21526022253431</v>
      </c>
      <c r="GD143" s="59">
        <f t="shared" si="134"/>
        <v>1218.5485935558677</v>
      </c>
      <c r="GE143" s="59">
        <f ca="1">AVERAGE(OFFSET($GD$3,0,0,'Données projet'!$E$17+1,1))-AVERAGE(OFFSET($H$3,0,0,'Données projet'!$E$17+1,1))</f>
        <v>486.55344536255876</v>
      </c>
      <c r="GF143" s="59">
        <f t="shared" si="158"/>
        <v>231.14794884432229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39.733039797554845</v>
      </c>
      <c r="GM143" s="21">
        <f>EXP(-LN(2)/25)*GM142+(1-EXP(-LN(2)/25))/(LN(2)/25)*Calculateur!GH143*Calculateur!GJ143*VLOOKUP('Données projet'!$B$17,Paramètres!$A$1:$I$89,3,0)*0.475*44/12</f>
        <v>20.126085786040782</v>
      </c>
      <c r="GN143" s="21">
        <f>EXP(-LN(2)/2)*GN142+(1-EXP(-LN(2)/2))/(LN(2)/2)*GH143*GK143*VLOOKUP('Données projet'!$B$17,Paramètres!$A$1:$I$89,3,0)*0.475*44/12</f>
        <v>1.9945235693455597E-2</v>
      </c>
      <c r="GO143" s="21">
        <f t="shared" si="135"/>
        <v>59.879070819289083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485.08129715444073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252.08270526008477</v>
      </c>
      <c r="T144" s="59">
        <f t="shared" si="142"/>
        <v>239.77811108960179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76.655706655966256</v>
      </c>
      <c r="AA144" s="21">
        <f>EXP(-LN(2)/25)*AA143+(1-EXP(-LN(2)/25))/(LN(2)/25)*Calculateur!V144*Calculateur!X144*VLOOKUP('Données projet'!$B$9,Paramètres!$A$1:$I$89,3,0)*0.475*44/12</f>
        <v>17.529992351765895</v>
      </c>
      <c r="AB144" s="21">
        <f>EXP(-LN(2)/2)*AB143+(1-EXP(-LN(2)/2))/(LN(2)/2)*V144*Y144*VLOOKUP('Données projet'!$B$9,Paramètres!$A$1:$I$89,3,0)*0.475*44/12</f>
        <v>3.6878143669596797E-5</v>
      </c>
      <c r="AC144" s="22">
        <f t="shared" si="111"/>
        <v>94.185735885875829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251.64326096359997</v>
      </c>
      <c r="AO144" s="59">
        <f t="shared" si="144"/>
        <v>256.72142151189894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27.921338273317989</v>
      </c>
      <c r="AV144" s="21">
        <f>EXP(-LN(2)/25)*AV143+(1-EXP(-LN(2)/25))/(LN(2)/25)*Calculateur!AQ144*Calculateur!AS144*VLOOKUP('Données projet'!$B$10,Paramètres!$A$1:$I$89,3,0)*0.475*44/12</f>
        <v>5.1270976681194504</v>
      </c>
      <c r="AW144" s="21">
        <f>EXP(-LN(2)/2)*AW143+(1-EXP(-LN(2)/2))/(LN(2)/2)*AQ144*AT144*VLOOKUP('Données projet'!$B$10,Paramètres!$A$1:$I$89,3,0)*0.475*44/12</f>
        <v>3.8561795763710233E-11</v>
      </c>
      <c r="AX144" s="21">
        <f t="shared" si="114"/>
        <v>33.048435941476001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199.29783428981898</v>
      </c>
      <c r="BJ144" s="59">
        <f t="shared" si="146"/>
        <v>237.32002274562547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1.1591830216888055</v>
      </c>
      <c r="BQ144" s="21">
        <f>EXP(-LN(2)/25)*BQ143+(1-EXP(-LN(2)/25))/(LN(2)/25)*Calculateur!BL144*Calculateur!BN144*VLOOKUP('Données projet'!$B$11,Paramètres!$A$1:$I$89,3,0)*0.475*44/12</f>
        <v>3.0912710680034414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4.2504540896922469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2.5579538487363607E-13</v>
      </c>
      <c r="BZ144" s="13">
        <f>BY144*VLOOKUP('Données projet'!$B$12,Paramètres!$A$1:$I$89,3,0)*VLOOKUP('Données projet'!$B$12,Paramètres!$A$1:$I$89,5,0)</f>
        <v>2.1548203221755105E-13</v>
      </c>
      <c r="CA144" s="13">
        <f t="shared" si="147"/>
        <v>2.9604251148637229E-12</v>
      </c>
      <c r="CB144" s="20">
        <f t="shared" si="118"/>
        <v>5.5313716144998842E-12</v>
      </c>
      <c r="CC144" s="59">
        <f t="shared" si="119"/>
        <v>293.33333333333883</v>
      </c>
      <c r="CD144" s="59">
        <f ca="1">AVERAGE(OFFSET($CC$3,0,0,'Données projet'!$E$12+1,1))-AVERAGE(OFFSET($H$3,0,0,'Données projet'!$E$12+1,1))</f>
        <v>295.59075210589327</v>
      </c>
      <c r="CE144" s="59">
        <f t="shared" si="148"/>
        <v>210.41181542059576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84.587545053904165</v>
      </c>
      <c r="CL144" s="21">
        <f>EXP(-LN(2)/25)*CL143+(1-EXP(-LN(2)/25))/(LN(2)/25)*Calculateur!CG144*Calculateur!CI144*VLOOKUP('Données projet'!$B$12,Paramètres!$A$1:$I$89,3,0)*0.475*44/12</f>
        <v>16.156156145682054</v>
      </c>
      <c r="CM144" s="21">
        <f>EXP(-LN(2)/2)*CM143+(1-EXP(-LN(2)/2))/(LN(2)/2)*CG144*CJ144*VLOOKUP('Données projet'!$B$12,Paramètres!$A$1:$I$89,3,0)*0.475*44/12</f>
        <v>0.1400875523758893</v>
      </c>
      <c r="CN144" s="22">
        <f t="shared" si="120"/>
        <v>100.8837887519621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5.1727511163335289E-14</v>
      </c>
      <c r="CV144" s="13">
        <f t="shared" si="149"/>
        <v>8.3906664221915895E-13</v>
      </c>
      <c r="CW144" s="20">
        <f t="shared" si="121"/>
        <v>1.551466483807844E-12</v>
      </c>
      <c r="CX144" s="59">
        <f t="shared" si="122"/>
        <v>293.33333333333485</v>
      </c>
      <c r="CY144" s="59">
        <f ca="1">AVERAGE(OFFSET($CX$3,0,0,'Données projet'!$E$13+1,1))-AVERAGE(OFFSET($H$3,0,0,'Données projet'!$E$13+1,1))</f>
        <v>338.22448697444298</v>
      </c>
      <c r="CZ144" s="59">
        <f t="shared" si="150"/>
        <v>293.3872365640849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63.553263075321141</v>
      </c>
      <c r="DG144" s="21">
        <f>EXP(-LN(2)/25)*DG143+(1-EXP(-LN(2)/25))/(LN(2)/25)*Calculateur!DB144*Calculateur!DD144*VLOOKUP('Données projet'!$B$13,Paramètres!$A$1:$I$89,3,0)*0.475*44/12</f>
        <v>13.6389268020129</v>
      </c>
      <c r="DH144" s="21">
        <f>EXP(-LN(2)/2)*DH143+(1-EXP(-LN(2)/2))/(LN(2)/2)*DB144*DE144*VLOOKUP('Données projet'!$B$13,Paramètres!$A$1:$I$89,3,0)*0.475*44/12</f>
        <v>5.3286636153647683E-8</v>
      </c>
      <c r="DI144" s="22">
        <f t="shared" si="123"/>
        <v>77.192189930620685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5.6843418860808015E-13</v>
      </c>
      <c r="DP144" s="17">
        <f>DO144*VLOOKUP('Données projet'!$B$14,Paramètres!$A$1:$I$89,3,0)*VLOOKUP('Données projet'!$B$14,Paramètres!$A$1:$I$89,5,0)</f>
        <v>3.177547114319168E-13</v>
      </c>
      <c r="DQ144" s="13">
        <f t="shared" si="151"/>
        <v>4.1725404435445377E-12</v>
      </c>
      <c r="DR144" s="20">
        <f t="shared" si="124"/>
        <v>7.820597394917325E-12</v>
      </c>
      <c r="DS144" s="59">
        <f t="shared" si="125"/>
        <v>293.33333333334116</v>
      </c>
      <c r="DT144" s="59">
        <f ca="1">AVERAGE(OFFSET($DS$3,0,0,'Données projet'!$E$14+1,1))-AVERAGE(OFFSET($H$3,0,0,'Données projet'!$E$14+1,1))</f>
        <v>328.15217666639006</v>
      </c>
      <c r="DU144" s="59">
        <f t="shared" si="152"/>
        <v>305.59175773326308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56.555969031585533</v>
      </c>
      <c r="EB144" s="21">
        <f>EXP(-LN(2)/25)*EB143+(1-EXP(-LN(2)/25))/(LN(2)/25)*Calculateur!DW144*Calculateur!DY144*VLOOKUP('Données projet'!$B$14,Paramètres!$A$1:$I$89,3,0)*0.475*44/12</f>
        <v>10.719999322172598</v>
      </c>
      <c r="EC144" s="21">
        <f>EXP(-LN(2)/2)*EC143+(1-EXP(-LN(2)/2))/(LN(2)/2)*DW144*DZ144*VLOOKUP('Données projet'!$B$14,Paramètres!$A$1:$I$89,3,0)*0.475*44/12</f>
        <v>1.5538671364108962E-9</v>
      </c>
      <c r="ED144" s="22">
        <f t="shared" si="126"/>
        <v>67.275968355312003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159.78276497127206</v>
      </c>
      <c r="EP144" s="59">
        <f t="shared" si="154"/>
        <v>190.72163407919857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1.3463844177201583</v>
      </c>
      <c r="EW144" s="21">
        <f>EXP(-LN(2)/25)*EW143+(1-EXP(-LN(2)/25))/(LN(2)/25)*Calculateur!ER144*Calculateur!ET144*VLOOKUP('Données projet'!$B$15,Paramètres!$A$1:$I$89,3,0)*0.475*44/12</f>
        <v>3.5904935795603188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4.9368779972804768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4.0349999999999966</v>
      </c>
      <c r="FE144" s="12">
        <f>IF('Données projet'!$A$218&gt;35,FE143+FD144-FM143,IF(A144&lt;'Données projet'!$A$218,$FB$205^A144,IF(A144='Données projet'!$A$218,'Données projet'!$B$218,FE143+FD144-FM143)))</f>
        <v>134.10000000000062</v>
      </c>
      <c r="FF144" s="17">
        <f>FE144*VLOOKUP('Données projet'!$B$16,Paramètres!$A$1:$I$89,3,0)*VLOOKUP('Données projet'!$B$16,Paramètres!$A$1:$I$89,5,0)</f>
        <v>115.05780000000055</v>
      </c>
      <c r="FG144" s="13">
        <f t="shared" si="155"/>
        <v>30.51950605857655</v>
      </c>
      <c r="FH144" s="20">
        <f t="shared" si="130"/>
        <v>253.5471413853551</v>
      </c>
      <c r="FI144" s="59">
        <f t="shared" si="131"/>
        <v>546.88047471868845</v>
      </c>
      <c r="FJ144" s="59">
        <f ca="1">AVERAGE(OFFSET($FI$3,0,0,'Données projet'!$E$16+1,1))-AVERAGE(OFFSET($H$3,0,0,'Données projet'!$E$16+1,1))</f>
        <v>337.15023592377008</v>
      </c>
      <c r="FK144" s="59">
        <f t="shared" si="156"/>
        <v>286.60608582587099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85.154211266220585</v>
      </c>
      <c r="FR144" s="21">
        <f>EXP(-LN(2)/25)*FR143+(1-EXP(-LN(2)/25))/(LN(2)/25)*Calculateur!FM144*Calculateur!FO144*VLOOKUP('Données projet'!$B$16,Paramètres!$A$1:$I$89,3,0)*0.475*44/12</f>
        <v>25.72399061204527</v>
      </c>
      <c r="FS144" s="21">
        <f>EXP(-LN(2)/2)*FS143+(1-EXP(-LN(2)/2))/(LN(2)/2)*FM144*FP144*VLOOKUP('Données projet'!$B$16,Paramètres!$A$1:$I$89,3,0)*0.475*44/12</f>
        <v>2.2448660019239961</v>
      </c>
      <c r="FT144" s="22">
        <f t="shared" si="132"/>
        <v>113.12306788018985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9.1440000000000055</v>
      </c>
      <c r="FZ144" s="12">
        <f>IF('Données projet'!$A$244&gt;35,FZ143+FY144-GH143,IF(A144&lt;'Données projet'!$A$244,$FW$205^A144,IF(A144='Données projet'!$A$244,'Données projet'!$B$244,FZ143+FY144-GH143)))</f>
        <v>487.50800000000095</v>
      </c>
      <c r="GA144" s="17">
        <f>FZ144*VLOOKUP('Données projet'!$B$17,Paramètres!$A$1:$I$89,3,0)*VLOOKUP('Données projet'!$B$17,Paramètres!$A$1:$I$89,5,0)</f>
        <v>441.09723840000083</v>
      </c>
      <c r="GB144" s="13">
        <f t="shared" si="157"/>
        <v>100.06048569250036</v>
      </c>
      <c r="GC144" s="20">
        <f t="shared" si="133"/>
        <v>942.51636946110614</v>
      </c>
      <c r="GD144" s="59">
        <f t="shared" si="134"/>
        <v>1235.8497027944395</v>
      </c>
      <c r="GE144" s="59">
        <f ca="1">AVERAGE(OFFSET($GD$3,0,0,'Données projet'!$E$17+1,1))-AVERAGE(OFFSET($H$3,0,0,'Données projet'!$E$17+1,1))</f>
        <v>486.55344536255876</v>
      </c>
      <c r="GF144" s="59">
        <f t="shared" si="158"/>
        <v>231.14794884432229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38.953899121886089</v>
      </c>
      <c r="GM144" s="21">
        <f>EXP(-LN(2)/25)*GM143+(1-EXP(-LN(2)/25))/(LN(2)/25)*Calculateur!GH144*Calculateur!GJ144*VLOOKUP('Données projet'!$B$17,Paramètres!$A$1:$I$89,3,0)*0.475*44/12</f>
        <v>19.575736911836646</v>
      </c>
      <c r="GN144" s="21">
        <f>EXP(-LN(2)/2)*GN143+(1-EXP(-LN(2)/2))/(LN(2)/2)*GH144*GK144*VLOOKUP('Données projet'!$B$17,Paramètres!$A$1:$I$89,3,0)*0.475*44/12</f>
        <v>1.4103411411206425E-2</v>
      </c>
      <c r="GO144" s="21">
        <f t="shared" si="135"/>
        <v>58.543739445133944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486.66121238168557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252.08270526008477</v>
      </c>
      <c r="T145" s="59">
        <f t="shared" si="142"/>
        <v>239.77811108960179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75.152535003807102</v>
      </c>
      <c r="AA145" s="21">
        <f>EXP(-LN(2)/25)*AA144+(1-EXP(-LN(2)/25))/(LN(2)/25)*Calculateur!V145*Calculateur!X145*VLOOKUP('Données projet'!$B$9,Paramètres!$A$1:$I$89,3,0)*0.475*44/12</f>
        <v>17.050633789044625</v>
      </c>
      <c r="AB145" s="21">
        <f>EXP(-LN(2)/2)*AB144+(1-EXP(-LN(2)/2))/(LN(2)/2)*V145*Y145*VLOOKUP('Données projet'!$B$9,Paramètres!$A$1:$I$89,3,0)*0.475*44/12</f>
        <v>2.6076785466343645E-5</v>
      </c>
      <c r="AC145" s="22">
        <f t="shared" si="111"/>
        <v>92.203194869637187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251.64326096359997</v>
      </c>
      <c r="AO145" s="59">
        <f t="shared" si="144"/>
        <v>256.72142151189894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27.373817860112965</v>
      </c>
      <c r="AV145" s="21">
        <f>EXP(-LN(2)/25)*AV144+(1-EXP(-LN(2)/25))/(LN(2)/25)*Calculateur!AQ145*Calculateur!AS145*VLOOKUP('Données projet'!$B$10,Paramètres!$A$1:$I$89,3,0)*0.475*44/12</f>
        <v>4.9868969127623757</v>
      </c>
      <c r="AW145" s="21">
        <f>EXP(-LN(2)/2)*AW144+(1-EXP(-LN(2)/2))/(LN(2)/2)*AQ145*AT145*VLOOKUP('Données projet'!$B$10,Paramètres!$A$1:$I$89,3,0)*0.475*44/12</f>
        <v>2.7267307279250187E-11</v>
      </c>
      <c r="AX145" s="21">
        <f t="shared" si="114"/>
        <v>32.360714772902611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199.29783428981898</v>
      </c>
      <c r="BJ145" s="59">
        <f t="shared" si="146"/>
        <v>237.32002274562547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1.1364521496653177</v>
      </c>
      <c r="BQ145" s="21">
        <f>EXP(-LN(2)/25)*BQ144+(1-EXP(-LN(2)/25))/(LN(2)/25)*Calculateur!BL145*Calculateur!BN145*VLOOKUP('Données projet'!$B$11,Paramètres!$A$1:$I$89,3,0)*0.475*44/12</f>
        <v>3.0067400980860071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4.1431922477513243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2.5579538487363607E-13</v>
      </c>
      <c r="BZ145" s="13">
        <f>BY145*VLOOKUP('Données projet'!$B$12,Paramètres!$A$1:$I$89,3,0)*VLOOKUP('Données projet'!$B$12,Paramètres!$A$1:$I$89,5,0)</f>
        <v>2.1548203221755105E-13</v>
      </c>
      <c r="CA145" s="13">
        <f t="shared" si="147"/>
        <v>2.9604251148637229E-12</v>
      </c>
      <c r="CB145" s="20">
        <f t="shared" si="118"/>
        <v>5.5313716144998842E-12</v>
      </c>
      <c r="CC145" s="59">
        <f t="shared" si="119"/>
        <v>293.33333333333883</v>
      </c>
      <c r="CD145" s="59">
        <f ca="1">AVERAGE(OFFSET($CC$3,0,0,'Données projet'!$E$12+1,1))-AVERAGE(OFFSET($H$3,0,0,'Données projet'!$E$12+1,1))</f>
        <v>295.59075210589327</v>
      </c>
      <c r="CE145" s="59">
        <f t="shared" si="148"/>
        <v>210.41181542059576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82.928834888705168</v>
      </c>
      <c r="CL145" s="21">
        <f>EXP(-LN(2)/25)*CL144+(1-EXP(-LN(2)/25))/(LN(2)/25)*Calculateur!CG145*Calculateur!CI145*VLOOKUP('Données projet'!$B$12,Paramètres!$A$1:$I$89,3,0)*0.475*44/12</f>
        <v>15.714365206263052</v>
      </c>
      <c r="CM145" s="21">
        <f>EXP(-LN(2)/2)*CM144+(1-EXP(-LN(2)/2))/(LN(2)/2)*CG145*CJ145*VLOOKUP('Données projet'!$B$12,Paramètres!$A$1:$I$89,3,0)*0.475*44/12</f>
        <v>9.905685824481697E-2</v>
      </c>
      <c r="CN145" s="22">
        <f t="shared" si="120"/>
        <v>98.742256953213044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5.1727511163335289E-14</v>
      </c>
      <c r="CV145" s="13">
        <f t="shared" si="149"/>
        <v>8.3906664221915895E-13</v>
      </c>
      <c r="CW145" s="20">
        <f t="shared" si="121"/>
        <v>1.551466483807844E-12</v>
      </c>
      <c r="CX145" s="59">
        <f t="shared" si="122"/>
        <v>293.33333333333485</v>
      </c>
      <c r="CY145" s="59">
        <f ca="1">AVERAGE(OFFSET($CX$3,0,0,'Données projet'!$E$13+1,1))-AVERAGE(OFFSET($H$3,0,0,'Données projet'!$E$13+1,1))</f>
        <v>338.22448697444298</v>
      </c>
      <c r="CZ145" s="59">
        <f t="shared" si="150"/>
        <v>293.3872365640849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62.307022350076977</v>
      </c>
      <c r="DG145" s="21">
        <f>EXP(-LN(2)/25)*DG144+(1-EXP(-LN(2)/25))/(LN(2)/25)*Calculateur!DB145*Calculateur!DD145*VLOOKUP('Données projet'!$B$13,Paramètres!$A$1:$I$89,3,0)*0.475*44/12</f>
        <v>13.265969631371869</v>
      </c>
      <c r="DH145" s="21">
        <f>EXP(-LN(2)/2)*DH144+(1-EXP(-LN(2)/2))/(LN(2)/2)*DB145*DE145*VLOOKUP('Données projet'!$B$13,Paramètres!$A$1:$I$89,3,0)*0.475*44/12</f>
        <v>3.7679341770864524E-8</v>
      </c>
      <c r="DI145" s="22">
        <f t="shared" si="123"/>
        <v>75.572992019128193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5.6843418860808015E-13</v>
      </c>
      <c r="DP145" s="17">
        <f>DO145*VLOOKUP('Données projet'!$B$14,Paramètres!$A$1:$I$89,3,0)*VLOOKUP('Données projet'!$B$14,Paramètres!$A$1:$I$89,5,0)</f>
        <v>3.177547114319168E-13</v>
      </c>
      <c r="DQ145" s="13">
        <f t="shared" si="151"/>
        <v>4.1725404435445377E-12</v>
      </c>
      <c r="DR145" s="20">
        <f t="shared" si="124"/>
        <v>7.820597394917325E-12</v>
      </c>
      <c r="DS145" s="59">
        <f t="shared" si="125"/>
        <v>293.33333333334116</v>
      </c>
      <c r="DT145" s="59">
        <f ca="1">AVERAGE(OFFSET($DS$3,0,0,'Données projet'!$E$14+1,1))-AVERAGE(OFFSET($H$3,0,0,'Données projet'!$E$14+1,1))</f>
        <v>328.15217666639006</v>
      </c>
      <c r="DU145" s="59">
        <f t="shared" si="152"/>
        <v>305.59175773326308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55.446940974611081</v>
      </c>
      <c r="EB145" s="21">
        <f>EXP(-LN(2)/25)*EB144+(1-EXP(-LN(2)/25))/(LN(2)/25)*Calculateur!DW145*Calculateur!DY145*VLOOKUP('Données projet'!$B$14,Paramètres!$A$1:$I$89,3,0)*0.475*44/12</f>
        <v>10.426860376967525</v>
      </c>
      <c r="EC145" s="21">
        <f>EXP(-LN(2)/2)*EC144+(1-EXP(-LN(2)/2))/(LN(2)/2)*DW145*DZ145*VLOOKUP('Données projet'!$B$14,Paramètres!$A$1:$I$89,3,0)*0.475*44/12</f>
        <v>1.0987499892190668E-9</v>
      </c>
      <c r="ED145" s="22">
        <f t="shared" si="126"/>
        <v>65.873801352677361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159.78276497127206</v>
      </c>
      <c r="EP145" s="59">
        <f t="shared" si="154"/>
        <v>190.72163407919857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1.3199826405020727</v>
      </c>
      <c r="EW145" s="21">
        <f>EXP(-LN(2)/25)*EW144+(1-EXP(-LN(2)/25))/(LN(2)/25)*Calculateur!ER145*Calculateur!ET145*VLOOKUP('Données projet'!$B$15,Paramètres!$A$1:$I$89,3,0)*0.475*44/12</f>
        <v>3.4923113438113909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4.8122939843134631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4.0349999999999966</v>
      </c>
      <c r="FE145" s="12">
        <f>IF('Données projet'!$A$218&gt;35,FE144+FD145-FM144,IF(A145&lt;'Données projet'!$A$218,$FB$205^A145,IF(A145='Données projet'!$A$218,'Données projet'!$B$218,FE144+FD145-FM144)))</f>
        <v>138.13500000000062</v>
      </c>
      <c r="FF145" s="17">
        <f>FE145*VLOOKUP('Données projet'!$B$16,Paramètres!$A$1:$I$89,3,0)*VLOOKUP('Données projet'!$B$16,Paramètres!$A$1:$I$89,5,0)</f>
        <v>118.51983000000054</v>
      </c>
      <c r="FG145" s="13">
        <f t="shared" si="155"/>
        <v>31.329524972487654</v>
      </c>
      <c r="FH145" s="20">
        <f t="shared" si="130"/>
        <v>260.98762657708357</v>
      </c>
      <c r="FI145" s="59">
        <f t="shared" si="131"/>
        <v>554.32095991041683</v>
      </c>
      <c r="FJ145" s="59">
        <f ca="1">AVERAGE(OFFSET($FI$3,0,0,'Données projet'!$E$16+1,1))-AVERAGE(OFFSET($H$3,0,0,'Données projet'!$E$16+1,1))</f>
        <v>337.15023592377008</v>
      </c>
      <c r="FK145" s="59">
        <f t="shared" si="156"/>
        <v>286.60608582587099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83.484389122230326</v>
      </c>
      <c r="FR145" s="21">
        <f>EXP(-LN(2)/25)*FR144+(1-EXP(-LN(2)/25))/(LN(2)/25)*Calculateur!FM145*Calculateur!FO145*VLOOKUP('Données projet'!$B$16,Paramètres!$A$1:$I$89,3,0)*0.475*44/12</f>
        <v>25.020566735993018</v>
      </c>
      <c r="FS145" s="21">
        <f>EXP(-LN(2)/2)*FS144+(1-EXP(-LN(2)/2))/(LN(2)/2)*FM145*FP145*VLOOKUP('Données projet'!$B$16,Paramètres!$A$1:$I$89,3,0)*0.475*44/12</f>
        <v>1.5873599728155909</v>
      </c>
      <c r="FT145" s="22">
        <f t="shared" si="132"/>
        <v>110.09231583103893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9.1440000000000055</v>
      </c>
      <c r="FZ145" s="12">
        <f>IF('Données projet'!$A$244&gt;35,FZ144+FY145-GH144,IF(A145&lt;'Données projet'!$A$244,$FW$205^A145,IF(A145='Données projet'!$A$244,'Données projet'!$B$244,FZ144+FY145-GH144)))</f>
        <v>496.65200000000095</v>
      </c>
      <c r="GA145" s="17">
        <f>FZ145*VLOOKUP('Données projet'!$B$17,Paramètres!$A$1:$I$89,3,0)*VLOOKUP('Données projet'!$B$17,Paramètres!$A$1:$I$89,5,0)</f>
        <v>449.37072960000086</v>
      </c>
      <c r="GB145" s="13">
        <f t="shared" si="157"/>
        <v>101.71702488172154</v>
      </c>
      <c r="GC145" s="20">
        <f t="shared" si="133"/>
        <v>959.81117238899981</v>
      </c>
      <c r="GD145" s="59">
        <f t="shared" si="134"/>
        <v>1253.1445057223332</v>
      </c>
      <c r="GE145" s="59">
        <f ca="1">AVERAGE(OFFSET($GD$3,0,0,'Données projet'!$E$17+1,1))-AVERAGE(OFFSET($H$3,0,0,'Données projet'!$E$17+1,1))</f>
        <v>486.55344536255876</v>
      </c>
      <c r="GF145" s="59">
        <f t="shared" si="158"/>
        <v>231.14794884432229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38.19003691963831</v>
      </c>
      <c r="GM145" s="21">
        <f>EXP(-LN(2)/25)*GM144+(1-EXP(-LN(2)/25))/(LN(2)/25)*Calculateur!GH145*Calculateur!GJ145*VLOOKUP('Données projet'!$B$17,Paramètres!$A$1:$I$89,3,0)*0.475*44/12</f>
        <v>19.040437356539211</v>
      </c>
      <c r="GN145" s="21">
        <f>EXP(-LN(2)/2)*GN144+(1-EXP(-LN(2)/2))/(LN(2)/2)*GH145*GK145*VLOOKUP('Données projet'!$B$17,Paramètres!$A$1:$I$89,3,0)*0.475*44/12</f>
        <v>9.9726178467277986E-3</v>
      </c>
      <c r="GO145" s="21">
        <f t="shared" si="135"/>
        <v>57.240446894024245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488.24087939515073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252.08270526008477</v>
      </c>
      <c r="T146" s="59">
        <f t="shared" si="142"/>
        <v>239.77811108960179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73.678839630902615</v>
      </c>
      <c r="AA146" s="21">
        <f>EXP(-LN(2)/25)*AA145+(1-EXP(-LN(2)/25))/(LN(2)/25)*Calculateur!V146*Calculateur!X146*VLOOKUP('Données projet'!$B$9,Paramètres!$A$1:$I$89,3,0)*0.475*44/12</f>
        <v>16.584383311429338</v>
      </c>
      <c r="AB146" s="21">
        <f>EXP(-LN(2)/2)*AB145+(1-EXP(-LN(2)/2))/(LN(2)/2)*V146*Y146*VLOOKUP('Données projet'!$B$9,Paramètres!$A$1:$I$89,3,0)*0.475*44/12</f>
        <v>1.8439071834798398E-5</v>
      </c>
      <c r="AC146" s="22">
        <f t="shared" si="111"/>
        <v>90.263241381403787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251.64326096359997</v>
      </c>
      <c r="AO146" s="59">
        <f t="shared" si="144"/>
        <v>256.72142151189894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26.837033988256415</v>
      </c>
      <c r="AV146" s="21">
        <f>EXP(-LN(2)/25)*AV145+(1-EXP(-LN(2)/25))/(LN(2)/25)*Calculateur!AQ146*Calculateur!AS146*VLOOKUP('Données projet'!$B$10,Paramètres!$A$1:$I$89,3,0)*0.475*44/12</f>
        <v>4.8505299544333775</v>
      </c>
      <c r="AW146" s="21">
        <f>EXP(-LN(2)/2)*AW145+(1-EXP(-LN(2)/2))/(LN(2)/2)*AQ146*AT146*VLOOKUP('Données projet'!$B$10,Paramètres!$A$1:$I$89,3,0)*0.475*44/12</f>
        <v>1.9280897881855116E-11</v>
      </c>
      <c r="AX146" s="21">
        <f t="shared" si="114"/>
        <v>31.687563942709073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199.29783428981898</v>
      </c>
      <c r="BJ146" s="59">
        <f t="shared" si="146"/>
        <v>237.32002274562547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1.1141670161777475</v>
      </c>
      <c r="BQ146" s="21">
        <f>EXP(-LN(2)/25)*BQ145+(1-EXP(-LN(2)/25))/(LN(2)/25)*Calculateur!BL146*Calculateur!BN146*VLOOKUP('Données projet'!$B$11,Paramètres!$A$1:$I$89,3,0)*0.475*44/12</f>
        <v>2.9245206319862556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4.0386876481640028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2.5579538487363607E-13</v>
      </c>
      <c r="BZ146" s="13">
        <f>BY146*VLOOKUP('Données projet'!$B$12,Paramètres!$A$1:$I$89,3,0)*VLOOKUP('Données projet'!$B$12,Paramètres!$A$1:$I$89,5,0)</f>
        <v>2.1548203221755105E-13</v>
      </c>
      <c r="CA146" s="13">
        <f t="shared" si="147"/>
        <v>2.9604251148637229E-12</v>
      </c>
      <c r="CB146" s="20">
        <f t="shared" si="118"/>
        <v>5.5313716144998842E-12</v>
      </c>
      <c r="CC146" s="59">
        <f t="shared" si="119"/>
        <v>293.33333333333883</v>
      </c>
      <c r="CD146" s="59">
        <f ca="1">AVERAGE(OFFSET($CC$3,0,0,'Données projet'!$E$12+1,1))-AVERAGE(OFFSET($H$3,0,0,'Données projet'!$E$12+1,1))</f>
        <v>295.59075210589327</v>
      </c>
      <c r="CE146" s="59">
        <f t="shared" si="148"/>
        <v>210.41181542059576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81.302651018132423</v>
      </c>
      <c r="CL146" s="21">
        <f>EXP(-LN(2)/25)*CL145+(1-EXP(-LN(2)/25))/(LN(2)/25)*Calculateur!CG146*Calculateur!CI146*VLOOKUP('Données projet'!$B$12,Paramètres!$A$1:$I$89,3,0)*0.475*44/12</f>
        <v>15.284655063315238</v>
      </c>
      <c r="CM146" s="21">
        <f>EXP(-LN(2)/2)*CM145+(1-EXP(-LN(2)/2))/(LN(2)/2)*CG146*CJ146*VLOOKUP('Données projet'!$B$12,Paramètres!$A$1:$I$89,3,0)*0.475*44/12</f>
        <v>7.0043776187944648E-2</v>
      </c>
      <c r="CN146" s="22">
        <f t="shared" si="120"/>
        <v>96.657349857635609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5.1727511163335289E-14</v>
      </c>
      <c r="CV146" s="13">
        <f t="shared" si="149"/>
        <v>8.3906664221915895E-13</v>
      </c>
      <c r="CW146" s="20">
        <f t="shared" si="121"/>
        <v>1.551466483807844E-12</v>
      </c>
      <c r="CX146" s="59">
        <f t="shared" si="122"/>
        <v>293.33333333333485</v>
      </c>
      <c r="CY146" s="59">
        <f ca="1">AVERAGE(OFFSET($CX$3,0,0,'Données projet'!$E$13+1,1))-AVERAGE(OFFSET($H$3,0,0,'Données projet'!$E$13+1,1))</f>
        <v>338.22448697444298</v>
      </c>
      <c r="CZ146" s="59">
        <f t="shared" si="150"/>
        <v>293.3872365640849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61.085219645323065</v>
      </c>
      <c r="DG146" s="21">
        <f>EXP(-LN(2)/25)*DG145+(1-EXP(-LN(2)/25))/(LN(2)/25)*Calculateur!DB146*Calculateur!DD146*VLOOKUP('Données projet'!$B$13,Paramètres!$A$1:$I$89,3,0)*0.475*44/12</f>
        <v>12.903210994174982</v>
      </c>
      <c r="DH146" s="21">
        <f>EXP(-LN(2)/2)*DH145+(1-EXP(-LN(2)/2))/(LN(2)/2)*DB146*DE146*VLOOKUP('Données projet'!$B$13,Paramètres!$A$1:$I$89,3,0)*0.475*44/12</f>
        <v>2.6643318076823841E-8</v>
      </c>
      <c r="DI146" s="22">
        <f t="shared" si="123"/>
        <v>73.988430666141369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5.6843418860808015E-13</v>
      </c>
      <c r="DP146" s="17">
        <f>DO146*VLOOKUP('Données projet'!$B$14,Paramètres!$A$1:$I$89,3,0)*VLOOKUP('Données projet'!$B$14,Paramètres!$A$1:$I$89,5,0)</f>
        <v>3.177547114319168E-13</v>
      </c>
      <c r="DQ146" s="13">
        <f t="shared" si="151"/>
        <v>4.1725404435445377E-12</v>
      </c>
      <c r="DR146" s="20">
        <f t="shared" si="124"/>
        <v>7.820597394917325E-12</v>
      </c>
      <c r="DS146" s="59">
        <f t="shared" si="125"/>
        <v>293.33333333334116</v>
      </c>
      <c r="DT146" s="59">
        <f ca="1">AVERAGE(OFFSET($DS$3,0,0,'Données projet'!$E$14+1,1))-AVERAGE(OFFSET($H$3,0,0,'Données projet'!$E$14+1,1))</f>
        <v>328.15217666639006</v>
      </c>
      <c r="DU146" s="59">
        <f t="shared" si="152"/>
        <v>305.59175773326308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54.359660281393573</v>
      </c>
      <c r="EB146" s="21">
        <f>EXP(-LN(2)/25)*EB145+(1-EXP(-LN(2)/25))/(LN(2)/25)*Calculateur!DW146*Calculateur!DY146*VLOOKUP('Données projet'!$B$14,Paramètres!$A$1:$I$89,3,0)*0.475*44/12</f>
        <v>10.141737331634593</v>
      </c>
      <c r="EC146" s="21">
        <f>EXP(-LN(2)/2)*EC145+(1-EXP(-LN(2)/2))/(LN(2)/2)*DW146*DZ146*VLOOKUP('Données projet'!$B$14,Paramètres!$A$1:$I$89,3,0)*0.475*44/12</f>
        <v>7.7693356820544811E-10</v>
      </c>
      <c r="ED146" s="22">
        <f t="shared" si="126"/>
        <v>64.501397613805096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159.78276497127206</v>
      </c>
      <c r="EP146" s="59">
        <f t="shared" si="154"/>
        <v>190.72163407919857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1.2940985860317398</v>
      </c>
      <c r="EW146" s="21">
        <f>EXP(-LN(2)/25)*EW145+(1-EXP(-LN(2)/25))/(LN(2)/25)*Calculateur!ER146*Calculateur!ET146*VLOOKUP('Données projet'!$B$15,Paramètres!$A$1:$I$89,3,0)*0.475*44/12</f>
        <v>3.3968139064621967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4.6909124924939363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>
        <f>VLOOKUP(A146,'Données projet'!$A$217:$I$237,2,0)</f>
        <v>142.16999999999999</v>
      </c>
      <c r="FC146" s="12">
        <f>VLOOKUP(A146,'Données projet'!$A$217:$I$237,9,0)</f>
        <v>4.0349999999999966</v>
      </c>
      <c r="FD146" s="12">
        <f t="array" ref="FD146">INDEX(FC:FC,MIN(IF(ISNUMBER(FC146:FC342),ROW(FC146:FC342),"")))</f>
        <v>4.0349999999999966</v>
      </c>
      <c r="FE146" s="12">
        <f>IF('Données projet'!$A$218&gt;35,FE145+FD146-FM145,IF(A146&lt;'Données projet'!$A$218,$FB$205^A146,IF(A146='Données projet'!$A$218,'Données projet'!$B$218,FE145+FD146-FM145)))</f>
        <v>142.17000000000061</v>
      </c>
      <c r="FF146" s="17">
        <f>FE146*VLOOKUP('Données projet'!$B$16,Paramètres!$A$1:$I$89,3,0)*VLOOKUP('Données projet'!$B$16,Paramètres!$A$1:$I$89,5,0)</f>
        <v>121.98186000000054</v>
      </c>
      <c r="FG146" s="13">
        <f t="shared" si="155"/>
        <v>32.136793997836108</v>
      </c>
      <c r="FH146" s="20">
        <f t="shared" si="130"/>
        <v>268.42332237956549</v>
      </c>
      <c r="FI146" s="59">
        <f t="shared" si="131"/>
        <v>561.75665571289881</v>
      </c>
      <c r="FJ146" s="59">
        <f ca="1">AVERAGE(OFFSET($FI$3,0,0,'Données projet'!$E$16+1,1))-AVERAGE(OFFSET($H$3,0,0,'Données projet'!$E$16+1,1))</f>
        <v>337.15023592377008</v>
      </c>
      <c r="FK146" s="59">
        <f t="shared" si="156"/>
        <v>286.60608582587099</v>
      </c>
      <c r="FL146" s="15">
        <f>IF(ISNA(VLOOKUP(A146,'Données projet'!$A$217:$I$237,3,0)),0,VLOOKUP(A146,'Données projet'!$A$217:$I$237,3,0))</f>
        <v>11</v>
      </c>
      <c r="FM146" s="15">
        <f>IF(ISNA(VLOOKUP(A146,'Données projet'!$A$217:$I$237,4,0)),0,VLOOKUP(A146,'Données projet'!$A$217:$I$237,4,0))</f>
        <v>142.16999999999999</v>
      </c>
      <c r="FN146" s="16">
        <f>IF(ISNA(VLOOKUP(A146,'Données projet'!$A$217:$I$237,5,0)),0%,VLOOKUP(A146,'Données projet'!$A$217:$I$237,5,0)*VLOOKUP('Données projet'!$B$16,Paramètres!$A$1:$I$89,7,0))</f>
        <v>0.23850000000000002</v>
      </c>
      <c r="FO146" s="16">
        <f>IF(ISNA(VLOOKUP(A146,'Données projet'!$A$217:$I$237,6,0)),0%,VLOOKUP(A146,'Données projet'!$A$217:$I$237,6,0)*VLOOKUP('Données projet'!$B$16,Paramètres!$A$1:$I$89,7,0))</f>
        <v>2.6500000000000003E-2</v>
      </c>
      <c r="FP146" s="16">
        <f>IF(ISNA(VLOOKUP(A146,'Données projet'!$A$217:$I$237,7,0)),0%,VLOOKUP(A146,'Données projet'!$A$217:$I$237,7,0))</f>
        <v>0.05</v>
      </c>
      <c r="FQ146" s="21">
        <f>EXP(-LN(2)/35)*FQ145+(1-EXP(-LN(2)/35))/(LN(2)/35)*FM146*FN146*VLOOKUP('Données projet'!$B$16,Paramètres!$A$1:$I$89,3,0)*0.475*44/12</f>
        <v>114.00840010926771</v>
      </c>
      <c r="FR146" s="21">
        <f>EXP(-LN(2)/25)*FR145+(1-EXP(-LN(2)/25))/(LN(2)/25)*Calculateur!FM146*Calculateur!FO146*VLOOKUP('Données projet'!$B$16,Paramètres!$A$1:$I$89,3,0)*0.475*44/12</f>
        <v>27.895762297911013</v>
      </c>
      <c r="FS146" s="21">
        <f>EXP(-LN(2)/2)*FS145+(1-EXP(-LN(2)/2))/(LN(2)/2)*FM146*FP146*VLOOKUP('Données projet'!$B$16,Paramètres!$A$1:$I$89,3,0)*0.475*44/12</f>
        <v>6.8770914011433195</v>
      </c>
      <c r="FT146" s="22">
        <f t="shared" si="132"/>
        <v>148.78125380832205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9.1440000000000055</v>
      </c>
      <c r="FZ146" s="12">
        <f>IF('Données projet'!$A$244&gt;35,FZ145+FY146-GH145,IF(A146&lt;'Données projet'!$A$244,$FW$205^A146,IF(A146='Données projet'!$A$244,'Données projet'!$B$244,FZ145+FY146-GH145)))</f>
        <v>505.79600000000096</v>
      </c>
      <c r="GA146" s="17">
        <f>FZ146*VLOOKUP('Données projet'!$B$17,Paramètres!$A$1:$I$89,3,0)*VLOOKUP('Données projet'!$B$17,Paramètres!$A$1:$I$89,5,0)</f>
        <v>457.64422080000088</v>
      </c>
      <c r="GB146" s="13">
        <f t="shared" si="157"/>
        <v>103.37001757568726</v>
      </c>
      <c r="GC146" s="20">
        <f t="shared" si="133"/>
        <v>977.0997985043233</v>
      </c>
      <c r="GD146" s="59">
        <f t="shared" si="134"/>
        <v>1270.4331318376567</v>
      </c>
      <c r="GE146" s="59">
        <f ca="1">AVERAGE(OFFSET($GD$3,0,0,'Données projet'!$E$17+1,1))-AVERAGE(OFFSET($H$3,0,0,'Données projet'!$E$17+1,1))</f>
        <v>486.55344536255876</v>
      </c>
      <c r="GF146" s="59">
        <f t="shared" si="158"/>
        <v>231.14794884432229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37.441153589266669</v>
      </c>
      <c r="GM146" s="21">
        <f>EXP(-LN(2)/25)*GM145+(1-EXP(-LN(2)/25))/(LN(2)/25)*Calculateur!GH146*Calculateur!GJ146*VLOOKUP('Données projet'!$B$17,Paramètres!$A$1:$I$89,3,0)*0.475*44/12</f>
        <v>18.519775595731563</v>
      </c>
      <c r="GN146" s="21">
        <f>EXP(-LN(2)/2)*GN145+(1-EXP(-LN(2)/2))/(LN(2)/2)*GH146*GK146*VLOOKUP('Données projet'!$B$17,Paramètres!$A$1:$I$89,3,0)*0.475*44/12</f>
        <v>7.0517057056032123E-3</v>
      </c>
      <c r="GO146" s="21">
        <f t="shared" si="135"/>
        <v>55.967980890703842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489.82030013188245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252.08270526008477</v>
      </c>
      <c r="T147" s="59">
        <f t="shared" si="142"/>
        <v>239.77811108960179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72.234042525395367</v>
      </c>
      <c r="AA147" s="21">
        <f>EXP(-LN(2)/25)*AA146+(1-EXP(-LN(2)/25))/(LN(2)/25)*Calculateur!V147*Calculateur!X147*VLOOKUP('Données projet'!$B$9,Paramètres!$A$1:$I$89,3,0)*0.475*44/12</f>
        <v>16.130882477643489</v>
      </c>
      <c r="AB147" s="21">
        <f>EXP(-LN(2)/2)*AB146+(1-EXP(-LN(2)/2))/(LN(2)/2)*V147*Y147*VLOOKUP('Données projet'!$B$9,Paramètres!$A$1:$I$89,3,0)*0.475*44/12</f>
        <v>1.3038392733171823E-5</v>
      </c>
      <c r="AC147" s="22">
        <f t="shared" si="111"/>
        <v>88.364938041431586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251.64326096359997</v>
      </c>
      <c r="AO147" s="59">
        <f t="shared" si="144"/>
        <v>256.72142151189894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26.310776120721137</v>
      </c>
      <c r="AV147" s="21">
        <f>EXP(-LN(2)/25)*AV146+(1-EXP(-LN(2)/25))/(LN(2)/25)*Calculateur!AQ147*Calculateur!AS147*VLOOKUP('Données projet'!$B$10,Paramètres!$A$1:$I$89,3,0)*0.475*44/12</f>
        <v>4.7178919577511129</v>
      </c>
      <c r="AW147" s="21">
        <f>EXP(-LN(2)/2)*AW146+(1-EXP(-LN(2)/2))/(LN(2)/2)*AQ147*AT147*VLOOKUP('Données projet'!$B$10,Paramètres!$A$1:$I$89,3,0)*0.475*44/12</f>
        <v>1.3633653639625093E-11</v>
      </c>
      <c r="AX147" s="21">
        <f t="shared" si="114"/>
        <v>31.028668078485886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199.29783428981898</v>
      </c>
      <c r="BJ147" s="59">
        <f t="shared" si="146"/>
        <v>237.32002274562547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1.0923188805652793</v>
      </c>
      <c r="BQ147" s="21">
        <f>EXP(-LN(2)/25)*BQ146+(1-EXP(-LN(2)/25))/(LN(2)/25)*Calculateur!BL147*Calculateur!BN147*VLOOKUP('Données projet'!$B$11,Paramètres!$A$1:$I$89,3,0)*0.475*44/12</f>
        <v>2.8445494615107356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3.9368683420760151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2.5579538487363607E-13</v>
      </c>
      <c r="BZ147" s="13">
        <f>BY147*VLOOKUP('Données projet'!$B$12,Paramètres!$A$1:$I$89,3,0)*VLOOKUP('Données projet'!$B$12,Paramètres!$A$1:$I$89,5,0)</f>
        <v>2.1548203221755105E-13</v>
      </c>
      <c r="CA147" s="13">
        <f t="shared" si="147"/>
        <v>2.9604251148637229E-12</v>
      </c>
      <c r="CB147" s="20">
        <f t="shared" si="118"/>
        <v>5.5313716144998842E-12</v>
      </c>
      <c r="CC147" s="59">
        <f t="shared" si="119"/>
        <v>293.33333333333883</v>
      </c>
      <c r="CD147" s="59">
        <f ca="1">AVERAGE(OFFSET($CC$3,0,0,'Données projet'!$E$12+1,1))-AVERAGE(OFFSET($H$3,0,0,'Données projet'!$E$12+1,1))</f>
        <v>295.59075210589327</v>
      </c>
      <c r="CE147" s="59">
        <f t="shared" si="148"/>
        <v>210.41181542059576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79.708355621387383</v>
      </c>
      <c r="CL147" s="21">
        <f>EXP(-LN(2)/25)*CL146+(1-EXP(-LN(2)/25))/(LN(2)/25)*Calculateur!CG147*Calculateur!CI147*VLOOKUP('Données projet'!$B$12,Paramètres!$A$1:$I$89,3,0)*0.475*44/12</f>
        <v>14.866695366823807</v>
      </c>
      <c r="CM147" s="21">
        <f>EXP(-LN(2)/2)*CM146+(1-EXP(-LN(2)/2))/(LN(2)/2)*CG147*CJ147*VLOOKUP('Données projet'!$B$12,Paramètres!$A$1:$I$89,3,0)*0.475*44/12</f>
        <v>4.9528429122408485E-2</v>
      </c>
      <c r="CN147" s="22">
        <f t="shared" si="120"/>
        <v>94.624579417333592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5.1727511163335289E-14</v>
      </c>
      <c r="CV147" s="13">
        <f t="shared" si="149"/>
        <v>8.3906664221915895E-13</v>
      </c>
      <c r="CW147" s="20">
        <f t="shared" si="121"/>
        <v>1.551466483807844E-12</v>
      </c>
      <c r="CX147" s="59">
        <f t="shared" si="122"/>
        <v>293.33333333333485</v>
      </c>
      <c r="CY147" s="59">
        <f ca="1">AVERAGE(OFFSET($CX$3,0,0,'Données projet'!$E$13+1,1))-AVERAGE(OFFSET($H$3,0,0,'Données projet'!$E$13+1,1))</f>
        <v>338.22448697444298</v>
      </c>
      <c r="CZ147" s="59">
        <f t="shared" si="150"/>
        <v>293.3872365640849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59.887375746383313</v>
      </c>
      <c r="DG147" s="21">
        <f>EXP(-LN(2)/25)*DG146+(1-EXP(-LN(2)/25))/(LN(2)/25)*Calculateur!DB147*Calculateur!DD147*VLOOKUP('Données projet'!$B$13,Paramètres!$A$1:$I$89,3,0)*0.475*44/12</f>
        <v>12.550372010988891</v>
      </c>
      <c r="DH147" s="21">
        <f>EXP(-LN(2)/2)*DH146+(1-EXP(-LN(2)/2))/(LN(2)/2)*DB147*DE147*VLOOKUP('Données projet'!$B$13,Paramètres!$A$1:$I$89,3,0)*0.475*44/12</f>
        <v>1.8839670885432262E-8</v>
      </c>
      <c r="DI147" s="22">
        <f t="shared" si="123"/>
        <v>72.437747776211879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5.6843418860808015E-13</v>
      </c>
      <c r="DP147" s="17">
        <f>DO147*VLOOKUP('Données projet'!$B$14,Paramètres!$A$1:$I$89,3,0)*VLOOKUP('Données projet'!$B$14,Paramètres!$A$1:$I$89,5,0)</f>
        <v>3.177547114319168E-13</v>
      </c>
      <c r="DQ147" s="13">
        <f t="shared" si="151"/>
        <v>4.1725404435445377E-12</v>
      </c>
      <c r="DR147" s="20">
        <f t="shared" si="124"/>
        <v>7.820597394917325E-12</v>
      </c>
      <c r="DS147" s="59">
        <f t="shared" si="125"/>
        <v>293.33333333334116</v>
      </c>
      <c r="DT147" s="59">
        <f ca="1">AVERAGE(OFFSET($DS$3,0,0,'Données projet'!$E$14+1,1))-AVERAGE(OFFSET($H$3,0,0,'Données projet'!$E$14+1,1))</f>
        <v>328.15217666639006</v>
      </c>
      <c r="DU147" s="59">
        <f t="shared" si="152"/>
        <v>305.59175773326308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53.293700499394319</v>
      </c>
      <c r="EB147" s="21">
        <f>EXP(-LN(2)/25)*EB146+(1-EXP(-LN(2)/25))/(LN(2)/25)*Calculateur!DW147*Calculateur!DY147*VLOOKUP('Données projet'!$B$14,Paramètres!$A$1:$I$89,3,0)*0.475*44/12</f>
        <v>9.8644109909702582</v>
      </c>
      <c r="EC147" s="21">
        <f>EXP(-LN(2)/2)*EC146+(1-EXP(-LN(2)/2))/(LN(2)/2)*DW147*DZ147*VLOOKUP('Données projet'!$B$14,Paramètres!$A$1:$I$89,3,0)*0.475*44/12</f>
        <v>5.4937499460953338E-10</v>
      </c>
      <c r="ED147" s="22">
        <f t="shared" si="126"/>
        <v>63.158111490913953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159.78276497127206</v>
      </c>
      <c r="EP147" s="59">
        <f t="shared" si="154"/>
        <v>190.72163407919857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1.2687221020818558</v>
      </c>
      <c r="EW147" s="21">
        <f>EXP(-LN(2)/25)*EW146+(1-EXP(-LN(2)/25))/(LN(2)/25)*Calculateur!ER147*Calculateur!ET147*VLOOKUP('Données projet'!$B$15,Paramètres!$A$1:$I$89,3,0)*0.475*44/12</f>
        <v>3.3039278515593082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4.5726499536411644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6.2527760746888816E-13</v>
      </c>
      <c r="FF147" s="17">
        <f>FE147*VLOOKUP('Données projet'!$B$16,Paramètres!$A$1:$I$89,3,0)*VLOOKUP('Données projet'!$B$16,Paramètres!$A$1:$I$89,5,0)</f>
        <v>5.3648818720830608E-13</v>
      </c>
      <c r="FG147" s="13">
        <f t="shared" si="155"/>
        <v>6.6281362235424649E-12</v>
      </c>
      <c r="FH147" s="20">
        <f t="shared" si="130"/>
        <v>1.2478387515390925E-11</v>
      </c>
      <c r="FI147" s="59">
        <f t="shared" si="131"/>
        <v>293.33333333334582</v>
      </c>
      <c r="FJ147" s="59">
        <f ca="1">AVERAGE(OFFSET($FI$3,0,0,'Données projet'!$E$16+1,1))-AVERAGE(OFFSET($H$3,0,0,'Données projet'!$E$16+1,1))</f>
        <v>337.15023592377008</v>
      </c>
      <c r="FK147" s="59">
        <f t="shared" si="156"/>
        <v>286.60608582587099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111.7727649213827</v>
      </c>
      <c r="FR147" s="21">
        <f>EXP(-LN(2)/25)*FR146+(1-EXP(-LN(2)/25))/(LN(2)/25)*Calculateur!FM147*Calculateur!FO147*VLOOKUP('Données projet'!$B$16,Paramètres!$A$1:$I$89,3,0)*0.475*44/12</f>
        <v>27.132951210900252</v>
      </c>
      <c r="FS147" s="21">
        <f>EXP(-LN(2)/2)*FS146+(1-EXP(-LN(2)/2))/(LN(2)/2)*FM147*FP147*VLOOKUP('Données projet'!$B$16,Paramètres!$A$1:$I$89,3,0)*0.475*44/12</f>
        <v>4.8628379645881372</v>
      </c>
      <c r="FT147" s="22">
        <f t="shared" si="132"/>
        <v>143.76855409687107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>
        <f>VLOOKUP(A147,'Données projet'!$A$243:$I$263,2,0)</f>
        <v>514.94000000000005</v>
      </c>
      <c r="FX147" s="12">
        <f>VLOOKUP(A147,'Données projet'!$A$243:$I$263,9,0)</f>
        <v>9.1440000000000055</v>
      </c>
      <c r="FY147" s="12">
        <f t="array" ref="FY147">INDEX(FX:FX,MIN(IF(ISNUMBER(FX147:FX343),ROW(FX147:FX343),"")))</f>
        <v>9.1440000000000055</v>
      </c>
      <c r="FZ147" s="12">
        <f>IF('Données projet'!$A$244&gt;35,FZ146+FY147-GH146,IF(A147&lt;'Données projet'!$A$244,$FW$205^A147,IF(A147='Données projet'!$A$244,'Données projet'!$B$244,FZ146+FY147-GH146)))</f>
        <v>514.94000000000096</v>
      </c>
      <c r="GA147" s="17">
        <f>FZ147*VLOOKUP('Données projet'!$B$17,Paramètres!$A$1:$I$89,3,0)*VLOOKUP('Données projet'!$B$17,Paramètres!$A$1:$I$89,5,0)</f>
        <v>465.91771200000085</v>
      </c>
      <c r="GB147" s="13">
        <f t="shared" si="157"/>
        <v>105.01953528507198</v>
      </c>
      <c r="GC147" s="20">
        <f t="shared" si="133"/>
        <v>994.38237235483496</v>
      </c>
      <c r="GD147" s="59">
        <f t="shared" si="134"/>
        <v>1287.7157056881683</v>
      </c>
      <c r="GE147" s="59">
        <f ca="1">AVERAGE(OFFSET($GD$3,0,0,'Données projet'!$E$17+1,1))-AVERAGE(OFFSET($H$3,0,0,'Données projet'!$E$17+1,1))</f>
        <v>486.55344536255876</v>
      </c>
      <c r="GF147" s="59">
        <f t="shared" si="158"/>
        <v>231.14794884432229</v>
      </c>
      <c r="GG147" s="15">
        <f>IF(ISNA(VLOOKUP(A147,'Données projet'!$A$243:$I$263,3,0)),0,VLOOKUP(A147,'Données projet'!$A$243:$I$263,3,0))</f>
        <v>12</v>
      </c>
      <c r="GH147" s="15">
        <f>IF(ISNA(VLOOKUP(A147,'Données projet'!$A$243:$I$263,4,0)),0,VLOOKUP(A147,'Données projet'!$A$243:$I$263,4,0))</f>
        <v>61.800000000000068</v>
      </c>
      <c r="GI147" s="16">
        <f>IF(ISNA(VLOOKUP(A147,'Données projet'!$A$243:$I$263,5,0)),0%,VLOOKUP(A147,'Données projet'!$A$243:$I$263,5,0)*VLOOKUP('Données projet'!$B$17,Paramètres!$A$1:$I$89,7,0))</f>
        <v>0.215</v>
      </c>
      <c r="GJ147" s="16">
        <f>IF(ISNA(VLOOKUP(A147,'Données projet'!$A$243:$I$263,6,0)),0%,VLOOKUP(A147,'Données projet'!$A$243:$I$263,6,0)*VLOOKUP('Données projet'!$B$17,Paramètres!$A$1:$I$89,7,0))</f>
        <v>8.6000000000000007E-2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49.997006091476479</v>
      </c>
      <c r="GM147" s="21">
        <f>EXP(-LN(2)/25)*GM146+(1-EXP(-LN(2)/25))/(LN(2)/25)*Calculateur!GH147*Calculateur!GJ147*VLOOKUP('Données projet'!$B$17,Paramètres!$A$1:$I$89,3,0)*0.475*44/12</f>
        <v>23.30844043566745</v>
      </c>
      <c r="GN147" s="21">
        <f>EXP(-LN(2)/2)*GN146+(1-EXP(-LN(2)/2))/(LN(2)/2)*GH147*GK147*VLOOKUP('Données projet'!$B$17,Paramètres!$A$1:$I$89,3,0)*0.475*44/12</f>
        <v>4.9863089233638993E-3</v>
      </c>
      <c r="GO147" s="21">
        <f t="shared" si="135"/>
        <v>73.310432836067292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491.39947650046901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252.08270526008477</v>
      </c>
      <c r="T148" s="59">
        <f t="shared" si="142"/>
        <v>239.77811108960179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70.817577009887898</v>
      </c>
      <c r="AA148" s="21">
        <f>EXP(-LN(2)/25)*AA147+(1-EXP(-LN(2)/25))/(LN(2)/25)*Calculateur!V148*Calculateur!X148*VLOOKUP('Données projet'!$B$9,Paramètres!$A$1:$I$89,3,0)*0.475*44/12</f>
        <v>15.689782648006085</v>
      </c>
      <c r="AB148" s="21">
        <f>EXP(-LN(2)/2)*AB147+(1-EXP(-LN(2)/2))/(LN(2)/2)*V148*Y148*VLOOKUP('Données projet'!$B$9,Paramètres!$A$1:$I$89,3,0)*0.475*44/12</f>
        <v>9.2195359173991992E-6</v>
      </c>
      <c r="AC148" s="22">
        <f t="shared" si="111"/>
        <v>86.507368877429897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251.64326096359997</v>
      </c>
      <c r="AO148" s="59">
        <f t="shared" si="144"/>
        <v>256.72142151189894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25.79483784898262</v>
      </c>
      <c r="AV148" s="21">
        <f>EXP(-LN(2)/25)*AV147+(1-EXP(-LN(2)/25))/(LN(2)/25)*Calculateur!AQ148*Calculateur!AS148*VLOOKUP('Données projet'!$B$10,Paramètres!$A$1:$I$89,3,0)*0.475*44/12</f>
        <v>4.5888809540632538</v>
      </c>
      <c r="AW148" s="21">
        <f>EXP(-LN(2)/2)*AW147+(1-EXP(-LN(2)/2))/(LN(2)/2)*AQ148*AT148*VLOOKUP('Données projet'!$B$10,Paramètres!$A$1:$I$89,3,0)*0.475*44/12</f>
        <v>9.6404489409275581E-12</v>
      </c>
      <c r="AX148" s="21">
        <f t="shared" si="114"/>
        <v>30.383718803055515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199.29783428981898</v>
      </c>
      <c r="BJ148" s="59">
        <f t="shared" si="146"/>
        <v>237.32002274562547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1.0708991735661246</v>
      </c>
      <c r="BQ148" s="21">
        <f>EXP(-LN(2)/25)*BQ147+(1-EXP(-LN(2)/25))/(LN(2)/25)*Calculateur!BL148*Calculateur!BN148*VLOOKUP('Données projet'!$B$11,Paramètres!$A$1:$I$89,3,0)*0.475*44/12</f>
        <v>2.7667651068973695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3.8376642804634944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2.5579538487363607E-13</v>
      </c>
      <c r="BZ148" s="13">
        <f>BY148*VLOOKUP('Données projet'!$B$12,Paramètres!$A$1:$I$89,3,0)*VLOOKUP('Données projet'!$B$12,Paramètres!$A$1:$I$89,5,0)</f>
        <v>2.1548203221755105E-13</v>
      </c>
      <c r="CA148" s="13">
        <f t="shared" si="147"/>
        <v>2.9604251148637229E-12</v>
      </c>
      <c r="CB148" s="20">
        <f t="shared" si="118"/>
        <v>5.5313716144998842E-12</v>
      </c>
      <c r="CC148" s="59">
        <f t="shared" si="119"/>
        <v>293.33333333333883</v>
      </c>
      <c r="CD148" s="59">
        <f ca="1">AVERAGE(OFFSET($CC$3,0,0,'Données projet'!$E$12+1,1))-AVERAGE(OFFSET($H$3,0,0,'Données projet'!$E$12+1,1))</f>
        <v>295.59075210589327</v>
      </c>
      <c r="CE148" s="59">
        <f t="shared" si="148"/>
        <v>210.41181542059576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78.145323384948341</v>
      </c>
      <c r="CL148" s="21">
        <f>EXP(-LN(2)/25)*CL147+(1-EXP(-LN(2)/25))/(LN(2)/25)*Calculateur!CG148*Calculateur!CI148*VLOOKUP('Données projet'!$B$12,Paramètres!$A$1:$I$89,3,0)*0.475*44/12</f>
        <v>14.460164800212478</v>
      </c>
      <c r="CM148" s="21">
        <f>EXP(-LN(2)/2)*CM147+(1-EXP(-LN(2)/2))/(LN(2)/2)*CG148*CJ148*VLOOKUP('Données projet'!$B$12,Paramètres!$A$1:$I$89,3,0)*0.475*44/12</f>
        <v>3.5021888093972324E-2</v>
      </c>
      <c r="CN148" s="22">
        <f t="shared" si="120"/>
        <v>92.640510073254802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5.1727511163335289E-14</v>
      </c>
      <c r="CV148" s="13">
        <f t="shared" si="149"/>
        <v>8.3906664221915895E-13</v>
      </c>
      <c r="CW148" s="20">
        <f t="shared" si="121"/>
        <v>1.551466483807844E-12</v>
      </c>
      <c r="CX148" s="59">
        <f t="shared" si="122"/>
        <v>293.33333333333485</v>
      </c>
      <c r="CY148" s="59">
        <f ca="1">AVERAGE(OFFSET($CX$3,0,0,'Données projet'!$E$13+1,1))-AVERAGE(OFFSET($H$3,0,0,'Données projet'!$E$13+1,1))</f>
        <v>338.22448697444298</v>
      </c>
      <c r="CZ148" s="59">
        <f t="shared" si="150"/>
        <v>293.3872365640849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58.713020835689129</v>
      </c>
      <c r="DG148" s="21">
        <f>EXP(-LN(2)/25)*DG147+(1-EXP(-LN(2)/25))/(LN(2)/25)*Calculateur!DB148*Calculateur!DD148*VLOOKUP('Données projet'!$B$13,Paramètres!$A$1:$I$89,3,0)*0.475*44/12</f>
        <v>12.207181428353019</v>
      </c>
      <c r="DH148" s="21">
        <f>EXP(-LN(2)/2)*DH147+(1-EXP(-LN(2)/2))/(LN(2)/2)*DB148*DE148*VLOOKUP('Données projet'!$B$13,Paramètres!$A$1:$I$89,3,0)*0.475*44/12</f>
        <v>1.3321659038411921E-8</v>
      </c>
      <c r="DI148" s="22">
        <f t="shared" si="123"/>
        <v>70.920202277363799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5.6843418860808015E-13</v>
      </c>
      <c r="DP148" s="17">
        <f>DO148*VLOOKUP('Données projet'!$B$14,Paramètres!$A$1:$I$89,3,0)*VLOOKUP('Données projet'!$B$14,Paramètres!$A$1:$I$89,5,0)</f>
        <v>3.177547114319168E-13</v>
      </c>
      <c r="DQ148" s="13">
        <f t="shared" si="151"/>
        <v>4.1725404435445377E-12</v>
      </c>
      <c r="DR148" s="20">
        <f t="shared" si="124"/>
        <v>7.820597394917325E-12</v>
      </c>
      <c r="DS148" s="59">
        <f t="shared" si="125"/>
        <v>293.33333333334116</v>
      </c>
      <c r="DT148" s="59">
        <f ca="1">AVERAGE(OFFSET($DS$3,0,0,'Données projet'!$E$14+1,1))-AVERAGE(OFFSET($H$3,0,0,'Données projet'!$E$14+1,1))</f>
        <v>328.15217666639006</v>
      </c>
      <c r="DU148" s="59">
        <f t="shared" si="152"/>
        <v>305.59175773326308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52.248643538548805</v>
      </c>
      <c r="EB148" s="21">
        <f>EXP(-LN(2)/25)*EB147+(1-EXP(-LN(2)/25))/(LN(2)/25)*Calculateur!DW148*Calculateur!DY148*VLOOKUP('Données projet'!$B$14,Paramètres!$A$1:$I$89,3,0)*0.475*44/12</f>
        <v>9.5946681536753484</v>
      </c>
      <c r="EC148" s="21">
        <f>EXP(-LN(2)/2)*EC147+(1-EXP(-LN(2)/2))/(LN(2)/2)*DW148*DZ148*VLOOKUP('Données projet'!$B$14,Paramètres!$A$1:$I$89,3,0)*0.475*44/12</f>
        <v>3.8846678410272405E-10</v>
      </c>
      <c r="ED148" s="22">
        <f t="shared" si="126"/>
        <v>61.843311692612623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159.78276497127206</v>
      </c>
      <c r="EP148" s="59">
        <f t="shared" si="154"/>
        <v>190.72163407919857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1.243843235504102</v>
      </c>
      <c r="EW148" s="21">
        <f>EXP(-LN(2)/25)*EW147+(1-EXP(-LN(2)/25))/(LN(2)/25)*Calculateur!ER148*Calculateur!ET148*VLOOKUP('Données projet'!$B$15,Paramètres!$A$1:$I$89,3,0)*0.475*44/12</f>
        <v>3.2135817707124046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4.4574250062165071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6.2527760746888816E-13</v>
      </c>
      <c r="FF148" s="17">
        <f>FE148*VLOOKUP('Données projet'!$B$16,Paramètres!$A$1:$I$89,3,0)*VLOOKUP('Données projet'!$B$16,Paramètres!$A$1:$I$89,5,0)</f>
        <v>5.3648818720830608E-13</v>
      </c>
      <c r="FG148" s="13">
        <f t="shared" si="155"/>
        <v>6.6281362235424649E-12</v>
      </c>
      <c r="FH148" s="20">
        <f t="shared" si="130"/>
        <v>1.2478387515390925E-11</v>
      </c>
      <c r="FI148" s="59">
        <f t="shared" si="131"/>
        <v>293.33333333334582</v>
      </c>
      <c r="FJ148" s="59">
        <f ca="1">AVERAGE(OFFSET($FI$3,0,0,'Données projet'!$E$16+1,1))-AVERAGE(OFFSET($H$3,0,0,'Données projet'!$E$16+1,1))</f>
        <v>337.15023592377008</v>
      </c>
      <c r="FK148" s="59">
        <f t="shared" si="156"/>
        <v>286.60608582587099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109.5809691759293</v>
      </c>
      <c r="FR148" s="21">
        <f>EXP(-LN(2)/25)*FR147+(1-EXP(-LN(2)/25))/(LN(2)/25)*Calculateur!FM148*Calculateur!FO148*VLOOKUP('Données projet'!$B$16,Paramètres!$A$1:$I$89,3,0)*0.475*44/12</f>
        <v>26.390999233178295</v>
      </c>
      <c r="FS148" s="21">
        <f>EXP(-LN(2)/2)*FS147+(1-EXP(-LN(2)/2))/(LN(2)/2)*FM148*FP148*VLOOKUP('Données projet'!$B$16,Paramètres!$A$1:$I$89,3,0)*0.475*44/12</f>
        <v>3.4385457005716602</v>
      </c>
      <c r="FT148" s="22">
        <f t="shared" si="132"/>
        <v>139.41051410967927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9.3350000000000026</v>
      </c>
      <c r="FZ148" s="12">
        <f>IF('Données projet'!$A$244&gt;35,FZ147+FY148-GH147,IF(A148&lt;'Données projet'!$A$244,$FW$205^A148,IF(A148='Données projet'!$A$244,'Données projet'!$B$244,FZ147+FY148-GH147)))</f>
        <v>462.47500000000093</v>
      </c>
      <c r="GA148" s="17">
        <f>FZ148*VLOOKUP('Données projet'!$B$17,Paramètres!$A$1:$I$89,3,0)*VLOOKUP('Données projet'!$B$17,Paramètres!$A$1:$I$89,5,0)</f>
        <v>418.44738000000081</v>
      </c>
      <c r="GB148" s="13">
        <f t="shared" si="157"/>
        <v>95.506718301246906</v>
      </c>
      <c r="GC148" s="20">
        <f t="shared" si="133"/>
        <v>895.13672120800663</v>
      </c>
      <c r="GD148" s="59">
        <f t="shared" si="134"/>
        <v>1188.47005454134</v>
      </c>
      <c r="GE148" s="59">
        <f ca="1">AVERAGE(OFFSET($GD$3,0,0,'Données projet'!$E$17+1,1))-AVERAGE(OFFSET($H$3,0,0,'Données projet'!$E$17+1,1))</f>
        <v>486.55344536255876</v>
      </c>
      <c r="GF148" s="59">
        <f t="shared" si="158"/>
        <v>231.14794884432229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49.016595297185191</v>
      </c>
      <c r="GM148" s="21">
        <f>EXP(-LN(2)/25)*GM147+(1-EXP(-LN(2)/25))/(LN(2)/25)*Calculateur!GH148*Calculateur!GJ148*VLOOKUP('Données projet'!$B$17,Paramètres!$A$1:$I$89,3,0)*0.475*44/12</f>
        <v>22.671069906216513</v>
      </c>
      <c r="GN148" s="21">
        <f>EXP(-LN(2)/2)*GN147+(1-EXP(-LN(2)/2))/(LN(2)/2)*GH148*GK148*VLOOKUP('Données projet'!$B$17,Paramètres!$A$1:$I$89,3,0)*0.475*44/12</f>
        <v>3.5258528528016061E-3</v>
      </c>
      <c r="GO148" s="21">
        <f t="shared" si="135"/>
        <v>71.69119105625451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492.97841038165154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252.08270526008477</v>
      </c>
      <c r="T149" s="59">
        <f t="shared" si="142"/>
        <v>239.77811108960179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69.428887519180876</v>
      </c>
      <c r="AA149" s="21">
        <f>EXP(-LN(2)/25)*AA148+(1-EXP(-LN(2)/25))/(LN(2)/25)*Calculateur!V149*Calculateur!X149*VLOOKUP('Données projet'!$B$9,Paramètres!$A$1:$I$89,3,0)*0.475*44/12</f>
        <v>15.260744716406549</v>
      </c>
      <c r="AB149" s="21">
        <f>EXP(-LN(2)/2)*AB148+(1-EXP(-LN(2)/2))/(LN(2)/2)*V149*Y149*VLOOKUP('Données projet'!$B$9,Paramètres!$A$1:$I$89,3,0)*0.475*44/12</f>
        <v>6.5191963665859113E-6</v>
      </c>
      <c r="AC149" s="22">
        <f t="shared" si="111"/>
        <v>84.689638754783786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251.64326096359997</v>
      </c>
      <c r="AO149" s="59">
        <f t="shared" si="144"/>
        <v>256.72142151189894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25.289016812061625</v>
      </c>
      <c r="AV149" s="21">
        <f>EXP(-LN(2)/25)*AV148+(1-EXP(-LN(2)/25))/(LN(2)/25)*Calculateur!AQ149*Calculateur!AS149*VLOOKUP('Données projet'!$B$10,Paramètres!$A$1:$I$89,3,0)*0.475*44/12</f>
        <v>4.4633977630556325</v>
      </c>
      <c r="AW149" s="21">
        <f>EXP(-LN(2)/2)*AW148+(1-EXP(-LN(2)/2))/(LN(2)/2)*AQ149*AT149*VLOOKUP('Données projet'!$B$10,Paramètres!$A$1:$I$89,3,0)*0.475*44/12</f>
        <v>6.8168268198125467E-12</v>
      </c>
      <c r="AX149" s="21">
        <f t="shared" si="114"/>
        <v>29.752414575124075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199.29783428981898</v>
      </c>
      <c r="BJ149" s="59">
        <f t="shared" si="146"/>
        <v>237.32002274562547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1.0498994939564923</v>
      </c>
      <c r="BQ149" s="21">
        <f>EXP(-LN(2)/25)*BQ148+(1-EXP(-LN(2)/25))/(LN(2)/25)*Calculateur!BL149*Calculateur!BN149*VLOOKUP('Données projet'!$B$11,Paramètres!$A$1:$I$89,3,0)*0.475*44/12</f>
        <v>2.6911077695514076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3.7410072635078997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2.5579538487363607E-13</v>
      </c>
      <c r="BZ149" s="13">
        <f>BY149*VLOOKUP('Données projet'!$B$12,Paramètres!$A$1:$I$89,3,0)*VLOOKUP('Données projet'!$B$12,Paramètres!$A$1:$I$89,5,0)</f>
        <v>2.1548203221755105E-13</v>
      </c>
      <c r="CA149" s="13">
        <f t="shared" si="147"/>
        <v>2.9604251148637229E-12</v>
      </c>
      <c r="CB149" s="20">
        <f t="shared" si="118"/>
        <v>5.5313716144998842E-12</v>
      </c>
      <c r="CC149" s="59">
        <f t="shared" si="119"/>
        <v>293.33333333333883</v>
      </c>
      <c r="CD149" s="59">
        <f ca="1">AVERAGE(OFFSET($CC$3,0,0,'Données projet'!$E$12+1,1))-AVERAGE(OFFSET($H$3,0,0,'Données projet'!$E$12+1,1))</f>
        <v>295.59075210589327</v>
      </c>
      <c r="CE149" s="59">
        <f t="shared" si="148"/>
        <v>210.41181542059576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76.612941257310339</v>
      </c>
      <c r="CL149" s="21">
        <f>EXP(-LN(2)/25)*CL148+(1-EXP(-LN(2)/25))/(LN(2)/25)*Calculateur!CG149*Calculateur!CI149*VLOOKUP('Données projet'!$B$12,Paramètres!$A$1:$I$89,3,0)*0.475*44/12</f>
        <v>14.06475083332365</v>
      </c>
      <c r="CM149" s="21">
        <f>EXP(-LN(2)/2)*CM148+(1-EXP(-LN(2)/2))/(LN(2)/2)*CG149*CJ149*VLOOKUP('Données projet'!$B$12,Paramètres!$A$1:$I$89,3,0)*0.475*44/12</f>
        <v>2.4764214561204242E-2</v>
      </c>
      <c r="CN149" s="22">
        <f t="shared" si="120"/>
        <v>90.702456305195199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5.1727511163335289E-14</v>
      </c>
      <c r="CV149" s="13">
        <f t="shared" si="149"/>
        <v>8.3906664221915895E-13</v>
      </c>
      <c r="CW149" s="20">
        <f t="shared" si="121"/>
        <v>1.551466483807844E-12</v>
      </c>
      <c r="CX149" s="59">
        <f t="shared" si="122"/>
        <v>293.33333333333485</v>
      </c>
      <c r="CY149" s="59">
        <f ca="1">AVERAGE(OFFSET($CX$3,0,0,'Données projet'!$E$13+1,1))-AVERAGE(OFFSET($H$3,0,0,'Données projet'!$E$13+1,1))</f>
        <v>338.22448697444298</v>
      </c>
      <c r="CZ149" s="59">
        <f t="shared" si="150"/>
        <v>293.3872365640849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57.561694308507889</v>
      </c>
      <c r="DG149" s="21">
        <f>EXP(-LN(2)/25)*DG148+(1-EXP(-LN(2)/25))/(LN(2)/25)*Calculateur!DB149*Calculateur!DD149*VLOOKUP('Données projet'!$B$13,Paramètres!$A$1:$I$89,3,0)*0.475*44/12</f>
        <v>11.873375410246934</v>
      </c>
      <c r="DH149" s="21">
        <f>EXP(-LN(2)/2)*DH148+(1-EXP(-LN(2)/2))/(LN(2)/2)*DB149*DE149*VLOOKUP('Données projet'!$B$13,Paramètres!$A$1:$I$89,3,0)*0.475*44/12</f>
        <v>9.4198354427161311E-9</v>
      </c>
      <c r="DI149" s="22">
        <f t="shared" si="123"/>
        <v>69.435069728174653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5.6843418860808015E-13</v>
      </c>
      <c r="DP149" s="17">
        <f>DO149*VLOOKUP('Données projet'!$B$14,Paramètres!$A$1:$I$89,3,0)*VLOOKUP('Données projet'!$B$14,Paramètres!$A$1:$I$89,5,0)</f>
        <v>3.177547114319168E-13</v>
      </c>
      <c r="DQ149" s="13">
        <f t="shared" si="151"/>
        <v>4.1725404435445377E-12</v>
      </c>
      <c r="DR149" s="20">
        <f t="shared" si="124"/>
        <v>7.820597394917325E-12</v>
      </c>
      <c r="DS149" s="59">
        <f t="shared" si="125"/>
        <v>293.33333333334116</v>
      </c>
      <c r="DT149" s="59">
        <f ca="1">AVERAGE(OFFSET($DS$3,0,0,'Données projet'!$E$14+1,1))-AVERAGE(OFFSET($H$3,0,0,'Données projet'!$E$14+1,1))</f>
        <v>328.15217666639006</v>
      </c>
      <c r="DU149" s="59">
        <f t="shared" si="152"/>
        <v>305.59175773326308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51.224079507283669</v>
      </c>
      <c r="EB149" s="21">
        <f>EXP(-LN(2)/25)*EB148+(1-EXP(-LN(2)/25))/(LN(2)/25)*Calculateur!DW149*Calculateur!DY149*VLOOKUP('Données projet'!$B$14,Paramètres!$A$1:$I$89,3,0)*0.475*44/12</f>
        <v>9.3323014484514264</v>
      </c>
      <c r="EC149" s="21">
        <f>EXP(-LN(2)/2)*EC148+(1-EXP(-LN(2)/2))/(LN(2)/2)*DW149*DZ149*VLOOKUP('Données projet'!$B$14,Paramètres!$A$1:$I$89,3,0)*0.475*44/12</f>
        <v>2.7468749730476669E-10</v>
      </c>
      <c r="ED149" s="22">
        <f t="shared" si="126"/>
        <v>60.556380956009782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159.78276497127206</v>
      </c>
      <c r="EP149" s="59">
        <f t="shared" si="154"/>
        <v>190.72163407919857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1.219452228325328</v>
      </c>
      <c r="EW149" s="21">
        <f>EXP(-LN(2)/25)*EW148+(1-EXP(-LN(2)/25))/(LN(2)/25)*Calculateur!ER149*Calculateur!ET149*VLOOKUP('Données projet'!$B$15,Paramètres!$A$1:$I$89,3,0)*0.475*44/12</f>
        <v>3.1257062081973532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4.3451584365226807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6.2527760746888816E-13</v>
      </c>
      <c r="FF149" s="17">
        <f>FE149*VLOOKUP('Données projet'!$B$16,Paramètres!$A$1:$I$89,3,0)*VLOOKUP('Données projet'!$B$16,Paramètres!$A$1:$I$89,5,0)</f>
        <v>5.3648818720830608E-13</v>
      </c>
      <c r="FG149" s="13">
        <f t="shared" si="155"/>
        <v>6.6281362235424649E-12</v>
      </c>
      <c r="FH149" s="20">
        <f t="shared" si="130"/>
        <v>1.2478387515390925E-11</v>
      </c>
      <c r="FI149" s="59">
        <f t="shared" si="131"/>
        <v>293.33333333334582</v>
      </c>
      <c r="FJ149" s="59">
        <f ca="1">AVERAGE(OFFSET($FI$3,0,0,'Données projet'!$E$16+1,1))-AVERAGE(OFFSET($H$3,0,0,'Données projet'!$E$16+1,1))</f>
        <v>337.15023592377008</v>
      </c>
      <c r="FK149" s="59">
        <f t="shared" si="156"/>
        <v>286.60608582587099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107.43215320818084</v>
      </c>
      <c r="FR149" s="21">
        <f>EXP(-LN(2)/25)*FR148+(1-EXP(-LN(2)/25))/(LN(2)/25)*Calculateur!FM149*Calculateur!FO149*VLOOKUP('Données projet'!$B$16,Paramètres!$A$1:$I$89,3,0)*0.475*44/12</f>
        <v>25.669335971304701</v>
      </c>
      <c r="FS149" s="21">
        <f>EXP(-LN(2)/2)*FS148+(1-EXP(-LN(2)/2))/(LN(2)/2)*FM149*FP149*VLOOKUP('Données projet'!$B$16,Paramètres!$A$1:$I$89,3,0)*0.475*44/12</f>
        <v>2.4314189822940691</v>
      </c>
      <c r="FT149" s="22">
        <f t="shared" si="132"/>
        <v>135.5329081617796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9.3350000000000026</v>
      </c>
      <c r="FZ149" s="12">
        <f>IF('Données projet'!$A$244&gt;35,FZ148+FY149-GH148,IF(A149&lt;'Données projet'!$A$244,$FW$205^A149,IF(A149='Données projet'!$A$244,'Données projet'!$B$244,FZ148+FY149-GH148)))</f>
        <v>471.81000000000091</v>
      </c>
      <c r="GA149" s="17">
        <f>FZ149*VLOOKUP('Données projet'!$B$17,Paramètres!$A$1:$I$89,3,0)*VLOOKUP('Données projet'!$B$17,Paramètres!$A$1:$I$89,5,0)</f>
        <v>426.89368800000079</v>
      </c>
      <c r="GB149" s="13">
        <f t="shared" si="157"/>
        <v>97.208128358788159</v>
      </c>
      <c r="GC149" s="20">
        <f t="shared" si="133"/>
        <v>912.81066349155742</v>
      </c>
      <c r="GD149" s="59">
        <f t="shared" si="134"/>
        <v>1206.1439968248908</v>
      </c>
      <c r="GE149" s="59">
        <f ca="1">AVERAGE(OFFSET($GD$3,0,0,'Données projet'!$E$17+1,1))-AVERAGE(OFFSET($H$3,0,0,'Données projet'!$E$17+1,1))</f>
        <v>486.55344536255876</v>
      </c>
      <c r="GF149" s="59">
        <f t="shared" si="158"/>
        <v>231.14794884432229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48.055409760578421</v>
      </c>
      <c r="GM149" s="21">
        <f>EXP(-LN(2)/25)*GM148+(1-EXP(-LN(2)/25))/(LN(2)/25)*Calculateur!GH149*Calculateur!GJ149*VLOOKUP('Données projet'!$B$17,Paramètres!$A$1:$I$89,3,0)*0.475*44/12</f>
        <v>22.051128307411272</v>
      </c>
      <c r="GN149" s="21">
        <f>EXP(-LN(2)/2)*GN148+(1-EXP(-LN(2)/2))/(LN(2)/2)*GH149*GK149*VLOOKUP('Données projet'!$B$17,Paramètres!$A$1:$I$89,3,0)*0.475*44/12</f>
        <v>2.4931544616819496E-3</v>
      </c>
      <c r="GO149" s="21">
        <f t="shared" si="135"/>
        <v>70.109031222451364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494.55710362891824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252.08270526008477</v>
      </c>
      <c r="T150" s="59">
        <f t="shared" si="142"/>
        <v>239.77811108960179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68.067429382369667</v>
      </c>
      <c r="AA150" s="21">
        <f>EXP(-LN(2)/25)*AA149+(1-EXP(-LN(2)/25))/(LN(2)/25)*Calculateur!V150*Calculateur!X150*VLOOKUP('Données projet'!$B$9,Paramètres!$A$1:$I$89,3,0)*0.475*44/12</f>
        <v>14.843438849608726</v>
      </c>
      <c r="AB150" s="21">
        <f>EXP(-LN(2)/2)*AB149+(1-EXP(-LN(2)/2))/(LN(2)/2)*V150*Y150*VLOOKUP('Données projet'!$B$9,Paramètres!$A$1:$I$89,3,0)*0.475*44/12</f>
        <v>4.6097679586995996E-6</v>
      </c>
      <c r="AC150" s="22">
        <f t="shared" si="111"/>
        <v>82.910872841746354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251.64326096359997</v>
      </c>
      <c r="AO150" s="59">
        <f t="shared" si="144"/>
        <v>256.72142151189894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24.793114617154281</v>
      </c>
      <c r="AV150" s="21">
        <f>EXP(-LN(2)/25)*AV149+(1-EXP(-LN(2)/25))/(LN(2)/25)*Calculateur!AQ150*Calculateur!AS150*VLOOKUP('Données projet'!$B$10,Paramètres!$A$1:$I$89,3,0)*0.475*44/12</f>
        <v>4.3413459165049888</v>
      </c>
      <c r="AW150" s="21">
        <f>EXP(-LN(2)/2)*AW149+(1-EXP(-LN(2)/2))/(LN(2)/2)*AQ150*AT150*VLOOKUP('Données projet'!$B$10,Paramètres!$A$1:$I$89,3,0)*0.475*44/12</f>
        <v>4.8202244704637791E-12</v>
      </c>
      <c r="AX150" s="21">
        <f t="shared" si="114"/>
        <v>29.13446053366409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199.29783428981898</v>
      </c>
      <c r="BJ150" s="59">
        <f t="shared" si="146"/>
        <v>237.32002274562547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1.0293116052554649</v>
      </c>
      <c r="BQ150" s="21">
        <f>EXP(-LN(2)/25)*BQ149+(1-EXP(-LN(2)/25))/(LN(2)/25)*Calculateur!BL150*Calculateur!BN150*VLOOKUP('Données projet'!$B$11,Paramètres!$A$1:$I$89,3,0)*0.475*44/12</f>
        <v>2.6175192860738172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3.646830891329282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2.5579538487363607E-13</v>
      </c>
      <c r="BZ150" s="13">
        <f>BY150*VLOOKUP('Données projet'!$B$12,Paramètres!$A$1:$I$89,3,0)*VLOOKUP('Données projet'!$B$12,Paramètres!$A$1:$I$89,5,0)</f>
        <v>2.1548203221755105E-13</v>
      </c>
      <c r="CA150" s="13">
        <f t="shared" si="147"/>
        <v>2.9604251148637229E-12</v>
      </c>
      <c r="CB150" s="20">
        <f t="shared" si="118"/>
        <v>5.5313716144998842E-12</v>
      </c>
      <c r="CC150" s="59">
        <f t="shared" si="119"/>
        <v>293.33333333333883</v>
      </c>
      <c r="CD150" s="59">
        <f ca="1">AVERAGE(OFFSET($CC$3,0,0,'Données projet'!$E$12+1,1))-AVERAGE(OFFSET($H$3,0,0,'Données projet'!$E$12+1,1))</f>
        <v>295.59075210589327</v>
      </c>
      <c r="CE150" s="59">
        <f t="shared" si="148"/>
        <v>210.41181542059576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75.110608208534515</v>
      </c>
      <c r="CL150" s="21">
        <f>EXP(-LN(2)/25)*CL149+(1-EXP(-LN(2)/25))/(LN(2)/25)*Calculateur!CG150*Calculateur!CI150*VLOOKUP('Données projet'!$B$12,Paramètres!$A$1:$I$89,3,0)*0.475*44/12</f>
        <v>13.680149482153315</v>
      </c>
      <c r="CM150" s="21">
        <f>EXP(-LN(2)/2)*CM149+(1-EXP(-LN(2)/2))/(LN(2)/2)*CG150*CJ150*VLOOKUP('Données projet'!$B$12,Paramètres!$A$1:$I$89,3,0)*0.475*44/12</f>
        <v>1.7510944046986162E-2</v>
      </c>
      <c r="CN150" s="22">
        <f t="shared" si="120"/>
        <v>88.808268634734816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5.1727511163335289E-14</v>
      </c>
      <c r="CV150" s="13">
        <f t="shared" si="149"/>
        <v>8.3906664221915895E-13</v>
      </c>
      <c r="CW150" s="20">
        <f t="shared" si="121"/>
        <v>1.551466483807844E-12</v>
      </c>
      <c r="CX150" s="59">
        <f t="shared" si="122"/>
        <v>293.33333333333485</v>
      </c>
      <c r="CY150" s="59">
        <f ca="1">AVERAGE(OFFSET($CX$3,0,0,'Données projet'!$E$13+1,1))-AVERAGE(OFFSET($H$3,0,0,'Données projet'!$E$13+1,1))</f>
        <v>338.22448697444298</v>
      </c>
      <c r="CZ150" s="59">
        <f t="shared" si="150"/>
        <v>293.3872365640849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56.432944592284834</v>
      </c>
      <c r="DG150" s="21">
        <f>EXP(-LN(2)/25)*DG149+(1-EXP(-LN(2)/25))/(LN(2)/25)*Calculateur!DB150*Calculateur!DD150*VLOOKUP('Données projet'!$B$13,Paramètres!$A$1:$I$89,3,0)*0.475*44/12</f>
        <v>11.548697335260057</v>
      </c>
      <c r="DH150" s="21">
        <f>EXP(-LN(2)/2)*DH149+(1-EXP(-LN(2)/2))/(LN(2)/2)*DB150*DE150*VLOOKUP('Données projet'!$B$13,Paramètres!$A$1:$I$89,3,0)*0.475*44/12</f>
        <v>6.6608295192059604E-9</v>
      </c>
      <c r="DI150" s="22">
        <f t="shared" si="123"/>
        <v>67.981641934205712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5.6843418860808015E-13</v>
      </c>
      <c r="DP150" s="17">
        <f>DO150*VLOOKUP('Données projet'!$B$14,Paramètres!$A$1:$I$89,3,0)*VLOOKUP('Données projet'!$B$14,Paramètres!$A$1:$I$89,5,0)</f>
        <v>3.177547114319168E-13</v>
      </c>
      <c r="DQ150" s="13">
        <f t="shared" si="151"/>
        <v>4.1725404435445377E-12</v>
      </c>
      <c r="DR150" s="20">
        <f t="shared" si="124"/>
        <v>7.820597394917325E-12</v>
      </c>
      <c r="DS150" s="59">
        <f t="shared" si="125"/>
        <v>293.33333333334116</v>
      </c>
      <c r="DT150" s="59">
        <f ca="1">AVERAGE(OFFSET($DS$3,0,0,'Données projet'!$E$14+1,1))-AVERAGE(OFFSET($H$3,0,0,'Données projet'!$E$14+1,1))</f>
        <v>328.15217666639006</v>
      </c>
      <c r="DU150" s="59">
        <f t="shared" si="152"/>
        <v>305.59175773326308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50.219606551749287</v>
      </c>
      <c r="EB150" s="21">
        <f>EXP(-LN(2)/25)*EB149+(1-EXP(-LN(2)/25))/(LN(2)/25)*Calculateur!DW150*Calculateur!DY150*VLOOKUP('Données projet'!$B$14,Paramètres!$A$1:$I$89,3,0)*0.475*44/12</f>
        <v>9.0771091745791175</v>
      </c>
      <c r="EC150" s="21">
        <f>EXP(-LN(2)/2)*EC149+(1-EXP(-LN(2)/2))/(LN(2)/2)*DW150*DZ150*VLOOKUP('Données projet'!$B$14,Paramètres!$A$1:$I$89,3,0)*0.475*44/12</f>
        <v>1.9423339205136203E-10</v>
      </c>
      <c r="ED150" s="22">
        <f t="shared" si="126"/>
        <v>59.296715726522635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159.78276497127206</v>
      </c>
      <c r="EP150" s="59">
        <f t="shared" si="154"/>
        <v>190.72163407919857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1.1955395139202842</v>
      </c>
      <c r="EW150" s="21">
        <f>EXP(-LN(2)/25)*EW149+(1-EXP(-LN(2)/25))/(LN(2)/25)*Calculateur!ER150*Calculateur!ET150*VLOOKUP('Données projet'!$B$15,Paramètres!$A$1:$I$89,3,0)*0.475*44/12</f>
        <v>3.040233607560451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4.2357731214807348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6.2527760746888816E-13</v>
      </c>
      <c r="FF150" s="17">
        <f>FE150*VLOOKUP('Données projet'!$B$16,Paramètres!$A$1:$I$89,3,0)*VLOOKUP('Données projet'!$B$16,Paramètres!$A$1:$I$89,5,0)</f>
        <v>5.3648818720830608E-13</v>
      </c>
      <c r="FG150" s="13">
        <f t="shared" si="155"/>
        <v>6.6281362235424649E-12</v>
      </c>
      <c r="FH150" s="20">
        <f t="shared" si="130"/>
        <v>1.2478387515390925E-11</v>
      </c>
      <c r="FI150" s="59">
        <f t="shared" si="131"/>
        <v>293.33333333334582</v>
      </c>
      <c r="FJ150" s="59">
        <f ca="1">AVERAGE(OFFSET($FI$3,0,0,'Données projet'!$E$16+1,1))-AVERAGE(OFFSET($H$3,0,0,'Données projet'!$E$16+1,1))</f>
        <v>337.15023592377008</v>
      </c>
      <c r="FK150" s="59">
        <f t="shared" si="156"/>
        <v>286.60608582587099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105.32547421091159</v>
      </c>
      <c r="FR150" s="21">
        <f>EXP(-LN(2)/25)*FR149+(1-EXP(-LN(2)/25))/(LN(2)/25)*Calculateur!FM150*Calculateur!FO150*VLOOKUP('Données projet'!$B$16,Paramètres!$A$1:$I$89,3,0)*0.475*44/12</f>
        <v>24.967406629277662</v>
      </c>
      <c r="FS150" s="21">
        <f>EXP(-LN(2)/2)*FS149+(1-EXP(-LN(2)/2))/(LN(2)/2)*FM150*FP150*VLOOKUP('Données projet'!$B$16,Paramètres!$A$1:$I$89,3,0)*0.475*44/12</f>
        <v>1.7192728502858305</v>
      </c>
      <c r="FT150" s="22">
        <f t="shared" si="132"/>
        <v>132.01215369047506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9.3350000000000026</v>
      </c>
      <c r="FZ150" s="12">
        <f>IF('Données projet'!$A$244&gt;35,FZ149+FY150-GH149,IF(A150&lt;'Données projet'!$A$244,$FW$205^A150,IF(A150='Données projet'!$A$244,'Données projet'!$B$244,FZ149+FY150-GH149)))</f>
        <v>481.14500000000089</v>
      </c>
      <c r="GA150" s="17">
        <f>FZ150*VLOOKUP('Données projet'!$B$17,Paramètres!$A$1:$I$89,3,0)*VLOOKUP('Données projet'!$B$17,Paramètres!$A$1:$I$89,5,0)</f>
        <v>435.33999600000078</v>
      </c>
      <c r="GB150" s="13">
        <f t="shared" si="157"/>
        <v>98.905624251508897</v>
      </c>
      <c r="GC150" s="20">
        <f t="shared" si="133"/>
        <v>930.4777886047126</v>
      </c>
      <c r="GD150" s="59">
        <f t="shared" si="134"/>
        <v>1223.811121938046</v>
      </c>
      <c r="GE150" s="59">
        <f ca="1">AVERAGE(OFFSET($GD$3,0,0,'Données projet'!$E$17+1,1))-AVERAGE(OFFSET($H$3,0,0,'Données projet'!$E$17+1,1))</f>
        <v>486.55344536255876</v>
      </c>
      <c r="GF150" s="59">
        <f t="shared" si="158"/>
        <v>231.14794884432229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47.113072486079218</v>
      </c>
      <c r="GM150" s="21">
        <f>EXP(-LN(2)/25)*GM149+(1-EXP(-LN(2)/25))/(LN(2)/25)*Calculateur!GH150*Calculateur!GJ150*VLOOKUP('Données projet'!$B$17,Paramètres!$A$1:$I$89,3,0)*0.475*44/12</f>
        <v>21.448139044226672</v>
      </c>
      <c r="GN150" s="21">
        <f>EXP(-LN(2)/2)*GN149+(1-EXP(-LN(2)/2))/(LN(2)/2)*GH150*GK150*VLOOKUP('Données projet'!$B$17,Paramètres!$A$1:$I$89,3,0)*0.475*44/12</f>
        <v>1.7629264264008031E-3</v>
      </c>
      <c r="GO150" s="21">
        <f t="shared" si="135"/>
        <v>68.562974456732277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496.13555806908232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252.08270526008477</v>
      </c>
      <c r="T151" s="59">
        <f t="shared" si="142"/>
        <v>239.77811108960179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66.73266860921386</v>
      </c>
      <c r="AA151" s="21">
        <f>EXP(-LN(2)/25)*AA150+(1-EXP(-LN(2)/25))/(LN(2)/25)*Calculateur!V151*Calculateur!X151*VLOOKUP('Données projet'!$B$9,Paramètres!$A$1:$I$89,3,0)*0.475*44/12</f>
        <v>14.437544233683651</v>
      </c>
      <c r="AB151" s="21">
        <f>EXP(-LN(2)/2)*AB150+(1-EXP(-LN(2)/2))/(LN(2)/2)*V151*Y151*VLOOKUP('Données projet'!$B$9,Paramètres!$A$1:$I$89,3,0)*0.475*44/12</f>
        <v>3.2595981832929556E-6</v>
      </c>
      <c r="AC151" s="22">
        <f t="shared" si="111"/>
        <v>81.170216102495701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251.64326096359997</v>
      </c>
      <c r="AO151" s="59">
        <f t="shared" si="144"/>
        <v>256.72142151189894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24.306936761818598</v>
      </c>
      <c r="AV151" s="21">
        <f>EXP(-LN(2)/25)*AV150+(1-EXP(-LN(2)/25))/(LN(2)/25)*Calculateur!AQ151*Calculateur!AS151*VLOOKUP('Données projet'!$B$10,Paramètres!$A$1:$I$89,3,0)*0.475*44/12</f>
        <v>4.2226315841167006</v>
      </c>
      <c r="AW151" s="21">
        <f>EXP(-LN(2)/2)*AW150+(1-EXP(-LN(2)/2))/(LN(2)/2)*AQ151*AT151*VLOOKUP('Données projet'!$B$10,Paramètres!$A$1:$I$89,3,0)*0.475*44/12</f>
        <v>3.4084134099062734E-12</v>
      </c>
      <c r="AX151" s="21">
        <f t="shared" si="114"/>
        <v>28.529568345938706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199.29783428981898</v>
      </c>
      <c r="BJ151" s="59">
        <f t="shared" si="146"/>
        <v>237.32002274562547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1.0091274324944925</v>
      </c>
      <c r="BQ151" s="21">
        <f>EXP(-LN(2)/25)*BQ150+(1-EXP(-LN(2)/25))/(LN(2)/25)*Calculateur!BL151*Calculateur!BN151*VLOOKUP('Données projet'!$B$11,Paramètres!$A$1:$I$89,3,0)*0.475*44/12</f>
        <v>2.545943083546772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3.5550705160412646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2.5579538487363607E-13</v>
      </c>
      <c r="BZ151" s="13">
        <f>BY151*VLOOKUP('Données projet'!$B$12,Paramètres!$A$1:$I$89,3,0)*VLOOKUP('Données projet'!$B$12,Paramètres!$A$1:$I$89,5,0)</f>
        <v>2.1548203221755105E-13</v>
      </c>
      <c r="CA151" s="13">
        <f t="shared" si="147"/>
        <v>2.9604251148637229E-12</v>
      </c>
      <c r="CB151" s="20">
        <f t="shared" si="118"/>
        <v>5.5313716144998842E-12</v>
      </c>
      <c r="CC151" s="59">
        <f t="shared" si="119"/>
        <v>293.33333333333883</v>
      </c>
      <c r="CD151" s="59">
        <f ca="1">AVERAGE(OFFSET($CC$3,0,0,'Données projet'!$E$12+1,1))-AVERAGE(OFFSET($H$3,0,0,'Données projet'!$E$12+1,1))</f>
        <v>295.59075210589327</v>
      </c>
      <c r="CE151" s="59">
        <f t="shared" si="148"/>
        <v>210.41181542059576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73.637734994512513</v>
      </c>
      <c r="CL151" s="21">
        <f>EXP(-LN(2)/25)*CL150+(1-EXP(-LN(2)/25))/(LN(2)/25)*Calculateur!CG151*Calculateur!CI151*VLOOKUP('Données projet'!$B$12,Paramètres!$A$1:$I$89,3,0)*0.475*44/12</f>
        <v>13.306065075156038</v>
      </c>
      <c r="CM151" s="21">
        <f>EXP(-LN(2)/2)*CM150+(1-EXP(-LN(2)/2))/(LN(2)/2)*CG151*CJ151*VLOOKUP('Données projet'!$B$12,Paramètres!$A$1:$I$89,3,0)*0.475*44/12</f>
        <v>1.2382107280602121E-2</v>
      </c>
      <c r="CN151" s="22">
        <f t="shared" si="120"/>
        <v>86.956182176949156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5.1727511163335289E-14</v>
      </c>
      <c r="CV151" s="13">
        <f t="shared" si="149"/>
        <v>8.3906664221915895E-13</v>
      </c>
      <c r="CW151" s="20">
        <f t="shared" si="121"/>
        <v>1.551466483807844E-12</v>
      </c>
      <c r="CX151" s="59">
        <f t="shared" si="122"/>
        <v>293.33333333333485</v>
      </c>
      <c r="CY151" s="59">
        <f ca="1">AVERAGE(OFFSET($CX$3,0,0,'Données projet'!$E$13+1,1))-AVERAGE(OFFSET($H$3,0,0,'Données projet'!$E$13+1,1))</f>
        <v>338.22448697444298</v>
      </c>
      <c r="CZ151" s="59">
        <f t="shared" si="150"/>
        <v>293.3872365640849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55.326328969527566</v>
      </c>
      <c r="DG151" s="21">
        <f>EXP(-LN(2)/25)*DG150+(1-EXP(-LN(2)/25))/(LN(2)/25)*Calculateur!DB151*Calculateur!DD151*VLOOKUP('Données projet'!$B$13,Paramètres!$A$1:$I$89,3,0)*0.475*44/12</f>
        <v>11.232897599307773</v>
      </c>
      <c r="DH151" s="21">
        <f>EXP(-LN(2)/2)*DH150+(1-EXP(-LN(2)/2))/(LN(2)/2)*DB151*DE151*VLOOKUP('Données projet'!$B$13,Paramètres!$A$1:$I$89,3,0)*0.475*44/12</f>
        <v>4.7099177213580655E-9</v>
      </c>
      <c r="DI151" s="22">
        <f t="shared" si="123"/>
        <v>66.55922657354526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5.6843418860808015E-13</v>
      </c>
      <c r="DP151" s="17">
        <f>DO151*VLOOKUP('Données projet'!$B$14,Paramètres!$A$1:$I$89,3,0)*VLOOKUP('Données projet'!$B$14,Paramètres!$A$1:$I$89,5,0)</f>
        <v>3.177547114319168E-13</v>
      </c>
      <c r="DQ151" s="13">
        <f t="shared" si="151"/>
        <v>4.1725404435445377E-12</v>
      </c>
      <c r="DR151" s="20">
        <f t="shared" si="124"/>
        <v>7.820597394917325E-12</v>
      </c>
      <c r="DS151" s="59">
        <f t="shared" si="125"/>
        <v>293.33333333334116</v>
      </c>
      <c r="DT151" s="59">
        <f ca="1">AVERAGE(OFFSET($DS$3,0,0,'Données projet'!$E$14+1,1))-AVERAGE(OFFSET($H$3,0,0,'Données projet'!$E$14+1,1))</f>
        <v>328.15217666639006</v>
      </c>
      <c r="DU151" s="59">
        <f t="shared" si="152"/>
        <v>305.59175773326308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49.234830698204924</v>
      </c>
      <c r="EB151" s="21">
        <f>EXP(-LN(2)/25)*EB150+(1-EXP(-LN(2)/25))/(LN(2)/25)*Calculateur!DW151*Calculateur!DY151*VLOOKUP('Données projet'!$B$14,Paramètres!$A$1:$I$89,3,0)*0.475*44/12</f>
        <v>8.8288951468558263</v>
      </c>
      <c r="EC151" s="21">
        <f>EXP(-LN(2)/2)*EC150+(1-EXP(-LN(2)/2))/(LN(2)/2)*DW151*DZ151*VLOOKUP('Données projet'!$B$14,Paramètres!$A$1:$I$89,3,0)*0.475*44/12</f>
        <v>1.3734374865238334E-10</v>
      </c>
      <c r="ED151" s="22">
        <f t="shared" si="126"/>
        <v>58.063725845198093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159.78276497127206</v>
      </c>
      <c r="EP151" s="59">
        <f t="shared" si="154"/>
        <v>190.72163407919857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1.1720957132594076</v>
      </c>
      <c r="EW151" s="21">
        <f>EXP(-LN(2)/25)*EW150+(1-EXP(-LN(2)/25))/(LN(2)/25)*Calculateur!ER151*Calculateur!ET151*VLOOKUP('Données projet'!$B$15,Paramètres!$A$1:$I$89,3,0)*0.475*44/12</f>
        <v>2.9570982596827737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4.1291939729421809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6.2527760746888816E-13</v>
      </c>
      <c r="FF151" s="17">
        <f>FE151*VLOOKUP('Données projet'!$B$16,Paramètres!$A$1:$I$89,3,0)*VLOOKUP('Données projet'!$B$16,Paramètres!$A$1:$I$89,5,0)</f>
        <v>5.3648818720830608E-13</v>
      </c>
      <c r="FG151" s="13">
        <f t="shared" si="155"/>
        <v>6.6281362235424649E-12</v>
      </c>
      <c r="FH151" s="20">
        <f t="shared" si="130"/>
        <v>1.2478387515390925E-11</v>
      </c>
      <c r="FI151" s="59">
        <f t="shared" si="131"/>
        <v>293.33333333334582</v>
      </c>
      <c r="FJ151" s="59">
        <f ca="1">AVERAGE(OFFSET($FI$3,0,0,'Données projet'!$E$16+1,1))-AVERAGE(OFFSET($H$3,0,0,'Données projet'!$E$16+1,1))</f>
        <v>337.15023592377008</v>
      </c>
      <c r="FK151" s="59">
        <f t="shared" si="156"/>
        <v>286.60608582587099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103.2601059038315</v>
      </c>
      <c r="FR151" s="21">
        <f>EXP(-LN(2)/25)*FR150+(1-EXP(-LN(2)/25))/(LN(2)/25)*Calculateur!FM151*Calculateur!FO151*VLOOKUP('Données projet'!$B$16,Paramètres!$A$1:$I$89,3,0)*0.475*44/12</f>
        <v>24.284671582021215</v>
      </c>
      <c r="FS151" s="21">
        <f>EXP(-LN(2)/2)*FS150+(1-EXP(-LN(2)/2))/(LN(2)/2)*FM151*FP151*VLOOKUP('Données projet'!$B$16,Paramètres!$A$1:$I$89,3,0)*0.475*44/12</f>
        <v>1.2157094911470347</v>
      </c>
      <c r="FT151" s="22">
        <f t="shared" si="132"/>
        <v>128.76048697699974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9.3350000000000026</v>
      </c>
      <c r="FZ151" s="12">
        <f>IF('Données projet'!$A$244&gt;35,FZ150+FY151-GH150,IF(A151&lt;'Données projet'!$A$244,$FW$205^A151,IF(A151='Données projet'!$A$244,'Données projet'!$B$244,FZ150+FY151-GH150)))</f>
        <v>490.48000000000087</v>
      </c>
      <c r="GA151" s="17">
        <f>FZ151*VLOOKUP('Données projet'!$B$17,Paramètres!$A$1:$I$89,3,0)*VLOOKUP('Données projet'!$B$17,Paramètres!$A$1:$I$89,5,0)</f>
        <v>443.78630400000077</v>
      </c>
      <c r="GB151" s="13">
        <f t="shared" si="157"/>
        <v>100.59929067522565</v>
      </c>
      <c r="GC151" s="20">
        <f t="shared" si="133"/>
        <v>948.13824405935259</v>
      </c>
      <c r="GD151" s="59">
        <f t="shared" si="134"/>
        <v>1241.471577392686</v>
      </c>
      <c r="GE151" s="59">
        <f ca="1">AVERAGE(OFFSET($GD$3,0,0,'Données projet'!$E$17+1,1))-AVERAGE(OFFSET($H$3,0,0,'Données projet'!$E$17+1,1))</f>
        <v>486.55344536255876</v>
      </c>
      <c r="GF151" s="59">
        <f t="shared" si="158"/>
        <v>231.14794884432229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46.189213870763965</v>
      </c>
      <c r="GM151" s="21">
        <f>EXP(-LN(2)/25)*GM150+(1-EXP(-LN(2)/25))/(LN(2)/25)*Calculateur!GH151*Calculateur!GJ151*VLOOKUP('Données projet'!$B$17,Paramètres!$A$1:$I$89,3,0)*0.475*44/12</f>
        <v>20.861638554153682</v>
      </c>
      <c r="GN151" s="21">
        <f>EXP(-LN(2)/2)*GN150+(1-EXP(-LN(2)/2))/(LN(2)/2)*GH151*GK151*VLOOKUP('Données projet'!$B$17,Paramètres!$A$1:$I$89,3,0)*0.475*44/12</f>
        <v>1.2465772308409748E-3</v>
      </c>
      <c r="GO151" s="21">
        <f t="shared" si="135"/>
        <v>67.052099002148495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497.71377550284296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252.08270526008477</v>
      </c>
      <c r="T152" s="59">
        <f t="shared" si="142"/>
        <v>239.77811108960179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65.424081680695949</v>
      </c>
      <c r="AA152" s="21">
        <f>EXP(-LN(2)/25)*AA151+(1-EXP(-LN(2)/25))/(LN(2)/25)*Calculateur!V152*Calculateur!X152*VLOOKUP('Données projet'!$B$9,Paramètres!$A$1:$I$89,3,0)*0.475*44/12</f>
        <v>14.042748827376117</v>
      </c>
      <c r="AB152" s="21">
        <f>EXP(-LN(2)/2)*AB151+(1-EXP(-LN(2)/2))/(LN(2)/2)*V152*Y152*VLOOKUP('Données projet'!$B$9,Paramètres!$A$1:$I$89,3,0)*0.475*44/12</f>
        <v>2.3048839793497998E-6</v>
      </c>
      <c r="AC152" s="22">
        <f t="shared" si="111"/>
        <v>79.466832812956042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251.64326096359997</v>
      </c>
      <c r="AO152" s="59">
        <f t="shared" si="144"/>
        <v>256.72142151189894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23.830292557686835</v>
      </c>
      <c r="AV152" s="21">
        <f>EXP(-LN(2)/25)*AV151+(1-EXP(-LN(2)/25))/(LN(2)/25)*Calculateur!AQ152*Calculateur!AS152*VLOOKUP('Données projet'!$B$10,Paramètres!$A$1:$I$89,3,0)*0.475*44/12</f>
        <v>4.1071635013904855</v>
      </c>
      <c r="AW152" s="21">
        <f>EXP(-LN(2)/2)*AW151+(1-EXP(-LN(2)/2))/(LN(2)/2)*AQ152*AT152*VLOOKUP('Données projet'!$B$10,Paramètres!$A$1:$I$89,3,0)*0.475*44/12</f>
        <v>2.4101122352318895E-12</v>
      </c>
      <c r="AX152" s="21">
        <f t="shared" si="114"/>
        <v>27.937456059079729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199.29783428981898</v>
      </c>
      <c r="BJ152" s="59">
        <f t="shared" si="146"/>
        <v>237.32002274562547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0.98933905905023312</v>
      </c>
      <c r="BQ152" s="21">
        <f>EXP(-LN(2)/25)*BQ151+(1-EXP(-LN(2)/25))/(LN(2)/25)*Calculateur!BL152*Calculateur!BN152*VLOOKUP('Données projet'!$B$11,Paramètres!$A$1:$I$89,3,0)*0.475*44/12</f>
        <v>2.4763241360418577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3.4656631950920911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2.5579538487363607E-13</v>
      </c>
      <c r="BZ152" s="13">
        <f>BY152*VLOOKUP('Données projet'!$B$12,Paramètres!$A$1:$I$89,3,0)*VLOOKUP('Données projet'!$B$12,Paramètres!$A$1:$I$89,5,0)</f>
        <v>2.1548203221755105E-13</v>
      </c>
      <c r="CA152" s="13">
        <f t="shared" si="147"/>
        <v>2.9604251148637229E-12</v>
      </c>
      <c r="CB152" s="20">
        <f t="shared" si="118"/>
        <v>5.5313716144998842E-12</v>
      </c>
      <c r="CC152" s="59">
        <f t="shared" si="119"/>
        <v>293.33333333333883</v>
      </c>
      <c r="CD152" s="59">
        <f ca="1">AVERAGE(OFFSET($CC$3,0,0,'Données projet'!$E$12+1,1))-AVERAGE(OFFSET($H$3,0,0,'Données projet'!$E$12+1,1))</f>
        <v>295.59075210589327</v>
      </c>
      <c r="CE152" s="59">
        <f t="shared" si="148"/>
        <v>210.41181542059576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72.193743925853525</v>
      </c>
      <c r="CL152" s="21">
        <f>EXP(-LN(2)/25)*CL151+(1-EXP(-LN(2)/25))/(LN(2)/25)*Calculateur!CG152*Calculateur!CI152*VLOOKUP('Données projet'!$B$12,Paramètres!$A$1:$I$89,3,0)*0.475*44/12</f>
        <v>12.942210025940346</v>
      </c>
      <c r="CM152" s="21">
        <f>EXP(-LN(2)/2)*CM151+(1-EXP(-LN(2)/2))/(LN(2)/2)*CG152*CJ152*VLOOKUP('Données projet'!$B$12,Paramètres!$A$1:$I$89,3,0)*0.475*44/12</f>
        <v>8.755472023493081E-3</v>
      </c>
      <c r="CN152" s="22">
        <f t="shared" si="120"/>
        <v>85.144709423817361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5.1727511163335289E-14</v>
      </c>
      <c r="CV152" s="13">
        <f t="shared" si="149"/>
        <v>8.3906664221915895E-13</v>
      </c>
      <c r="CW152" s="20">
        <f t="shared" si="121"/>
        <v>1.551466483807844E-12</v>
      </c>
      <c r="CX152" s="59">
        <f t="shared" si="122"/>
        <v>293.33333333333485</v>
      </c>
      <c r="CY152" s="59">
        <f ca="1">AVERAGE(OFFSET($CX$3,0,0,'Données projet'!$E$13+1,1))-AVERAGE(OFFSET($H$3,0,0,'Données projet'!$E$13+1,1))</f>
        <v>338.22448697444298</v>
      </c>
      <c r="CZ152" s="59">
        <f t="shared" si="150"/>
        <v>293.3872365640849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54.241413404163687</v>
      </c>
      <c r="DG152" s="21">
        <f>EXP(-LN(2)/25)*DG151+(1-EXP(-LN(2)/25))/(LN(2)/25)*Calculateur!DB152*Calculateur!DD152*VLOOKUP('Données projet'!$B$13,Paramètres!$A$1:$I$89,3,0)*0.475*44/12</f>
        <v>10.92573342374229</v>
      </c>
      <c r="DH152" s="21">
        <f>EXP(-LN(2)/2)*DH151+(1-EXP(-LN(2)/2))/(LN(2)/2)*DB152*DE152*VLOOKUP('Données projet'!$B$13,Paramètres!$A$1:$I$89,3,0)*0.475*44/12</f>
        <v>3.3304147596029802E-9</v>
      </c>
      <c r="DI152" s="22">
        <f t="shared" si="123"/>
        <v>65.167146831236394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5.6843418860808015E-13</v>
      </c>
      <c r="DP152" s="17">
        <f>DO152*VLOOKUP('Données projet'!$B$14,Paramètres!$A$1:$I$89,3,0)*VLOOKUP('Données projet'!$B$14,Paramètres!$A$1:$I$89,5,0)</f>
        <v>3.177547114319168E-13</v>
      </c>
      <c r="DQ152" s="13">
        <f t="shared" si="151"/>
        <v>4.1725404435445377E-12</v>
      </c>
      <c r="DR152" s="20">
        <f t="shared" si="124"/>
        <v>7.820597394917325E-12</v>
      </c>
      <c r="DS152" s="59">
        <f t="shared" si="125"/>
        <v>293.33333333334116</v>
      </c>
      <c r="DT152" s="59">
        <f ca="1">AVERAGE(OFFSET($DS$3,0,0,'Données projet'!$E$14+1,1))-AVERAGE(OFFSET($H$3,0,0,'Données projet'!$E$14+1,1))</f>
        <v>328.15217666639006</v>
      </c>
      <c r="DU152" s="59">
        <f t="shared" si="152"/>
        <v>305.59175773326308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48.26936569849461</v>
      </c>
      <c r="EB152" s="21">
        <f>EXP(-LN(2)/25)*EB151+(1-EXP(-LN(2)/25))/(LN(2)/25)*Calculateur!DW152*Calculateur!DY152*VLOOKUP('Données projet'!$B$14,Paramètres!$A$1:$I$89,3,0)*0.475*44/12</f>
        <v>8.5874685447736372</v>
      </c>
      <c r="EC152" s="21">
        <f>EXP(-LN(2)/2)*EC151+(1-EXP(-LN(2)/2))/(LN(2)/2)*DW152*DZ152*VLOOKUP('Données projet'!$B$14,Paramètres!$A$1:$I$89,3,0)*0.475*44/12</f>
        <v>9.7116696025681013E-11</v>
      </c>
      <c r="ED152" s="22">
        <f t="shared" si="126"/>
        <v>56.856834243365363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159.78276497127206</v>
      </c>
      <c r="EP152" s="59">
        <f t="shared" si="154"/>
        <v>190.72163407919857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1.1491116312301846</v>
      </c>
      <c r="EW152" s="21">
        <f>EXP(-LN(2)/25)*EW151+(1-EXP(-LN(2)/25))/(LN(2)/25)*Calculateur!ER152*Calculateur!ET152*VLOOKUP('Données projet'!$B$15,Paramètres!$A$1:$I$89,3,0)*0.475*44/12</f>
        <v>2.8762362522647091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4.0253478834948933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6.2527760746888816E-13</v>
      </c>
      <c r="FF152" s="17">
        <f>FE152*VLOOKUP('Données projet'!$B$16,Paramètres!$A$1:$I$89,3,0)*VLOOKUP('Données projet'!$B$16,Paramètres!$A$1:$I$89,5,0)</f>
        <v>5.3648818720830608E-13</v>
      </c>
      <c r="FG152" s="13">
        <f t="shared" si="155"/>
        <v>6.6281362235424649E-12</v>
      </c>
      <c r="FH152" s="20">
        <f t="shared" si="130"/>
        <v>1.2478387515390925E-11</v>
      </c>
      <c r="FI152" s="59">
        <f t="shared" si="131"/>
        <v>293.33333333334582</v>
      </c>
      <c r="FJ152" s="59">
        <f ca="1">AVERAGE(OFFSET($FI$3,0,0,'Données projet'!$E$16+1,1))-AVERAGE(OFFSET($H$3,0,0,'Données projet'!$E$16+1,1))</f>
        <v>337.15023592377008</v>
      </c>
      <c r="FK152" s="59">
        <f t="shared" si="156"/>
        <v>286.60608582587099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101.23523820950297</v>
      </c>
      <c r="FR152" s="21">
        <f>EXP(-LN(2)/25)*FR151+(1-EXP(-LN(2)/25))/(LN(2)/25)*Calculateur!FM152*Calculateur!FO152*VLOOKUP('Données projet'!$B$16,Paramètres!$A$1:$I$89,3,0)*0.475*44/12</f>
        <v>23.620605960535471</v>
      </c>
      <c r="FS152" s="21">
        <f>EXP(-LN(2)/2)*FS151+(1-EXP(-LN(2)/2))/(LN(2)/2)*FM152*FP152*VLOOKUP('Données projet'!$B$16,Paramètres!$A$1:$I$89,3,0)*0.475*44/12</f>
        <v>0.85963642514291538</v>
      </c>
      <c r="FT152" s="22">
        <f t="shared" si="132"/>
        <v>125.71548059518135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9.3350000000000026</v>
      </c>
      <c r="FZ152" s="12">
        <f>IF('Données projet'!$A$244&gt;35,FZ151+FY152-GH151,IF(A152&lt;'Données projet'!$A$244,$FW$205^A152,IF(A152='Données projet'!$A$244,'Données projet'!$B$244,FZ151+FY152-GH151)))</f>
        <v>499.81500000000085</v>
      </c>
      <c r="GA152" s="17">
        <f>FZ152*VLOOKUP('Données projet'!$B$17,Paramètres!$A$1:$I$89,3,0)*VLOOKUP('Données projet'!$B$17,Paramètres!$A$1:$I$89,5,0)</f>
        <v>452.2326120000007</v>
      </c>
      <c r="GB152" s="13">
        <f t="shared" si="157"/>
        <v>102.28920891735658</v>
      </c>
      <c r="GC152" s="20">
        <f t="shared" si="133"/>
        <v>965.79217143106382</v>
      </c>
      <c r="GD152" s="59">
        <f t="shared" si="134"/>
        <v>1259.1255047643972</v>
      </c>
      <c r="GE152" s="59">
        <f ca="1">AVERAGE(OFFSET($GD$3,0,0,'Données projet'!$E$17+1,1))-AVERAGE(OFFSET($H$3,0,0,'Données projet'!$E$17+1,1))</f>
        <v>486.55344536255876</v>
      </c>
      <c r="GF152" s="59">
        <f t="shared" si="158"/>
        <v>231.14794884432229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45.283471559396929</v>
      </c>
      <c r="GM152" s="21">
        <f>EXP(-LN(2)/25)*GM151+(1-EXP(-LN(2)/25))/(LN(2)/25)*Calculateur!GH152*Calculateur!GJ152*VLOOKUP('Données projet'!$B$17,Paramètres!$A$1:$I$89,3,0)*0.475*44/12</f>
        <v>20.291175950824456</v>
      </c>
      <c r="GN152" s="21">
        <f>EXP(-LN(2)/2)*GN151+(1-EXP(-LN(2)/2))/(LN(2)/2)*GH152*GK152*VLOOKUP('Données projet'!$B$17,Paramètres!$A$1:$I$89,3,0)*0.475*44/12</f>
        <v>8.8146321320040153E-4</v>
      </c>
      <c r="GO152" s="21">
        <f t="shared" si="135"/>
        <v>65.575528973434587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499.29175770533203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252.08270526008477</v>
      </c>
      <c r="T153" s="59">
        <f t="shared" si="142"/>
        <v>239.77811108960179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64.141155343687061</v>
      </c>
      <c r="AA153" s="21">
        <f>EXP(-LN(2)/25)*AA152+(1-EXP(-LN(2)/25))/(LN(2)/25)*Calculateur!V153*Calculateur!X153*VLOOKUP('Données projet'!$B$9,Paramètres!$A$1:$I$89,3,0)*0.475*44/12</f>
        <v>13.658749122215452</v>
      </c>
      <c r="AB153" s="21">
        <f>EXP(-LN(2)/2)*AB152+(1-EXP(-LN(2)/2))/(LN(2)/2)*V153*Y153*VLOOKUP('Données projet'!$B$9,Paramètres!$A$1:$I$89,3,0)*0.475*44/12</f>
        <v>1.6297990916464778E-6</v>
      </c>
      <c r="AC153" s="22">
        <f t="shared" si="111"/>
        <v>77.799906095701601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251.64326096359997</v>
      </c>
      <c r="AO153" s="59">
        <f t="shared" si="144"/>
        <v>256.72142151189894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23.362995055673842</v>
      </c>
      <c r="AV153" s="21">
        <f>EXP(-LN(2)/25)*AV152+(1-EXP(-LN(2)/25))/(LN(2)/25)*Calculateur!AQ153*Calculateur!AS153*VLOOKUP('Données projet'!$B$10,Paramètres!$A$1:$I$89,3,0)*0.475*44/12</f>
        <v>3.9948528994586212</v>
      </c>
      <c r="AW153" s="21">
        <f>EXP(-LN(2)/2)*AW152+(1-EXP(-LN(2)/2))/(LN(2)/2)*AQ153*AT153*VLOOKUP('Données projet'!$B$10,Paramètres!$A$1:$I$89,3,0)*0.475*44/12</f>
        <v>1.7042067049531367E-12</v>
      </c>
      <c r="AX153" s="21">
        <f t="shared" si="114"/>
        <v>27.357847955134169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199.29783428981898</v>
      </c>
      <c r="BJ153" s="59">
        <f t="shared" si="146"/>
        <v>237.32002274562547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0.96993872353949961</v>
      </c>
      <c r="BQ153" s="21">
        <f>EXP(-LN(2)/25)*BQ152+(1-EXP(-LN(2)/25))/(LN(2)/25)*Calculateur!BL153*Calculateur!BN153*VLOOKUP('Données projet'!$B$11,Paramètres!$A$1:$I$89,3,0)*0.475*44/12</f>
        <v>2.4086089223175664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3.3785476458570658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2.5579538487363607E-13</v>
      </c>
      <c r="BZ153" s="13">
        <f>BY153*VLOOKUP('Données projet'!$B$12,Paramètres!$A$1:$I$89,3,0)*VLOOKUP('Données projet'!$B$12,Paramètres!$A$1:$I$89,5,0)</f>
        <v>2.1548203221755105E-13</v>
      </c>
      <c r="CA153" s="13">
        <f t="shared" si="147"/>
        <v>2.9604251148637229E-12</v>
      </c>
      <c r="CB153" s="20">
        <f t="shared" si="118"/>
        <v>5.5313716144998842E-12</v>
      </c>
      <c r="CC153" s="59">
        <f t="shared" si="119"/>
        <v>293.33333333333883</v>
      </c>
      <c r="CD153" s="59">
        <f ca="1">AVERAGE(OFFSET($CC$3,0,0,'Données projet'!$E$12+1,1))-AVERAGE(OFFSET($H$3,0,0,'Données projet'!$E$12+1,1))</f>
        <v>295.59075210589327</v>
      </c>
      <c r="CE153" s="59">
        <f t="shared" si="148"/>
        <v>210.41181542059576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70.778068641303349</v>
      </c>
      <c r="CL153" s="21">
        <f>EXP(-LN(2)/25)*CL152+(1-EXP(-LN(2)/25))/(LN(2)/25)*Calculateur!CG153*Calculateur!CI153*VLOOKUP('Données projet'!$B$12,Paramètres!$A$1:$I$89,3,0)*0.475*44/12</f>
        <v>12.588304612179762</v>
      </c>
      <c r="CM153" s="21">
        <f>EXP(-LN(2)/2)*CM152+(1-EXP(-LN(2)/2))/(LN(2)/2)*CG153*CJ153*VLOOKUP('Données projet'!$B$12,Paramètres!$A$1:$I$89,3,0)*0.475*44/12</f>
        <v>6.1910536403010606E-3</v>
      </c>
      <c r="CN153" s="22">
        <f t="shared" si="120"/>
        <v>83.372564307123426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5.1727511163335289E-14</v>
      </c>
      <c r="CV153" s="13">
        <f t="shared" si="149"/>
        <v>8.3906664221915895E-13</v>
      </c>
      <c r="CW153" s="20">
        <f t="shared" si="121"/>
        <v>1.551466483807844E-12</v>
      </c>
      <c r="CX153" s="59">
        <f t="shared" si="122"/>
        <v>293.33333333333485</v>
      </c>
      <c r="CY153" s="59">
        <f ca="1">AVERAGE(OFFSET($CX$3,0,0,'Données projet'!$E$13+1,1))-AVERAGE(OFFSET($H$3,0,0,'Données projet'!$E$13+1,1))</f>
        <v>338.22448697444298</v>
      </c>
      <c r="CZ153" s="59">
        <f t="shared" si="150"/>
        <v>293.3872365640849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53.17777237130344</v>
      </c>
      <c r="DG153" s="21">
        <f>EXP(-LN(2)/25)*DG152+(1-EXP(-LN(2)/25))/(LN(2)/25)*Calculateur!DB153*Calculateur!DD153*VLOOKUP('Données projet'!$B$13,Paramètres!$A$1:$I$89,3,0)*0.475*44/12</f>
        <v>10.626968668710708</v>
      </c>
      <c r="DH153" s="21">
        <f>EXP(-LN(2)/2)*DH152+(1-EXP(-LN(2)/2))/(LN(2)/2)*DB153*DE153*VLOOKUP('Données projet'!$B$13,Paramètres!$A$1:$I$89,3,0)*0.475*44/12</f>
        <v>2.3549588606790328E-9</v>
      </c>
      <c r="DI153" s="22">
        <f t="shared" si="123"/>
        <v>63.804741042369109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5.6843418860808015E-13</v>
      </c>
      <c r="DP153" s="17">
        <f>DO153*VLOOKUP('Données projet'!$B$14,Paramètres!$A$1:$I$89,3,0)*VLOOKUP('Données projet'!$B$14,Paramètres!$A$1:$I$89,5,0)</f>
        <v>3.177547114319168E-13</v>
      </c>
      <c r="DQ153" s="13">
        <f t="shared" si="151"/>
        <v>4.1725404435445377E-12</v>
      </c>
      <c r="DR153" s="20">
        <f t="shared" si="124"/>
        <v>7.820597394917325E-12</v>
      </c>
      <c r="DS153" s="59">
        <f t="shared" si="125"/>
        <v>293.33333333334116</v>
      </c>
      <c r="DT153" s="59">
        <f ca="1">AVERAGE(OFFSET($DS$3,0,0,'Données projet'!$E$14+1,1))-AVERAGE(OFFSET($H$3,0,0,'Données projet'!$E$14+1,1))</f>
        <v>328.15217666639006</v>
      </c>
      <c r="DU153" s="59">
        <f t="shared" si="152"/>
        <v>305.59175773326308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47.322832878553108</v>
      </c>
      <c r="EB153" s="21">
        <f>EXP(-LN(2)/25)*EB152+(1-EXP(-LN(2)/25))/(LN(2)/25)*Calculateur!DW153*Calculateur!DY153*VLOOKUP('Données projet'!$B$14,Paramètres!$A$1:$I$89,3,0)*0.475*44/12</f>
        <v>8.3526437658214583</v>
      </c>
      <c r="EC153" s="21">
        <f>EXP(-LN(2)/2)*EC152+(1-EXP(-LN(2)/2))/(LN(2)/2)*DW153*DZ153*VLOOKUP('Données projet'!$B$14,Paramètres!$A$1:$I$89,3,0)*0.475*44/12</f>
        <v>6.8671874326191672E-11</v>
      </c>
      <c r="ED153" s="22">
        <f t="shared" si="126"/>
        <v>55.675476644443243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159.78276497127206</v>
      </c>
      <c r="EP153" s="59">
        <f t="shared" si="154"/>
        <v>190.72163407919857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1.1265782530306487</v>
      </c>
      <c r="EW153" s="21">
        <f>EXP(-LN(2)/25)*EW152+(1-EXP(-LN(2)/25))/(LN(2)/25)*Calculateur!ER153*Calculateur!ET153*VLOOKUP('Données projet'!$B$15,Paramètres!$A$1:$I$89,3,0)*0.475*44/12</f>
        <v>2.7975854206918398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3.9241636737224885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6.2527760746888816E-13</v>
      </c>
      <c r="FF153" s="17">
        <f>FE153*VLOOKUP('Données projet'!$B$16,Paramètres!$A$1:$I$89,3,0)*VLOOKUP('Données projet'!$B$16,Paramètres!$A$1:$I$89,5,0)</f>
        <v>5.3648818720830608E-13</v>
      </c>
      <c r="FG153" s="13">
        <f t="shared" si="155"/>
        <v>6.6281362235424649E-12</v>
      </c>
      <c r="FH153" s="20">
        <f t="shared" si="130"/>
        <v>1.2478387515390925E-11</v>
      </c>
      <c r="FI153" s="59">
        <f t="shared" si="131"/>
        <v>293.33333333334582</v>
      </c>
      <c r="FJ153" s="59">
        <f ca="1">AVERAGE(OFFSET($FI$3,0,0,'Données projet'!$E$16+1,1))-AVERAGE(OFFSET($H$3,0,0,'Données projet'!$E$16+1,1))</f>
        <v>337.15023592377008</v>
      </c>
      <c r="FK153" s="59">
        <f t="shared" si="156"/>
        <v>286.60608582587099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99.250076935612867</v>
      </c>
      <c r="FR153" s="21">
        <f>EXP(-LN(2)/25)*FR152+(1-EXP(-LN(2)/25))/(LN(2)/25)*Calculateur!FM153*Calculateur!FO153*VLOOKUP('Données projet'!$B$16,Paramètres!$A$1:$I$89,3,0)*0.475*44/12</f>
        <v>22.974699248390948</v>
      </c>
      <c r="FS153" s="21">
        <f>EXP(-LN(2)/2)*FS152+(1-EXP(-LN(2)/2))/(LN(2)/2)*FM153*FP153*VLOOKUP('Données projet'!$B$16,Paramètres!$A$1:$I$89,3,0)*0.475*44/12</f>
        <v>0.60785474557351749</v>
      </c>
      <c r="FT153" s="22">
        <f t="shared" si="132"/>
        <v>122.83263092957733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9.3350000000000026</v>
      </c>
      <c r="FZ153" s="12">
        <f>IF('Données projet'!$A$244&gt;35,FZ152+FY153-GH152,IF(A153&lt;'Données projet'!$A$244,$FW$205^A153,IF(A153='Données projet'!$A$244,'Données projet'!$B$244,FZ152+FY153-GH152)))</f>
        <v>509.15000000000083</v>
      </c>
      <c r="GA153" s="17">
        <f>FZ153*VLOOKUP('Données projet'!$B$17,Paramètres!$A$1:$I$89,3,0)*VLOOKUP('Données projet'!$B$17,Paramètres!$A$1:$I$89,5,0)</f>
        <v>460.67892000000074</v>
      </c>
      <c r="GB153" s="13">
        <f t="shared" si="157"/>
        <v>103.97545705513664</v>
      </c>
      <c r="GC153" s="20">
        <f t="shared" si="133"/>
        <v>983.43970670436431</v>
      </c>
      <c r="GD153" s="59">
        <f t="shared" si="134"/>
        <v>1276.7730400376977</v>
      </c>
      <c r="GE153" s="59">
        <f ca="1">AVERAGE(OFFSET($GD$3,0,0,'Données projet'!$E$17+1,1))-AVERAGE(OFFSET($H$3,0,0,'Données projet'!$E$17+1,1))</f>
        <v>486.55344536255876</v>
      </c>
      <c r="GF153" s="59">
        <f t="shared" si="158"/>
        <v>231.14794884432229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44.395490302307536</v>
      </c>
      <c r="GM153" s="21">
        <f>EXP(-LN(2)/25)*GM152+(1-EXP(-LN(2)/25))/(LN(2)/25)*Calculateur!GH153*Calculateur!GJ153*VLOOKUP('Données projet'!$B$17,Paramètres!$A$1:$I$89,3,0)*0.475*44/12</f>
        <v>19.736312677382596</v>
      </c>
      <c r="GN153" s="21">
        <f>EXP(-LN(2)/2)*GN152+(1-EXP(-LN(2)/2))/(LN(2)/2)*GH153*GK153*VLOOKUP('Données projet'!$B$17,Paramètres!$A$1:$I$89,3,0)*0.475*44/12</f>
        <v>6.2328861542048741E-4</v>
      </c>
      <c r="GO153" s="21">
        <f t="shared" si="135"/>
        <v>64.132426268305551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500.86950642664414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252.08270526008477</v>
      </c>
      <c r="T154" s="59">
        <f t="shared" si="142"/>
        <v>239.77811108960179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62.883386409639115</v>
      </c>
      <c r="AA154" s="21">
        <f>EXP(-LN(2)/25)*AA153+(1-EXP(-LN(2)/25))/(LN(2)/25)*Calculateur!V154*Calculateur!X154*VLOOKUP('Données projet'!$B$9,Paramètres!$A$1:$I$89,3,0)*0.475*44/12</f>
        <v>13.285249909186073</v>
      </c>
      <c r="AB154" s="21">
        <f>EXP(-LN(2)/2)*AB153+(1-EXP(-LN(2)/2))/(LN(2)/2)*V154*Y154*VLOOKUP('Données projet'!$B$9,Paramètres!$A$1:$I$89,3,0)*0.475*44/12</f>
        <v>1.1524419896748999E-6</v>
      </c>
      <c r="AC154" s="22">
        <f t="shared" ref="AC154:AC203" si="163">SUM(Z154:AB154)</f>
        <v>76.168637471267189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251.64326096359997</v>
      </c>
      <c r="AO154" s="59">
        <f t="shared" si="144"/>
        <v>256.72142151189894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22.904860972651989</v>
      </c>
      <c r="AV154" s="21">
        <f>EXP(-LN(2)/25)*AV153+(1-EXP(-LN(2)/25))/(LN(2)/25)*Calculateur!AQ154*Calculateur!AS154*VLOOKUP('Données projet'!$B$10,Paramètres!$A$1:$I$89,3,0)*0.475*44/12</f>
        <v>3.8856134368427417</v>
      </c>
      <c r="AW154" s="21">
        <f>EXP(-LN(2)/2)*AW153+(1-EXP(-LN(2)/2))/(LN(2)/2)*AQ154*AT154*VLOOKUP('Données projet'!$B$10,Paramètres!$A$1:$I$89,3,0)*0.475*44/12</f>
        <v>1.2050561176159448E-12</v>
      </c>
      <c r="AX154" s="21">
        <f t="shared" ref="AX154:AX203" si="166">SUM(AU154:AW154)</f>
        <v>26.790474409495936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199.29783428981898</v>
      </c>
      <c r="BJ154" s="59">
        <f t="shared" si="146"/>
        <v>237.32002274562547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0.95091881677509538</v>
      </c>
      <c r="BQ154" s="21">
        <f>EXP(-LN(2)/25)*BQ153+(1-EXP(-LN(2)/25))/(LN(2)/25)*Calculateur!BL154*Calculateur!BN154*VLOOKUP('Données projet'!$B$11,Paramètres!$A$1:$I$89,3,0)*0.475*44/12</f>
        <v>2.3427453846735542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3.2936642014486495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2.5579538487363607E-13</v>
      </c>
      <c r="BZ154" s="13">
        <f>BY154*VLOOKUP('Données projet'!$B$12,Paramètres!$A$1:$I$89,3,0)*VLOOKUP('Données projet'!$B$12,Paramètres!$A$1:$I$89,5,0)</f>
        <v>2.1548203221755105E-13</v>
      </c>
      <c r="CA154" s="13">
        <f t="shared" ref="CA154:CA203" si="170">EXP(-1.0587+0.8836*LN(BZ154)+0.284)</f>
        <v>2.9604251148637229E-12</v>
      </c>
      <c r="CB154" s="20">
        <f t="shared" ref="CB154:CB203" si="171">(BZ154+CA154)*0.475*44/12</f>
        <v>5.5313716144998842E-12</v>
      </c>
      <c r="CC154" s="59">
        <f t="shared" si="119"/>
        <v>293.33333333333883</v>
      </c>
      <c r="CD154" s="59">
        <f ca="1">AVERAGE(OFFSET($CC$3,0,0,'Données projet'!$E$12+1,1))-AVERAGE(OFFSET($H$3,0,0,'Données projet'!$E$12+1,1))</f>
        <v>295.59075210589327</v>
      </c>
      <c r="CE154" s="59">
        <f t="shared" si="148"/>
        <v>210.41181542059576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69.390153885606537</v>
      </c>
      <c r="CL154" s="21">
        <f>EXP(-LN(2)/25)*CL153+(1-EXP(-LN(2)/25))/(LN(2)/25)*Calculateur!CG154*Calculateur!CI154*VLOOKUP('Données projet'!$B$12,Paramètres!$A$1:$I$89,3,0)*0.475*44/12</f>
        <v>12.244076760569538</v>
      </c>
      <c r="CM154" s="21">
        <f>EXP(-LN(2)/2)*CM153+(1-EXP(-LN(2)/2))/(LN(2)/2)*CG154*CJ154*VLOOKUP('Données projet'!$B$12,Paramètres!$A$1:$I$89,3,0)*0.475*44/12</f>
        <v>4.3777360117465405E-3</v>
      </c>
      <c r="CN154" s="22">
        <f t="shared" ref="CN154:CN203" si="172">SUM(CK154:CM154)</f>
        <v>81.638608382187826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5.1727511163335289E-14</v>
      </c>
      <c r="CV154" s="13">
        <f t="shared" ref="CV154:CV203" si="173">EXP(-1.0587+0.8836*LN(CU154)+0.284)</f>
        <v>8.3906664221915895E-13</v>
      </c>
      <c r="CW154" s="20">
        <f t="shared" ref="CW154:CW203" si="174">(CU154+CV154)*0.475*44/12</f>
        <v>1.551466483807844E-12</v>
      </c>
      <c r="CX154" s="59">
        <f t="shared" si="122"/>
        <v>293.33333333333485</v>
      </c>
      <c r="CY154" s="59">
        <f ca="1">AVERAGE(OFFSET($CX$3,0,0,'Données projet'!$E$13+1,1))-AVERAGE(OFFSET($H$3,0,0,'Données projet'!$E$13+1,1))</f>
        <v>338.22448697444298</v>
      </c>
      <c r="CZ154" s="59">
        <f t="shared" si="150"/>
        <v>293.3872365640849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52.134988690340613</v>
      </c>
      <c r="DG154" s="21">
        <f>EXP(-LN(2)/25)*DG153+(1-EXP(-LN(2)/25))/(LN(2)/25)*Calculateur!DB154*Calculateur!DD154*VLOOKUP('Données projet'!$B$13,Paramètres!$A$1:$I$89,3,0)*0.475*44/12</f>
        <v>10.336373651616819</v>
      </c>
      <c r="DH154" s="21">
        <f>EXP(-LN(2)/2)*DH153+(1-EXP(-LN(2)/2))/(LN(2)/2)*DB154*DE154*VLOOKUP('Données projet'!$B$13,Paramètres!$A$1:$I$89,3,0)*0.475*44/12</f>
        <v>1.6652073798014901E-9</v>
      </c>
      <c r="DI154" s="22">
        <f t="shared" ref="DI154:DI203" si="175">SUM(DF154:DH154)</f>
        <v>62.471362343622637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5.6843418860808015E-13</v>
      </c>
      <c r="DP154" s="17">
        <f>DO154*VLOOKUP('Données projet'!$B$14,Paramètres!$A$1:$I$89,3,0)*VLOOKUP('Données projet'!$B$14,Paramètres!$A$1:$I$89,5,0)</f>
        <v>3.177547114319168E-13</v>
      </c>
      <c r="DQ154" s="13">
        <f t="shared" ref="DQ154:DQ203" si="176">EXP(-1.0587+0.8836*LN(DP154)+0.284)</f>
        <v>4.1725404435445377E-12</v>
      </c>
      <c r="DR154" s="20">
        <f t="shared" ref="DR154:DR203" si="177">(DP154+DQ154)*0.475*44/12</f>
        <v>7.820597394917325E-12</v>
      </c>
      <c r="DS154" s="59">
        <f t="shared" si="125"/>
        <v>293.33333333334116</v>
      </c>
      <c r="DT154" s="59">
        <f ca="1">AVERAGE(OFFSET($DS$3,0,0,'Données projet'!$E$14+1,1))-AVERAGE(OFFSET($H$3,0,0,'Données projet'!$E$14+1,1))</f>
        <v>328.15217666639006</v>
      </c>
      <c r="DU154" s="59">
        <f t="shared" si="152"/>
        <v>305.59175773326308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46.394860989882645</v>
      </c>
      <c r="EB154" s="21">
        <f>EXP(-LN(2)/25)*EB153+(1-EXP(-LN(2)/25))/(LN(2)/25)*Calculateur!DW154*Calculateur!DY154*VLOOKUP('Données projet'!$B$14,Paramètres!$A$1:$I$89,3,0)*0.475*44/12</f>
        <v>8.1242402827986258</v>
      </c>
      <c r="EC154" s="21">
        <f>EXP(-LN(2)/2)*EC153+(1-EXP(-LN(2)/2))/(LN(2)/2)*DW154*DZ154*VLOOKUP('Données projet'!$B$14,Paramètres!$A$1:$I$89,3,0)*0.475*44/12</f>
        <v>4.8558348012840507E-11</v>
      </c>
      <c r="ED154" s="22">
        <f t="shared" ref="ED154:ED203" si="178">SUM(EA154:EC154)</f>
        <v>54.519101272729827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159.78276497127206</v>
      </c>
      <c r="EP154" s="59">
        <f t="shared" si="154"/>
        <v>190.72163407919857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1.1044867406336021</v>
      </c>
      <c r="EW154" s="21">
        <f>EXP(-LN(2)/25)*EW153+(1-EXP(-LN(2)/25))/(LN(2)/25)*Calculateur!ER154*Calculateur!ET154*VLOOKUP('Données projet'!$B$15,Paramètres!$A$1:$I$89,3,0)*0.475*44/12</f>
        <v>2.7210853002443982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3.8255720408780003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6.2527760746888816E-13</v>
      </c>
      <c r="FF154" s="17">
        <f>FE154*VLOOKUP('Données projet'!$B$16,Paramètres!$A$1:$I$89,3,0)*VLOOKUP('Données projet'!$B$16,Paramètres!$A$1:$I$89,5,0)</f>
        <v>5.3648818720830608E-13</v>
      </c>
      <c r="FG154" s="13">
        <f t="shared" ref="FG154:FG203" si="182">EXP(-1.0587+0.8836*LN(FF154)+0.284)</f>
        <v>6.6281362235424649E-12</v>
      </c>
      <c r="FH154" s="20">
        <f t="shared" ref="FH154:FH203" si="183">(FF154+FG154)*0.475*44/12</f>
        <v>1.2478387515390925E-11</v>
      </c>
      <c r="FI154" s="59">
        <f t="shared" si="131"/>
        <v>293.33333333334582</v>
      </c>
      <c r="FJ154" s="59">
        <f ca="1">AVERAGE(OFFSET($FI$3,0,0,'Données projet'!$E$16+1,1))-AVERAGE(OFFSET($H$3,0,0,'Données projet'!$E$16+1,1))</f>
        <v>337.15023592377008</v>
      </c>
      <c r="FK154" s="59">
        <f t="shared" si="156"/>
        <v>286.60608582587099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97.303843463474934</v>
      </c>
      <c r="FR154" s="21">
        <f>EXP(-LN(2)/25)*FR153+(1-EXP(-LN(2)/25))/(LN(2)/25)*Calculateur!FM154*Calculateur!FO154*VLOOKUP('Données projet'!$B$16,Paramètres!$A$1:$I$89,3,0)*0.475*44/12</f>
        <v>22.346454889256773</v>
      </c>
      <c r="FS154" s="21">
        <f>EXP(-LN(2)/2)*FS153+(1-EXP(-LN(2)/2))/(LN(2)/2)*FM154*FP154*VLOOKUP('Données projet'!$B$16,Paramètres!$A$1:$I$89,3,0)*0.475*44/12</f>
        <v>0.4298182125714578</v>
      </c>
      <c r="FT154" s="22">
        <f t="shared" ref="FT154:FT203" si="184">SUM(FQ154:FS154)</f>
        <v>120.08011656530317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9.3350000000000026</v>
      </c>
      <c r="FZ154" s="12">
        <f>IF('Données projet'!$A$244&gt;35,FZ153+FY154-GH153,IF(A154&lt;'Données projet'!$A$244,$FW$205^A154,IF(A154='Données projet'!$A$244,'Données projet'!$B$244,FZ153+FY154-GH153)))</f>
        <v>518.48500000000081</v>
      </c>
      <c r="GA154" s="17">
        <f>FZ154*VLOOKUP('Données projet'!$B$17,Paramètres!$A$1:$I$89,3,0)*VLOOKUP('Données projet'!$B$17,Paramètres!$A$1:$I$89,5,0)</f>
        <v>469.12522800000067</v>
      </c>
      <c r="GB154" s="13">
        <f t="shared" ref="GB154:GB203" si="185">EXP(-1.0587+0.8836*LN(GA154)+0.284)</f>
        <v>105.65811013888603</v>
      </c>
      <c r="GC154" s="20">
        <f t="shared" ref="GC154:GC203" si="186">(GA154+GB154)*0.475*44/12</f>
        <v>1001.0809805918944</v>
      </c>
      <c r="GD154" s="59">
        <f t="shared" si="134"/>
        <v>1294.4143139252278</v>
      </c>
      <c r="GE154" s="59">
        <f ca="1">AVERAGE(OFFSET($GD$3,0,0,'Données projet'!$E$17+1,1))-AVERAGE(OFFSET($H$3,0,0,'Données projet'!$E$17+1,1))</f>
        <v>486.55344536255876</v>
      </c>
      <c r="GF154" s="59">
        <f t="shared" si="158"/>
        <v>231.14794884432229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43.524921816054579</v>
      </c>
      <c r="GM154" s="21">
        <f>EXP(-LN(2)/25)*GM153+(1-EXP(-LN(2)/25))/(LN(2)/25)*Calculateur!GH154*Calculateur!GJ154*VLOOKUP('Données projet'!$B$17,Paramètres!$A$1:$I$89,3,0)*0.475*44/12</f>
        <v>19.196622169331992</v>
      </c>
      <c r="GN154" s="21">
        <f>EXP(-LN(2)/2)*GN153+(1-EXP(-LN(2)/2))/(LN(2)/2)*GH154*GK154*VLOOKUP('Données projet'!$B$17,Paramètres!$A$1:$I$89,3,0)*0.475*44/12</f>
        <v>4.4073160660020077E-4</v>
      </c>
      <c r="GO154" s="21">
        <f t="shared" ref="GO154:GO203" si="187">SUM(GL154:GN154)</f>
        <v>62.721984716993177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502.44702339235391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252.08270526008477</v>
      </c>
      <c r="T155" s="59">
        <f t="shared" si="142"/>
        <v>239.77811108960179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61.650281557224552</v>
      </c>
      <c r="AA155" s="21">
        <f>EXP(-LN(2)/25)*AA154+(1-EXP(-LN(2)/25))/(LN(2)/25)*Calculateur!V155*Calculateur!X155*VLOOKUP('Données projet'!$B$9,Paramètres!$A$1:$I$89,3,0)*0.475*44/12</f>
        <v>12.921964051778451</v>
      </c>
      <c r="AB155" s="21">
        <f>EXP(-LN(2)/2)*AB154+(1-EXP(-LN(2)/2))/(LN(2)/2)*V155*Y155*VLOOKUP('Données projet'!$B$9,Paramètres!$A$1:$I$89,3,0)*0.475*44/12</f>
        <v>8.1489954582323891E-7</v>
      </c>
      <c r="AC155" s="22">
        <f t="shared" si="163"/>
        <v>74.572246423902556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251.64326096359997</v>
      </c>
      <c r="AO155" s="59">
        <f t="shared" si="144"/>
        <v>256.72142151189894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22.455710619563995</v>
      </c>
      <c r="AV155" s="21">
        <f>EXP(-LN(2)/25)*AV154+(1-EXP(-LN(2)/25))/(LN(2)/25)*Calculateur!AQ155*Calculateur!AS155*VLOOKUP('Données projet'!$B$10,Paramètres!$A$1:$I$89,3,0)*0.475*44/12</f>
        <v>3.7793611330767471</v>
      </c>
      <c r="AW155" s="21">
        <f>EXP(-LN(2)/2)*AW154+(1-EXP(-LN(2)/2))/(LN(2)/2)*AQ155*AT155*VLOOKUP('Données projet'!$B$10,Paramètres!$A$1:$I$89,3,0)*0.475*44/12</f>
        <v>8.5210335247656834E-13</v>
      </c>
      <c r="AX155" s="21">
        <f t="shared" si="166"/>
        <v>26.235071752641595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199.29783428981898</v>
      </c>
      <c r="BJ155" s="59">
        <f t="shared" si="146"/>
        <v>237.32002274562547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0.93227187878134343</v>
      </c>
      <c r="BQ155" s="21">
        <f>EXP(-LN(2)/25)*BQ154+(1-EXP(-LN(2)/25))/(LN(2)/25)*Calculateur!BL155*Calculateur!BN155*VLOOKUP('Données projet'!$B$11,Paramètres!$A$1:$I$89,3,0)*0.475*44/12</f>
        <v>2.2786828889300303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3.2109547677113737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2.5579538487363607E-13</v>
      </c>
      <c r="BZ155" s="13">
        <f>BY155*VLOOKUP('Données projet'!$B$12,Paramètres!$A$1:$I$89,3,0)*VLOOKUP('Données projet'!$B$12,Paramètres!$A$1:$I$89,5,0)</f>
        <v>2.1548203221755105E-13</v>
      </c>
      <c r="CA155" s="13">
        <f t="shared" si="170"/>
        <v>2.9604251148637229E-12</v>
      </c>
      <c r="CB155" s="20">
        <f t="shared" si="171"/>
        <v>5.5313716144998842E-12</v>
      </c>
      <c r="CC155" s="59">
        <f t="shared" si="119"/>
        <v>293.33333333333883</v>
      </c>
      <c r="CD155" s="59">
        <f ca="1">AVERAGE(OFFSET($CC$3,0,0,'Données projet'!$E$12+1,1))-AVERAGE(OFFSET($H$3,0,0,'Données projet'!$E$12+1,1))</f>
        <v>295.59075210589327</v>
      </c>
      <c r="CE155" s="59">
        <f t="shared" si="148"/>
        <v>210.41181542059576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68.029455291724531</v>
      </c>
      <c r="CL155" s="21">
        <f>EXP(-LN(2)/25)*CL154+(1-EXP(-LN(2)/25))/(LN(2)/25)*Calculateur!CG155*Calculateur!CI155*VLOOKUP('Données projet'!$B$12,Paramètres!$A$1:$I$89,3,0)*0.475*44/12</f>
        <v>11.909261837663751</v>
      </c>
      <c r="CM155" s="21">
        <f>EXP(-LN(2)/2)*CM154+(1-EXP(-LN(2)/2))/(LN(2)/2)*CG155*CJ155*VLOOKUP('Données projet'!$B$12,Paramètres!$A$1:$I$89,3,0)*0.475*44/12</f>
        <v>3.0955268201505303E-3</v>
      </c>
      <c r="CN155" s="22">
        <f t="shared" si="172"/>
        <v>79.941812656208427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5.1727511163335289E-14</v>
      </c>
      <c r="CV155" s="13">
        <f t="shared" si="173"/>
        <v>8.3906664221915895E-13</v>
      </c>
      <c r="CW155" s="20">
        <f t="shared" si="174"/>
        <v>1.551466483807844E-12</v>
      </c>
      <c r="CX155" s="59">
        <f t="shared" si="122"/>
        <v>293.33333333333485</v>
      </c>
      <c r="CY155" s="59">
        <f ca="1">AVERAGE(OFFSET($CX$3,0,0,'Données projet'!$E$13+1,1))-AVERAGE(OFFSET($H$3,0,0,'Données projet'!$E$13+1,1))</f>
        <v>338.22448697444298</v>
      </c>
      <c r="CZ155" s="59">
        <f t="shared" si="150"/>
        <v>293.3872365640849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51.112653361326224</v>
      </c>
      <c r="DG155" s="21">
        <f>EXP(-LN(2)/25)*DG154+(1-EXP(-LN(2)/25))/(LN(2)/25)*Calculateur!DB155*Calculateur!DD155*VLOOKUP('Données projet'!$B$13,Paramètres!$A$1:$I$89,3,0)*0.475*44/12</f>
        <v>10.053724970547091</v>
      </c>
      <c r="DH155" s="21">
        <f>EXP(-LN(2)/2)*DH154+(1-EXP(-LN(2)/2))/(LN(2)/2)*DB155*DE155*VLOOKUP('Données projet'!$B$13,Paramètres!$A$1:$I$89,3,0)*0.475*44/12</f>
        <v>1.1774794303395164E-9</v>
      </c>
      <c r="DI155" s="22">
        <f t="shared" si="175"/>
        <v>61.166378333050794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5.6843418860808015E-13</v>
      </c>
      <c r="DP155" s="17">
        <f>DO155*VLOOKUP('Données projet'!$B$14,Paramètres!$A$1:$I$89,3,0)*VLOOKUP('Données projet'!$B$14,Paramètres!$A$1:$I$89,5,0)</f>
        <v>3.177547114319168E-13</v>
      </c>
      <c r="DQ155" s="13">
        <f t="shared" si="176"/>
        <v>4.1725404435445377E-12</v>
      </c>
      <c r="DR155" s="20">
        <f t="shared" si="177"/>
        <v>7.820597394917325E-12</v>
      </c>
      <c r="DS155" s="59">
        <f t="shared" si="125"/>
        <v>293.33333333334116</v>
      </c>
      <c r="DT155" s="59">
        <f ca="1">AVERAGE(OFFSET($DS$3,0,0,'Données projet'!$E$14+1,1))-AVERAGE(OFFSET($H$3,0,0,'Données projet'!$E$14+1,1))</f>
        <v>328.15217666639006</v>
      </c>
      <c r="DU155" s="59">
        <f t="shared" si="152"/>
        <v>305.59175773326308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45.485086063942049</v>
      </c>
      <c r="EB155" s="21">
        <f>EXP(-LN(2)/25)*EB154+(1-EXP(-LN(2)/25))/(LN(2)/25)*Calculateur!DW155*Calculateur!DY155*VLOOKUP('Données projet'!$B$14,Paramètres!$A$1:$I$89,3,0)*0.475*44/12</f>
        <v>7.9020825050302692</v>
      </c>
      <c r="EC155" s="21">
        <f>EXP(-LN(2)/2)*EC154+(1-EXP(-LN(2)/2))/(LN(2)/2)*DW155*DZ155*VLOOKUP('Données projet'!$B$14,Paramètres!$A$1:$I$89,3,0)*0.475*44/12</f>
        <v>3.4335937163095836E-11</v>
      </c>
      <c r="ED155" s="22">
        <f t="shared" si="178"/>
        <v>53.387168569006654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159.78276497127206</v>
      </c>
      <c r="EP155" s="59">
        <f t="shared" si="154"/>
        <v>190.72163407919857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1.0828284293201695</v>
      </c>
      <c r="EW155" s="21">
        <f>EXP(-LN(2)/25)*EW154+(1-EXP(-LN(2)/25))/(LN(2)/25)*Calculateur!ER155*Calculateur!ET155*VLOOKUP('Données projet'!$B$15,Paramètres!$A$1:$I$89,3,0)*0.475*44/12</f>
        <v>2.6466770796135584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3.7295055089337277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6.2527760746888816E-13</v>
      </c>
      <c r="FF155" s="17">
        <f>FE155*VLOOKUP('Données projet'!$B$16,Paramètres!$A$1:$I$89,3,0)*VLOOKUP('Données projet'!$B$16,Paramètres!$A$1:$I$89,5,0)</f>
        <v>5.3648818720830608E-13</v>
      </c>
      <c r="FG155" s="13">
        <f t="shared" si="182"/>
        <v>6.6281362235424649E-12</v>
      </c>
      <c r="FH155" s="20">
        <f t="shared" si="183"/>
        <v>1.2478387515390925E-11</v>
      </c>
      <c r="FI155" s="59">
        <f t="shared" si="131"/>
        <v>293.33333333334582</v>
      </c>
      <c r="FJ155" s="59">
        <f ca="1">AVERAGE(OFFSET($FI$3,0,0,'Données projet'!$E$16+1,1))-AVERAGE(OFFSET($H$3,0,0,'Données projet'!$E$16+1,1))</f>
        <v>337.15023592377008</v>
      </c>
      <c r="FK155" s="59">
        <f t="shared" si="156"/>
        <v>286.60608582587099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95.39577444264043</v>
      </c>
      <c r="FR155" s="21">
        <f>EXP(-LN(2)/25)*FR154+(1-EXP(-LN(2)/25))/(LN(2)/25)*Calculateur!FM155*Calculateur!FO155*VLOOKUP('Données projet'!$B$16,Paramètres!$A$1:$I$89,3,0)*0.475*44/12</f>
        <v>21.735389905161057</v>
      </c>
      <c r="FS155" s="21">
        <f>EXP(-LN(2)/2)*FS154+(1-EXP(-LN(2)/2))/(LN(2)/2)*FM155*FP155*VLOOKUP('Données projet'!$B$16,Paramètres!$A$1:$I$89,3,0)*0.475*44/12</f>
        <v>0.3039273727867588</v>
      </c>
      <c r="FT155" s="22">
        <f t="shared" si="184"/>
        <v>117.43509172058825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9.3350000000000026</v>
      </c>
      <c r="FZ155" s="12">
        <f>IF('Données projet'!$A$244&gt;35,FZ154+FY155-GH154,IF(A155&lt;'Données projet'!$A$244,$FW$205^A155,IF(A155='Données projet'!$A$244,'Données projet'!$B$244,FZ154+FY155-GH154)))</f>
        <v>527.82000000000085</v>
      </c>
      <c r="GA155" s="17">
        <f>FZ155*VLOOKUP('Données projet'!$B$17,Paramètres!$A$1:$I$89,3,0)*VLOOKUP('Données projet'!$B$17,Paramètres!$A$1:$I$89,5,0)</f>
        <v>477.57153600000072</v>
      </c>
      <c r="GB155" s="13">
        <f t="shared" si="185"/>
        <v>107.3372403617045</v>
      </c>
      <c r="GC155" s="20">
        <f t="shared" si="186"/>
        <v>1018.71611882997</v>
      </c>
      <c r="GD155" s="59">
        <f t="shared" si="134"/>
        <v>1312.0494521633034</v>
      </c>
      <c r="GE155" s="59">
        <f ca="1">AVERAGE(OFFSET($GD$3,0,0,'Données projet'!$E$17+1,1))-AVERAGE(OFFSET($H$3,0,0,'Données projet'!$E$17+1,1))</f>
        <v>486.55344536255876</v>
      </c>
      <c r="GF155" s="59">
        <f t="shared" si="158"/>
        <v>231.14794884432229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42.6714246468227</v>
      </c>
      <c r="GM155" s="21">
        <f>EXP(-LN(2)/25)*GM154+(1-EXP(-LN(2)/25))/(LN(2)/25)*Calculateur!GH155*Calculateur!GJ155*VLOOKUP('Données projet'!$B$17,Paramètres!$A$1:$I$89,3,0)*0.475*44/12</f>
        <v>18.671689526605125</v>
      </c>
      <c r="GN155" s="21">
        <f>EXP(-LN(2)/2)*GN154+(1-EXP(-LN(2)/2))/(LN(2)/2)*GH155*GK155*VLOOKUP('Données projet'!$B$17,Paramètres!$A$1:$I$89,3,0)*0.475*44/12</f>
        <v>3.1164430771024371E-4</v>
      </c>
      <c r="GO155" s="21">
        <f t="shared" si="187"/>
        <v>61.343425817735529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504.02431030401851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252.08270526008477</v>
      </c>
      <c r="T156" s="59">
        <f t="shared" si="142"/>
        <v>239.77811108960179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60.441357138846143</v>
      </c>
      <c r="AA156" s="21">
        <f>EXP(-LN(2)/25)*AA155+(1-EXP(-LN(2)/25))/(LN(2)/25)*Calculateur!V156*Calculateur!X156*VLOOKUP('Données projet'!$B$9,Paramètres!$A$1:$I$89,3,0)*0.475*44/12</f>
        <v>12.568612265246013</v>
      </c>
      <c r="AB156" s="21">
        <f>EXP(-LN(2)/2)*AB155+(1-EXP(-LN(2)/2))/(LN(2)/2)*V156*Y156*VLOOKUP('Données projet'!$B$9,Paramètres!$A$1:$I$89,3,0)*0.475*44/12</f>
        <v>5.7622099483744995E-7</v>
      </c>
      <c r="AC156" s="22">
        <f t="shared" si="163"/>
        <v>73.009969980313159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251.64326096359997</v>
      </c>
      <c r="AO156" s="59">
        <f t="shared" si="144"/>
        <v>256.72142151189894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22.015367830945394</v>
      </c>
      <c r="AV156" s="21">
        <f>EXP(-LN(2)/25)*AV155+(1-EXP(-LN(2)/25))/(LN(2)/25)*Calculateur!AQ156*Calculateur!AS156*VLOOKUP('Données projet'!$B$10,Paramètres!$A$1:$I$89,3,0)*0.475*44/12</f>
        <v>3.6760143041447995</v>
      </c>
      <c r="AW156" s="21">
        <f>EXP(-LN(2)/2)*AW155+(1-EXP(-LN(2)/2))/(LN(2)/2)*AQ156*AT156*VLOOKUP('Données projet'!$B$10,Paramètres!$A$1:$I$89,3,0)*0.475*44/12</f>
        <v>6.0252805880797238E-13</v>
      </c>
      <c r="AX156" s="21">
        <f t="shared" si="166"/>
        <v>25.691382135090798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199.29783428981898</v>
      </c>
      <c r="BJ156" s="59">
        <f t="shared" si="146"/>
        <v>237.32002274562547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0.9139905958681398</v>
      </c>
      <c r="BQ156" s="21">
        <f>EXP(-LN(2)/25)*BQ155+(1-EXP(-LN(2)/25))/(LN(2)/25)*Calculateur!BL156*Calculateur!BN156*VLOOKUP('Données projet'!$B$11,Paramètres!$A$1:$I$89,3,0)*0.475*44/12</f>
        <v>2.2163721855015135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3.1303627813696533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2.5579538487363607E-13</v>
      </c>
      <c r="BZ156" s="13">
        <f>BY156*VLOOKUP('Données projet'!$B$12,Paramètres!$A$1:$I$89,3,0)*VLOOKUP('Données projet'!$B$12,Paramètres!$A$1:$I$89,5,0)</f>
        <v>2.1548203221755105E-13</v>
      </c>
      <c r="CA156" s="13">
        <f t="shared" si="170"/>
        <v>2.9604251148637229E-12</v>
      </c>
      <c r="CB156" s="20">
        <f t="shared" si="171"/>
        <v>5.5313716144998842E-12</v>
      </c>
      <c r="CC156" s="59">
        <f t="shared" si="119"/>
        <v>293.33333333333883</v>
      </c>
      <c r="CD156" s="59">
        <f ca="1">AVERAGE(OFFSET($CC$3,0,0,'Données projet'!$E$12+1,1))-AVERAGE(OFFSET($H$3,0,0,'Données projet'!$E$12+1,1))</f>
        <v>295.59075210589327</v>
      </c>
      <c r="CE156" s="59">
        <f t="shared" si="148"/>
        <v>210.41181542059576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66.695439167324366</v>
      </c>
      <c r="CL156" s="21">
        <f>EXP(-LN(2)/25)*CL155+(1-EXP(-LN(2)/25))/(LN(2)/25)*Calculateur!CG156*Calculateur!CI156*VLOOKUP('Données projet'!$B$12,Paramètres!$A$1:$I$89,3,0)*0.475*44/12</f>
        <v>11.583602446431975</v>
      </c>
      <c r="CM156" s="21">
        <f>EXP(-LN(2)/2)*CM155+(1-EXP(-LN(2)/2))/(LN(2)/2)*CG156*CJ156*VLOOKUP('Données projet'!$B$12,Paramètres!$A$1:$I$89,3,0)*0.475*44/12</f>
        <v>2.1888680058732702E-3</v>
      </c>
      <c r="CN156" s="22">
        <f t="shared" si="172"/>
        <v>78.281230481762208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5.1727511163335289E-14</v>
      </c>
      <c r="CV156" s="13">
        <f t="shared" si="173"/>
        <v>8.3906664221915895E-13</v>
      </c>
      <c r="CW156" s="20">
        <f t="shared" si="174"/>
        <v>1.551466483807844E-12</v>
      </c>
      <c r="CX156" s="59">
        <f t="shared" si="122"/>
        <v>293.33333333333485</v>
      </c>
      <c r="CY156" s="59">
        <f ca="1">AVERAGE(OFFSET($CX$3,0,0,'Données projet'!$E$13+1,1))-AVERAGE(OFFSET($H$3,0,0,'Données projet'!$E$13+1,1))</f>
        <v>338.22448697444298</v>
      </c>
      <c r="CZ156" s="59">
        <f t="shared" si="150"/>
        <v>293.3872365640849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50.110365404550826</v>
      </c>
      <c r="DG156" s="21">
        <f>EXP(-LN(2)/25)*DG155+(1-EXP(-LN(2)/25))/(LN(2)/25)*Calculateur!DB156*Calculateur!DD156*VLOOKUP('Données projet'!$B$13,Paramètres!$A$1:$I$89,3,0)*0.475*44/12</f>
        <v>9.7788053325250619</v>
      </c>
      <c r="DH156" s="21">
        <f>EXP(-LN(2)/2)*DH155+(1-EXP(-LN(2)/2))/(LN(2)/2)*DB156*DE156*VLOOKUP('Données projet'!$B$13,Paramètres!$A$1:$I$89,3,0)*0.475*44/12</f>
        <v>8.3260368990074504E-10</v>
      </c>
      <c r="DI156" s="22">
        <f t="shared" si="175"/>
        <v>59.889170737908493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5.6843418860808015E-13</v>
      </c>
      <c r="DP156" s="17">
        <f>DO156*VLOOKUP('Données projet'!$B$14,Paramètres!$A$1:$I$89,3,0)*VLOOKUP('Données projet'!$B$14,Paramètres!$A$1:$I$89,5,0)</f>
        <v>3.177547114319168E-13</v>
      </c>
      <c r="DQ156" s="13">
        <f t="shared" si="176"/>
        <v>4.1725404435445377E-12</v>
      </c>
      <c r="DR156" s="20">
        <f t="shared" si="177"/>
        <v>7.820597394917325E-12</v>
      </c>
      <c r="DS156" s="59">
        <f t="shared" si="125"/>
        <v>293.33333333334116</v>
      </c>
      <c r="DT156" s="59">
        <f ca="1">AVERAGE(OFFSET($DS$3,0,0,'Données projet'!$E$14+1,1))-AVERAGE(OFFSET($H$3,0,0,'Données projet'!$E$14+1,1))</f>
        <v>328.15217666639006</v>
      </c>
      <c r="DU156" s="59">
        <f t="shared" si="152"/>
        <v>305.59175773326308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44.593151269391235</v>
      </c>
      <c r="EB156" s="21">
        <f>EXP(-LN(2)/25)*EB155+(1-EXP(-LN(2)/25))/(LN(2)/25)*Calculateur!DW156*Calculateur!DY156*VLOOKUP('Données projet'!$B$14,Paramètres!$A$1:$I$89,3,0)*0.475*44/12</f>
        <v>7.685999643377758</v>
      </c>
      <c r="EC156" s="21">
        <f>EXP(-LN(2)/2)*EC155+(1-EXP(-LN(2)/2))/(LN(2)/2)*DW156*DZ156*VLOOKUP('Données projet'!$B$14,Paramètres!$A$1:$I$89,3,0)*0.475*44/12</f>
        <v>2.4279174006420253E-11</v>
      </c>
      <c r="ED156" s="22">
        <f t="shared" si="178"/>
        <v>52.27915091279327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159.78276497127206</v>
      </c>
      <c r="EP156" s="59">
        <f t="shared" si="154"/>
        <v>190.72163407919857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1.0615948242813278</v>
      </c>
      <c r="EW156" s="21">
        <f>EXP(-LN(2)/25)*EW155+(1-EXP(-LN(2)/25))/(LN(2)/25)*Calculateur!ER156*Calculateur!ET156*VLOOKUP('Données projet'!$B$15,Paramètres!$A$1:$I$89,3,0)*0.475*44/12</f>
        <v>2.574303555688827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3.635898379970155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6.2527760746888816E-13</v>
      </c>
      <c r="FF156" s="17">
        <f>FE156*VLOOKUP('Données projet'!$B$16,Paramètres!$A$1:$I$89,3,0)*VLOOKUP('Données projet'!$B$16,Paramètres!$A$1:$I$89,5,0)</f>
        <v>5.3648818720830608E-13</v>
      </c>
      <c r="FG156" s="13">
        <f t="shared" si="182"/>
        <v>6.6281362235424649E-12</v>
      </c>
      <c r="FH156" s="20">
        <f t="shared" si="183"/>
        <v>1.2478387515390925E-11</v>
      </c>
      <c r="FI156" s="59">
        <f t="shared" si="131"/>
        <v>293.33333333334582</v>
      </c>
      <c r="FJ156" s="59">
        <f ca="1">AVERAGE(OFFSET($FI$3,0,0,'Données projet'!$E$16+1,1))-AVERAGE(OFFSET($H$3,0,0,'Données projet'!$E$16+1,1))</f>
        <v>337.15023592377008</v>
      </c>
      <c r="FK156" s="59">
        <f t="shared" si="156"/>
        <v>286.60608582587099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93.525121491497302</v>
      </c>
      <c r="FR156" s="21">
        <f>EXP(-LN(2)/25)*FR155+(1-EXP(-LN(2)/25))/(LN(2)/25)*Calculateur!FM156*Calculateur!FO156*VLOOKUP('Données projet'!$B$16,Paramètres!$A$1:$I$89,3,0)*0.475*44/12</f>
        <v>21.141034525189948</v>
      </c>
      <c r="FS156" s="21">
        <f>EXP(-LN(2)/2)*FS155+(1-EXP(-LN(2)/2))/(LN(2)/2)*FM156*FP156*VLOOKUP('Données projet'!$B$16,Paramètres!$A$1:$I$89,3,0)*0.475*44/12</f>
        <v>0.21490910628572893</v>
      </c>
      <c r="FT156" s="22">
        <f t="shared" si="184"/>
        <v>114.88106512297298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9.3350000000000026</v>
      </c>
      <c r="FZ156" s="12">
        <f>IF('Données projet'!$A$244&gt;35,FZ155+FY156-GH155,IF(A156&lt;'Données projet'!$A$244,$FW$205^A156,IF(A156='Données projet'!$A$244,'Données projet'!$B$244,FZ155+FY156-GH155)))</f>
        <v>537.15500000000088</v>
      </c>
      <c r="GA156" s="17">
        <f>FZ156*VLOOKUP('Données projet'!$B$17,Paramètres!$A$1:$I$89,3,0)*VLOOKUP('Données projet'!$B$17,Paramètres!$A$1:$I$89,5,0)</f>
        <v>486.01784400000076</v>
      </c>
      <c r="GB156" s="13">
        <f t="shared" si="185"/>
        <v>109.01291721682281</v>
      </c>
      <c r="GC156" s="20">
        <f t="shared" si="186"/>
        <v>1036.3452424526342</v>
      </c>
      <c r="GD156" s="59">
        <f t="shared" si="134"/>
        <v>1329.6785757859675</v>
      </c>
      <c r="GE156" s="59">
        <f ca="1">AVERAGE(OFFSET($GD$3,0,0,'Données projet'!$E$17+1,1))-AVERAGE(OFFSET($H$3,0,0,'Données projet'!$E$17+1,1))</f>
        <v>486.55344536255876</v>
      </c>
      <c r="GF156" s="59">
        <f t="shared" si="158"/>
        <v>231.14794884432229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41.834664036497585</v>
      </c>
      <c r="GM156" s="21">
        <f>EXP(-LN(2)/25)*GM155+(1-EXP(-LN(2)/25))/(LN(2)/25)*Calculateur!GH156*Calculateur!GJ156*VLOOKUP('Données projet'!$B$17,Paramètres!$A$1:$I$89,3,0)*0.475*44/12</f>
        <v>18.161111194598629</v>
      </c>
      <c r="GN156" s="21">
        <f>EXP(-LN(2)/2)*GN155+(1-EXP(-LN(2)/2))/(LN(2)/2)*GH156*GK156*VLOOKUP('Données projet'!$B$17,Paramètres!$A$1:$I$89,3,0)*0.475*44/12</f>
        <v>2.2036580330010038E-4</v>
      </c>
      <c r="GO156" s="21">
        <f t="shared" si="187"/>
        <v>59.995995596899519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505.60136883966601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252.08270526008477</v>
      </c>
      <c r="T157" s="59">
        <f t="shared" si="142"/>
        <v>239.77811108960179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59.256138990941054</v>
      </c>
      <c r="AA157" s="21">
        <f>EXP(-LN(2)/25)*AA156+(1-EXP(-LN(2)/25))/(LN(2)/25)*Calculateur!V157*Calculateur!X157*VLOOKUP('Données projet'!$B$9,Paramètres!$A$1:$I$89,3,0)*0.475*44/12</f>
        <v>12.224922901898267</v>
      </c>
      <c r="AB157" s="21">
        <f>EXP(-LN(2)/2)*AB156+(1-EXP(-LN(2)/2))/(LN(2)/2)*V157*Y157*VLOOKUP('Données projet'!$B$9,Paramètres!$A$1:$I$89,3,0)*0.475*44/12</f>
        <v>4.0744977291161945E-7</v>
      </c>
      <c r="AC157" s="22">
        <f t="shared" si="163"/>
        <v>71.481062300289096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251.64326096359997</v>
      </c>
      <c r="AO157" s="59">
        <f t="shared" si="144"/>
        <v>256.72142151189894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21.583659895829022</v>
      </c>
      <c r="AV157" s="21">
        <f>EXP(-LN(2)/25)*AV156+(1-EXP(-LN(2)/25))/(LN(2)/25)*Calculateur!AQ157*Calculateur!AS157*VLOOKUP('Données projet'!$B$10,Paramètres!$A$1:$I$89,3,0)*0.475*44/12</f>
        <v>3.5754934996847694</v>
      </c>
      <c r="AW157" s="21">
        <f>EXP(-LN(2)/2)*AW156+(1-EXP(-LN(2)/2))/(LN(2)/2)*AQ157*AT157*VLOOKUP('Données projet'!$B$10,Paramètres!$A$1:$I$89,3,0)*0.475*44/12</f>
        <v>4.2605167623828417E-13</v>
      </c>
      <c r="AX157" s="21">
        <f t="shared" si="166"/>
        <v>25.159153395514217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199.29783428981898</v>
      </c>
      <c r="BJ157" s="59">
        <f t="shared" si="146"/>
        <v>237.32002274562547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0.89606779776238255</v>
      </c>
      <c r="BQ157" s="21">
        <f>EXP(-LN(2)/25)*BQ156+(1-EXP(-LN(2)/25))/(LN(2)/25)*Calculateur!BL157*Calculateur!BN157*VLOOKUP('Données projet'!$B$11,Paramètres!$A$1:$I$89,3,0)*0.475*44/12</f>
        <v>2.1557653715350269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3.0518331692974092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2.5579538487363607E-13</v>
      </c>
      <c r="BZ157" s="13">
        <f>BY157*VLOOKUP('Données projet'!$B$12,Paramètres!$A$1:$I$89,3,0)*VLOOKUP('Données projet'!$B$12,Paramètres!$A$1:$I$89,5,0)</f>
        <v>2.1548203221755105E-13</v>
      </c>
      <c r="CA157" s="13">
        <f t="shared" si="170"/>
        <v>2.9604251148637229E-12</v>
      </c>
      <c r="CB157" s="20">
        <f t="shared" si="171"/>
        <v>5.5313716144998842E-12</v>
      </c>
      <c r="CC157" s="59">
        <f t="shared" si="119"/>
        <v>293.33333333333883</v>
      </c>
      <c r="CD157" s="59">
        <f ca="1">AVERAGE(OFFSET($CC$3,0,0,'Données projet'!$E$12+1,1))-AVERAGE(OFFSET($H$3,0,0,'Données projet'!$E$12+1,1))</f>
        <v>295.59075210589327</v>
      </c>
      <c r="CE157" s="59">
        <f t="shared" si="148"/>
        <v>210.41181542059576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65.387582285454187</v>
      </c>
      <c r="CL157" s="21">
        <f>EXP(-LN(2)/25)*CL156+(1-EXP(-LN(2)/25))/(LN(2)/25)*Calculateur!CG157*Calculateur!CI157*VLOOKUP('Données projet'!$B$12,Paramètres!$A$1:$I$89,3,0)*0.475*44/12</f>
        <v>11.266848228379114</v>
      </c>
      <c r="CM157" s="21">
        <f>EXP(-LN(2)/2)*CM156+(1-EXP(-LN(2)/2))/(LN(2)/2)*CG157*CJ157*VLOOKUP('Données projet'!$B$12,Paramètres!$A$1:$I$89,3,0)*0.475*44/12</f>
        <v>1.5477634100752652E-3</v>
      </c>
      <c r="CN157" s="22">
        <f t="shared" si="172"/>
        <v>76.655978277243378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5.1727511163335289E-14</v>
      </c>
      <c r="CV157" s="13">
        <f t="shared" si="173"/>
        <v>8.3906664221915895E-13</v>
      </c>
      <c r="CW157" s="20">
        <f t="shared" si="174"/>
        <v>1.551466483807844E-12</v>
      </c>
      <c r="CX157" s="59">
        <f t="shared" si="122"/>
        <v>293.33333333333485</v>
      </c>
      <c r="CY157" s="59">
        <f ca="1">AVERAGE(OFFSET($CX$3,0,0,'Données projet'!$E$13+1,1))-AVERAGE(OFFSET($H$3,0,0,'Données projet'!$E$13+1,1))</f>
        <v>338.22448697444298</v>
      </c>
      <c r="CZ157" s="59">
        <f t="shared" si="150"/>
        <v>293.3872365640849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49.127731703272509</v>
      </c>
      <c r="DG157" s="21">
        <f>EXP(-LN(2)/25)*DG156+(1-EXP(-LN(2)/25))/(LN(2)/25)*Calculateur!DB157*Calculateur!DD157*VLOOKUP('Données projet'!$B$13,Paramètres!$A$1:$I$89,3,0)*0.475*44/12</f>
        <v>9.5114033864621419</v>
      </c>
      <c r="DH157" s="21">
        <f>EXP(-LN(2)/2)*DH156+(1-EXP(-LN(2)/2))/(LN(2)/2)*DB157*DE157*VLOOKUP('Données projet'!$B$13,Paramètres!$A$1:$I$89,3,0)*0.475*44/12</f>
        <v>5.8873971516975819E-10</v>
      </c>
      <c r="DI157" s="22">
        <f t="shared" si="175"/>
        <v>58.639135090323393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5.6843418860808015E-13</v>
      </c>
      <c r="DP157" s="17">
        <f>DO157*VLOOKUP('Données projet'!$B$14,Paramètres!$A$1:$I$89,3,0)*VLOOKUP('Données projet'!$B$14,Paramètres!$A$1:$I$89,5,0)</f>
        <v>3.177547114319168E-13</v>
      </c>
      <c r="DQ157" s="13">
        <f t="shared" si="176"/>
        <v>4.1725404435445377E-12</v>
      </c>
      <c r="DR157" s="20">
        <f t="shared" si="177"/>
        <v>7.820597394917325E-12</v>
      </c>
      <c r="DS157" s="59">
        <f t="shared" si="125"/>
        <v>293.33333333334116</v>
      </c>
      <c r="DT157" s="59">
        <f ca="1">AVERAGE(OFFSET($DS$3,0,0,'Données projet'!$E$14+1,1))-AVERAGE(OFFSET($H$3,0,0,'Données projet'!$E$14+1,1))</f>
        <v>328.15217666639006</v>
      </c>
      <c r="DU157" s="59">
        <f t="shared" si="152"/>
        <v>305.59175773326308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43.718706772135057</v>
      </c>
      <c r="EB157" s="21">
        <f>EXP(-LN(2)/25)*EB156+(1-EXP(-LN(2)/25))/(LN(2)/25)*Calculateur!DW157*Calculateur!DY157*VLOOKUP('Données projet'!$B$14,Paramètres!$A$1:$I$89,3,0)*0.475*44/12</f>
        <v>7.4758255789404382</v>
      </c>
      <c r="EC157" s="21">
        <f>EXP(-LN(2)/2)*EC156+(1-EXP(-LN(2)/2))/(LN(2)/2)*DW157*DZ157*VLOOKUP('Données projet'!$B$14,Paramètres!$A$1:$I$89,3,0)*0.475*44/12</f>
        <v>1.7167968581547918E-11</v>
      </c>
      <c r="ED157" s="22">
        <f t="shared" si="178"/>
        <v>51.194532351092661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159.78276497127206</v>
      </c>
      <c r="EP157" s="59">
        <f t="shared" si="154"/>
        <v>190.72163407919857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1.0407775972860775</v>
      </c>
      <c r="EW157" s="21">
        <f>EXP(-LN(2)/25)*EW156+(1-EXP(-LN(2)/25))/(LN(2)/25)*Calculateur!ER157*Calculateur!ET157*VLOOKUP('Données projet'!$B$15,Paramètres!$A$1:$I$89,3,0)*0.475*44/12</f>
        <v>2.5039090895817755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3.5446866868678528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6.2527760746888816E-13</v>
      </c>
      <c r="FF157" s="17">
        <f>FE157*VLOOKUP('Données projet'!$B$16,Paramètres!$A$1:$I$89,3,0)*VLOOKUP('Données projet'!$B$16,Paramètres!$A$1:$I$89,5,0)</f>
        <v>5.3648818720830608E-13</v>
      </c>
      <c r="FG157" s="13">
        <f t="shared" si="182"/>
        <v>6.6281362235424649E-12</v>
      </c>
      <c r="FH157" s="20">
        <f t="shared" si="183"/>
        <v>1.2478387515390925E-11</v>
      </c>
      <c r="FI157" s="59">
        <f t="shared" si="131"/>
        <v>293.33333333334582</v>
      </c>
      <c r="FJ157" s="59">
        <f ca="1">AVERAGE(OFFSET($FI$3,0,0,'Données projet'!$E$16+1,1))-AVERAGE(OFFSET($H$3,0,0,'Données projet'!$E$16+1,1))</f>
        <v>337.15023592377008</v>
      </c>
      <c r="FK157" s="59">
        <f t="shared" si="156"/>
        <v>286.60608582587099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91.69115090374045</v>
      </c>
      <c r="FR157" s="21">
        <f>EXP(-LN(2)/25)*FR156+(1-EXP(-LN(2)/25))/(LN(2)/25)*Calculateur!FM157*Calculateur!FO157*VLOOKUP('Données projet'!$B$16,Paramètres!$A$1:$I$89,3,0)*0.475*44/12</f>
        <v>20.562931824339941</v>
      </c>
      <c r="FS157" s="21">
        <f>EXP(-LN(2)/2)*FS156+(1-EXP(-LN(2)/2))/(LN(2)/2)*FM157*FP157*VLOOKUP('Données projet'!$B$16,Paramètres!$A$1:$I$89,3,0)*0.475*44/12</f>
        <v>0.15196368639337943</v>
      </c>
      <c r="FT157" s="22">
        <f t="shared" si="184"/>
        <v>112.40604641447376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>
        <f>VLOOKUP(A157,'Données projet'!$A$243:$I$263,2,0)</f>
        <v>546.49</v>
      </c>
      <c r="FX157" s="12">
        <f>VLOOKUP(A157,'Données projet'!$A$243:$I$263,9,0)</f>
        <v>9.3350000000000026</v>
      </c>
      <c r="FY157" s="12">
        <f t="array" ref="FY157">INDEX(FX:FX,MIN(IF(ISNUMBER(FX157:FX353),ROW(FX157:FX353),"")))</f>
        <v>9.3350000000000026</v>
      </c>
      <c r="FZ157" s="12">
        <f>IF('Données projet'!$A$244&gt;35,FZ156+FY157-GH156,IF(A157&lt;'Données projet'!$A$244,$FW$205^A157,IF(A157='Données projet'!$A$244,'Données projet'!$B$244,FZ156+FY157-GH156)))</f>
        <v>546.49000000000092</v>
      </c>
      <c r="GA157" s="17">
        <f>FZ157*VLOOKUP('Données projet'!$B$17,Paramètres!$A$1:$I$89,3,0)*VLOOKUP('Données projet'!$B$17,Paramètres!$A$1:$I$89,5,0)</f>
        <v>494.46415200000081</v>
      </c>
      <c r="GB157" s="13">
        <f t="shared" si="185"/>
        <v>110.68520764370523</v>
      </c>
      <c r="GC157" s="20">
        <f t="shared" si="186"/>
        <v>1053.9684680461214</v>
      </c>
      <c r="GD157" s="59">
        <f t="shared" si="134"/>
        <v>1347.3018013794547</v>
      </c>
      <c r="GE157" s="59">
        <f ca="1">AVERAGE(OFFSET($GD$3,0,0,'Données projet'!$E$17+1,1))-AVERAGE(OFFSET($H$3,0,0,'Données projet'!$E$17+1,1))</f>
        <v>486.55344536255876</v>
      </c>
      <c r="GF157" s="59">
        <f t="shared" si="158"/>
        <v>231.14794884432229</v>
      </c>
      <c r="GG157" s="15">
        <f>IF(ISNA(VLOOKUP(A157,'Données projet'!$A$243:$I$263,3,0)),0,VLOOKUP(A157,'Données projet'!$A$243:$I$263,3,0))</f>
        <v>13</v>
      </c>
      <c r="GH157" s="15">
        <f>IF(ISNA(VLOOKUP(A157,'Données projet'!$A$243:$I$263,4,0)),0,VLOOKUP(A157,'Données projet'!$A$243:$I$263,4,0))</f>
        <v>61.050000000000011</v>
      </c>
      <c r="GI157" s="16">
        <f>IF(ISNA(VLOOKUP(A157,'Données projet'!$A$243:$I$263,5,0)),0%,VLOOKUP(A157,'Données projet'!$A$243:$I$263,5,0)*VLOOKUP('Données projet'!$B$17,Paramètres!$A$1:$I$89,7,0))</f>
        <v>0.215</v>
      </c>
      <c r="GJ157" s="16">
        <f>IF(ISNA(VLOOKUP(A157,'Données projet'!$A$243:$I$263,6,0)),0%,VLOOKUP(A157,'Données projet'!$A$243:$I$263,6,0)*VLOOKUP('Données projet'!$B$17,Paramètres!$A$1:$I$89,7,0))</f>
        <v>8.6000000000000007E-2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54.143075455710473</v>
      </c>
      <c r="GM157" s="21">
        <f>EXP(-LN(2)/25)*GM156+(1-EXP(-LN(2)/25))/(LN(2)/25)*Calculateur!GH157*Calculateur!GJ157*VLOOKUP('Données projet'!$B$17,Paramètres!$A$1:$I$89,3,0)*0.475*44/12</f>
        <v>22.895322941669175</v>
      </c>
      <c r="GN157" s="21">
        <f>EXP(-LN(2)/2)*GN156+(1-EXP(-LN(2)/2))/(LN(2)/2)*GH157*GK157*VLOOKUP('Données projet'!$B$17,Paramètres!$A$1:$I$89,3,0)*0.475*44/12</f>
        <v>1.5582215385512185E-4</v>
      </c>
      <c r="GO157" s="21">
        <f t="shared" si="187"/>
        <v>77.038554219533509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507.17820065427208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252.08270526008477</v>
      </c>
      <c r="T158" s="59">
        <f t="shared" si="142"/>
        <v>239.77811108960179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58.094162248004693</v>
      </c>
      <c r="AA158" s="21">
        <f>EXP(-LN(2)/25)*AA157+(1-EXP(-LN(2)/25))/(LN(2)/25)*Calculateur!V158*Calculateur!X158*VLOOKUP('Données projet'!$B$9,Paramètres!$A$1:$I$89,3,0)*0.475*44/12</f>
        <v>11.890631742265104</v>
      </c>
      <c r="AB158" s="21">
        <f>EXP(-LN(2)/2)*AB157+(1-EXP(-LN(2)/2))/(LN(2)/2)*V158*Y158*VLOOKUP('Données projet'!$B$9,Paramètres!$A$1:$I$89,3,0)*0.475*44/12</f>
        <v>2.8811049741872497E-7</v>
      </c>
      <c r="AC158" s="22">
        <f t="shared" si="163"/>
        <v>69.984794278380292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251.64326096359997</v>
      </c>
      <c r="AO158" s="59">
        <f t="shared" si="144"/>
        <v>256.72142151189894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21.160417490004441</v>
      </c>
      <c r="AV158" s="21">
        <f>EXP(-LN(2)/25)*AV157+(1-EXP(-LN(2)/25))/(LN(2)/25)*Calculateur!AQ158*Calculateur!AS158*VLOOKUP('Données projet'!$B$10,Paramètres!$A$1:$I$89,3,0)*0.475*44/12</f>
        <v>3.4777214419088582</v>
      </c>
      <c r="AW158" s="21">
        <f>EXP(-LN(2)/2)*AW157+(1-EXP(-LN(2)/2))/(LN(2)/2)*AQ158*AT158*VLOOKUP('Données projet'!$B$10,Paramètres!$A$1:$I$89,3,0)*0.475*44/12</f>
        <v>3.0126402940398619E-13</v>
      </c>
      <c r="AX158" s="21">
        <f t="shared" si="166"/>
        <v>24.638138931913602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199.29783428981898</v>
      </c>
      <c r="BJ158" s="59">
        <f t="shared" si="146"/>
        <v>237.32002274562547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0.87849645479565175</v>
      </c>
      <c r="BQ158" s="21">
        <f>EXP(-LN(2)/25)*BQ157+(1-EXP(-LN(2)/25))/(LN(2)/25)*Calculateur!BL158*Calculateur!BN158*VLOOKUP('Données projet'!$B$11,Paramètres!$A$1:$I$89,3,0)*0.475*44/12</f>
        <v>2.0968158540836277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2.9753123088792792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2.5579538487363607E-13</v>
      </c>
      <c r="BZ158" s="13">
        <f>BY158*VLOOKUP('Données projet'!$B$12,Paramètres!$A$1:$I$89,3,0)*VLOOKUP('Données projet'!$B$12,Paramètres!$A$1:$I$89,5,0)</f>
        <v>2.1548203221755105E-13</v>
      </c>
      <c r="CA158" s="13">
        <f t="shared" si="170"/>
        <v>2.9604251148637229E-12</v>
      </c>
      <c r="CB158" s="20">
        <f t="shared" si="171"/>
        <v>5.5313716144998842E-12</v>
      </c>
      <c r="CC158" s="59">
        <f t="shared" si="119"/>
        <v>293.33333333333883</v>
      </c>
      <c r="CD158" s="59">
        <f ca="1">AVERAGE(OFFSET($CC$3,0,0,'Données projet'!$E$12+1,1))-AVERAGE(OFFSET($H$3,0,0,'Données projet'!$E$12+1,1))</f>
        <v>295.59075210589327</v>
      </c>
      <c r="CE158" s="59">
        <f t="shared" si="148"/>
        <v>210.41181542059576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64.105371679323554</v>
      </c>
      <c r="CL158" s="21">
        <f>EXP(-LN(2)/25)*CL157+(1-EXP(-LN(2)/25))/(LN(2)/25)*Calculateur!CG158*Calculateur!CI158*VLOOKUP('Données projet'!$B$12,Paramètres!$A$1:$I$89,3,0)*0.475*44/12</f>
        <v>10.95875567107629</v>
      </c>
      <c r="CM158" s="21">
        <f>EXP(-LN(2)/2)*CM157+(1-EXP(-LN(2)/2))/(LN(2)/2)*CG158*CJ158*VLOOKUP('Données projet'!$B$12,Paramètres!$A$1:$I$89,3,0)*0.475*44/12</f>
        <v>1.0944340029366351E-3</v>
      </c>
      <c r="CN158" s="22">
        <f t="shared" si="172"/>
        <v>75.06522178440278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5.1727511163335289E-14</v>
      </c>
      <c r="CV158" s="13">
        <f t="shared" si="173"/>
        <v>8.3906664221915895E-13</v>
      </c>
      <c r="CW158" s="20">
        <f t="shared" si="174"/>
        <v>1.551466483807844E-12</v>
      </c>
      <c r="CX158" s="59">
        <f t="shared" si="122"/>
        <v>293.33333333333485</v>
      </c>
      <c r="CY158" s="59">
        <f ca="1">AVERAGE(OFFSET($CX$3,0,0,'Données projet'!$E$13+1,1))-AVERAGE(OFFSET($H$3,0,0,'Données projet'!$E$13+1,1))</f>
        <v>338.22448697444298</v>
      </c>
      <c r="CZ158" s="59">
        <f t="shared" si="150"/>
        <v>293.3872365640849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48.164366849528882</v>
      </c>
      <c r="DG158" s="21">
        <f>EXP(-LN(2)/25)*DG157+(1-EXP(-LN(2)/25))/(LN(2)/25)*Calculateur!DB158*Calculateur!DD158*VLOOKUP('Données projet'!$B$13,Paramètres!$A$1:$I$89,3,0)*0.475*44/12</f>
        <v>9.251313560676369</v>
      </c>
      <c r="DH158" s="21">
        <f>EXP(-LN(2)/2)*DH157+(1-EXP(-LN(2)/2))/(LN(2)/2)*DB158*DE158*VLOOKUP('Données projet'!$B$13,Paramètres!$A$1:$I$89,3,0)*0.475*44/12</f>
        <v>4.1630184495037252E-10</v>
      </c>
      <c r="DI158" s="22">
        <f t="shared" si="175"/>
        <v>57.415680410621555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5.6843418860808015E-13</v>
      </c>
      <c r="DP158" s="17">
        <f>DO158*VLOOKUP('Données projet'!$B$14,Paramètres!$A$1:$I$89,3,0)*VLOOKUP('Données projet'!$B$14,Paramètres!$A$1:$I$89,5,0)</f>
        <v>3.177547114319168E-13</v>
      </c>
      <c r="DQ158" s="13">
        <f t="shared" si="176"/>
        <v>4.1725404435445377E-12</v>
      </c>
      <c r="DR158" s="20">
        <f t="shared" si="177"/>
        <v>7.820597394917325E-12</v>
      </c>
      <c r="DS158" s="59">
        <f t="shared" si="125"/>
        <v>293.33333333334116</v>
      </c>
      <c r="DT158" s="59">
        <f ca="1">AVERAGE(OFFSET($DS$3,0,0,'Données projet'!$E$14+1,1))-AVERAGE(OFFSET($H$3,0,0,'Données projet'!$E$14+1,1))</f>
        <v>328.15217666639006</v>
      </c>
      <c r="DU158" s="59">
        <f t="shared" si="152"/>
        <v>305.59175773326308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42.861409598111592</v>
      </c>
      <c r="EB158" s="21">
        <f>EXP(-LN(2)/25)*EB157+(1-EXP(-LN(2)/25))/(LN(2)/25)*Calculateur!DW158*Calculateur!DY158*VLOOKUP('Données projet'!$B$14,Paramètres!$A$1:$I$89,3,0)*0.475*44/12</f>
        <v>7.2713987353477307</v>
      </c>
      <c r="EC158" s="21">
        <f>EXP(-LN(2)/2)*EC157+(1-EXP(-LN(2)/2))/(LN(2)/2)*DW158*DZ158*VLOOKUP('Données projet'!$B$14,Paramètres!$A$1:$I$89,3,0)*0.475*44/12</f>
        <v>1.2139587003210127E-11</v>
      </c>
      <c r="ED158" s="22">
        <f t="shared" si="178"/>
        <v>50.132808333471459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159.78276497127206</v>
      </c>
      <c r="EP158" s="59">
        <f t="shared" si="154"/>
        <v>190.72163407919857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1.0203685834149494</v>
      </c>
      <c r="EW158" s="21">
        <f>EXP(-LN(2)/25)*EW157+(1-EXP(-LN(2)/25))/(LN(2)/25)*Calculateur!ER158*Calculateur!ET158*VLOOKUP('Données projet'!$B$15,Paramètres!$A$1:$I$89,3,0)*0.475*44/12</f>
        <v>2.4354395638523054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3.4558081472672546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6.2527760746888816E-13</v>
      </c>
      <c r="FF158" s="17">
        <f>FE158*VLOOKUP('Données projet'!$B$16,Paramètres!$A$1:$I$89,3,0)*VLOOKUP('Données projet'!$B$16,Paramètres!$A$1:$I$89,5,0)</f>
        <v>5.3648818720830608E-13</v>
      </c>
      <c r="FG158" s="13">
        <f t="shared" si="182"/>
        <v>6.6281362235424649E-12</v>
      </c>
      <c r="FH158" s="20">
        <f t="shared" si="183"/>
        <v>1.2478387515390925E-11</v>
      </c>
      <c r="FI158" s="59">
        <f t="shared" si="131"/>
        <v>293.33333333334582</v>
      </c>
      <c r="FJ158" s="59">
        <f ca="1">AVERAGE(OFFSET($FI$3,0,0,'Données projet'!$E$16+1,1))-AVERAGE(OFFSET($H$3,0,0,'Données projet'!$E$16+1,1))</f>
        <v>337.15023592377008</v>
      </c>
      <c r="FK158" s="59">
        <f t="shared" si="156"/>
        <v>286.60608582587099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89.893143360597904</v>
      </c>
      <c r="FR158" s="21">
        <f>EXP(-LN(2)/25)*FR157+(1-EXP(-LN(2)/25))/(LN(2)/25)*Calculateur!FM158*Calculateur!FO158*VLOOKUP('Données projet'!$B$16,Paramètres!$A$1:$I$89,3,0)*0.475*44/12</f>
        <v>20.000637372245777</v>
      </c>
      <c r="FS158" s="21">
        <f>EXP(-LN(2)/2)*FS157+(1-EXP(-LN(2)/2))/(LN(2)/2)*FM158*FP158*VLOOKUP('Données projet'!$B$16,Paramètres!$A$1:$I$89,3,0)*0.475*44/12</f>
        <v>0.10745455314286448</v>
      </c>
      <c r="FT158" s="22">
        <f t="shared" si="184"/>
        <v>110.00123528598654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9.4880000000000049</v>
      </c>
      <c r="FZ158" s="12">
        <f>IF('Données projet'!$A$244&gt;35,FZ157+FY158-GH157,IF(A158&lt;'Données projet'!$A$244,$FW$205^A158,IF(A158='Données projet'!$A$244,'Données projet'!$B$244,FZ157+FY158-GH157)))</f>
        <v>494.92800000000096</v>
      </c>
      <c r="GA158" s="17">
        <f>FZ158*VLOOKUP('Données projet'!$B$17,Paramètres!$A$1:$I$89,3,0)*VLOOKUP('Données projet'!$B$17,Paramètres!$A$1:$I$89,5,0)</f>
        <v>447.81085440000084</v>
      </c>
      <c r="GB158" s="13">
        <f t="shared" si="185"/>
        <v>101.40497625718913</v>
      </c>
      <c r="GC158" s="20">
        <f t="shared" si="186"/>
        <v>956.55090506127237</v>
      </c>
      <c r="GD158" s="59">
        <f t="shared" si="134"/>
        <v>1249.8842383946057</v>
      </c>
      <c r="GE158" s="59">
        <f ca="1">AVERAGE(OFFSET($GD$3,0,0,'Données projet'!$E$17+1,1))-AVERAGE(OFFSET($H$3,0,0,'Données projet'!$E$17+1,1))</f>
        <v>486.55344536255876</v>
      </c>
      <c r="GF158" s="59">
        <f t="shared" si="158"/>
        <v>231.14794884432229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53.081362770039171</v>
      </c>
      <c r="GM158" s="21">
        <f>EXP(-LN(2)/25)*GM157+(1-EXP(-LN(2)/25))/(LN(2)/25)*Calculateur!GH158*Calculateur!GJ158*VLOOKUP('Données projet'!$B$17,Paramètres!$A$1:$I$89,3,0)*0.475*44/12</f>
        <v>22.269249131816526</v>
      </c>
      <c r="GN158" s="21">
        <f>EXP(-LN(2)/2)*GN157+(1-EXP(-LN(2)/2))/(LN(2)/2)*GH158*GK158*VLOOKUP('Données projet'!$B$17,Paramètres!$A$1:$I$89,3,0)*0.475*44/12</f>
        <v>1.1018290165005019E-4</v>
      </c>
      <c r="GO158" s="21">
        <f t="shared" si="187"/>
        <v>75.350722084757351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508.75480738022304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252.08270526008477</v>
      </c>
      <c r="T159" s="59">
        <f t="shared" si="142"/>
        <v>239.77811108960179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56.954971160261479</v>
      </c>
      <c r="AA159" s="21">
        <f>EXP(-LN(2)/25)*AA158+(1-EXP(-LN(2)/25))/(LN(2)/25)*Calculateur!V159*Calculateur!X159*VLOOKUP('Données projet'!$B$9,Paramètres!$A$1:$I$89,3,0)*0.475*44/12</f>
        <v>11.565481791971717</v>
      </c>
      <c r="AB159" s="21">
        <f>EXP(-LN(2)/2)*AB158+(1-EXP(-LN(2)/2))/(LN(2)/2)*V159*Y159*VLOOKUP('Données projet'!$B$9,Paramètres!$A$1:$I$89,3,0)*0.475*44/12</f>
        <v>2.0372488645580973E-7</v>
      </c>
      <c r="AC159" s="22">
        <f t="shared" si="163"/>
        <v>68.52045315595808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251.64326096359997</v>
      </c>
      <c r="AO159" s="59">
        <f t="shared" si="144"/>
        <v>256.72142151189894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20.745474609605704</v>
      </c>
      <c r="AV159" s="21">
        <f>EXP(-LN(2)/25)*AV158+(1-EXP(-LN(2)/25))/(LN(2)/25)*Calculateur!AQ159*Calculateur!AS159*VLOOKUP('Données projet'!$B$10,Paramètres!$A$1:$I$89,3,0)*0.475*44/12</f>
        <v>3.3826229661944383</v>
      </c>
      <c r="AW159" s="21">
        <f>EXP(-LN(2)/2)*AW158+(1-EXP(-LN(2)/2))/(LN(2)/2)*AQ159*AT159*VLOOKUP('Données projet'!$B$10,Paramètres!$A$1:$I$89,3,0)*0.475*44/12</f>
        <v>2.1302583811914209E-13</v>
      </c>
      <c r="AX159" s="21">
        <f t="shared" si="166"/>
        <v>24.128097575800357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199.29783428981898</v>
      </c>
      <c r="BJ159" s="59">
        <f t="shared" si="146"/>
        <v>237.32002274562547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0.86126967514703767</v>
      </c>
      <c r="BQ159" s="21">
        <f>EXP(-LN(2)/25)*BQ158+(1-EXP(-LN(2)/25))/(LN(2)/25)*Calculateur!BL159*Calculateur!BN159*VLOOKUP('Données projet'!$B$11,Paramètres!$A$1:$I$89,3,0)*0.475*44/12</f>
        <v>2.0394783142869573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2.9007479894339951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2.5579538487363607E-13</v>
      </c>
      <c r="BZ159" s="13">
        <f>BY159*VLOOKUP('Données projet'!$B$12,Paramètres!$A$1:$I$89,3,0)*VLOOKUP('Données projet'!$B$12,Paramètres!$A$1:$I$89,5,0)</f>
        <v>2.1548203221755105E-13</v>
      </c>
      <c r="CA159" s="13">
        <f t="shared" si="170"/>
        <v>2.9604251148637229E-12</v>
      </c>
      <c r="CB159" s="20">
        <f t="shared" si="171"/>
        <v>5.5313716144998842E-12</v>
      </c>
      <c r="CC159" s="59">
        <f t="shared" si="119"/>
        <v>293.33333333333883</v>
      </c>
      <c r="CD159" s="59">
        <f ca="1">AVERAGE(OFFSET($CC$3,0,0,'Données projet'!$E$12+1,1))-AVERAGE(OFFSET($H$3,0,0,'Données projet'!$E$12+1,1))</f>
        <v>295.59075210589327</v>
      </c>
      <c r="CE159" s="59">
        <f t="shared" si="148"/>
        <v>210.41181542059576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62.848304441107899</v>
      </c>
      <c r="CL159" s="21">
        <f>EXP(-LN(2)/25)*CL158+(1-EXP(-LN(2)/25))/(LN(2)/25)*Calculateur!CG159*Calculateur!CI159*VLOOKUP('Données projet'!$B$12,Paramètres!$A$1:$I$89,3,0)*0.475*44/12</f>
        <v>10.659087920954795</v>
      </c>
      <c r="CM159" s="21">
        <f>EXP(-LN(2)/2)*CM158+(1-EXP(-LN(2)/2))/(LN(2)/2)*CG159*CJ159*VLOOKUP('Données projet'!$B$12,Paramètres!$A$1:$I$89,3,0)*0.475*44/12</f>
        <v>7.7388170503763258E-4</v>
      </c>
      <c r="CN159" s="22">
        <f t="shared" si="172"/>
        <v>73.508166243767732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5.1727511163335289E-14</v>
      </c>
      <c r="CV159" s="13">
        <f t="shared" si="173"/>
        <v>8.3906664221915895E-13</v>
      </c>
      <c r="CW159" s="20">
        <f t="shared" si="174"/>
        <v>1.551466483807844E-12</v>
      </c>
      <c r="CX159" s="59">
        <f t="shared" si="122"/>
        <v>293.33333333333485</v>
      </c>
      <c r="CY159" s="59">
        <f ca="1">AVERAGE(OFFSET($CX$3,0,0,'Données projet'!$E$13+1,1))-AVERAGE(OFFSET($H$3,0,0,'Données projet'!$E$13+1,1))</f>
        <v>338.22448697444298</v>
      </c>
      <c r="CZ159" s="59">
        <f t="shared" si="150"/>
        <v>293.3872365640849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47.219892992972625</v>
      </c>
      <c r="DG159" s="21">
        <f>EXP(-LN(2)/25)*DG158+(1-EXP(-LN(2)/25))/(LN(2)/25)*Calculateur!DB159*Calculateur!DD159*VLOOKUP('Données projet'!$B$13,Paramètres!$A$1:$I$89,3,0)*0.475*44/12</f>
        <v>8.9983359048542368</v>
      </c>
      <c r="DH159" s="21">
        <f>EXP(-LN(2)/2)*DH158+(1-EXP(-LN(2)/2))/(LN(2)/2)*DB159*DE159*VLOOKUP('Données projet'!$B$13,Paramètres!$A$1:$I$89,3,0)*0.475*44/12</f>
        <v>2.943698575848791E-10</v>
      </c>
      <c r="DI159" s="22">
        <f t="shared" si="175"/>
        <v>56.218228898121232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5.6843418860808015E-13</v>
      </c>
      <c r="DP159" s="17">
        <f>DO159*VLOOKUP('Données projet'!$B$14,Paramètres!$A$1:$I$89,3,0)*VLOOKUP('Données projet'!$B$14,Paramètres!$A$1:$I$89,5,0)</f>
        <v>3.177547114319168E-13</v>
      </c>
      <c r="DQ159" s="13">
        <f t="shared" si="176"/>
        <v>4.1725404435445377E-12</v>
      </c>
      <c r="DR159" s="20">
        <f t="shared" si="177"/>
        <v>7.820597394917325E-12</v>
      </c>
      <c r="DS159" s="59">
        <f t="shared" si="125"/>
        <v>293.33333333334116</v>
      </c>
      <c r="DT159" s="59">
        <f ca="1">AVERAGE(OFFSET($DS$3,0,0,'Données projet'!$E$14+1,1))-AVERAGE(OFFSET($H$3,0,0,'Données projet'!$E$14+1,1))</f>
        <v>328.15217666639006</v>
      </c>
      <c r="DU159" s="59">
        <f t="shared" si="152"/>
        <v>305.59175773326308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42.020923498771083</v>
      </c>
      <c r="EB159" s="21">
        <f>EXP(-LN(2)/25)*EB158+(1-EXP(-LN(2)/25))/(LN(2)/25)*Calculateur!DW159*Calculateur!DY159*VLOOKUP('Données projet'!$B$14,Paramètres!$A$1:$I$89,3,0)*0.475*44/12</f>
        <v>7.0725619545434064</v>
      </c>
      <c r="EC159" s="21">
        <f>EXP(-LN(2)/2)*EC158+(1-EXP(-LN(2)/2))/(LN(2)/2)*DW159*DZ159*VLOOKUP('Données projet'!$B$14,Paramètres!$A$1:$I$89,3,0)*0.475*44/12</f>
        <v>8.583984290773959E-12</v>
      </c>
      <c r="ED159" s="22">
        <f t="shared" si="178"/>
        <v>49.093485453323069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159.78276497127206</v>
      </c>
      <c r="EP159" s="59">
        <f t="shared" si="154"/>
        <v>190.72163407919857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1.0003597778575648</v>
      </c>
      <c r="EW159" s="21">
        <f>EXP(-LN(2)/25)*EW158+(1-EXP(-LN(2)/25))/(LN(2)/25)*Calculateur!ER159*Calculateur!ET159*VLOOKUP('Données projet'!$B$15,Paramètres!$A$1:$I$89,3,0)*0.475*44/12</f>
        <v>2.3688423409045636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3.3692021187621286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6.2527760746888816E-13</v>
      </c>
      <c r="FF159" s="17">
        <f>FE159*VLOOKUP('Données projet'!$B$16,Paramètres!$A$1:$I$89,3,0)*VLOOKUP('Données projet'!$B$16,Paramètres!$A$1:$I$89,5,0)</f>
        <v>5.3648818720830608E-13</v>
      </c>
      <c r="FG159" s="13">
        <f t="shared" si="182"/>
        <v>6.6281362235424649E-12</v>
      </c>
      <c r="FH159" s="20">
        <f t="shared" si="183"/>
        <v>1.2478387515390925E-11</v>
      </c>
      <c r="FI159" s="59">
        <f t="shared" si="131"/>
        <v>293.33333333334582</v>
      </c>
      <c r="FJ159" s="59">
        <f ca="1">AVERAGE(OFFSET($FI$3,0,0,'Données projet'!$E$16+1,1))-AVERAGE(OFFSET($H$3,0,0,'Données projet'!$E$16+1,1))</f>
        <v>337.15023592377008</v>
      </c>
      <c r="FK159" s="59">
        <f t="shared" si="156"/>
        <v>286.60608582587099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88.130393648700078</v>
      </c>
      <c r="FR159" s="21">
        <f>EXP(-LN(2)/25)*FR158+(1-EXP(-LN(2)/25))/(LN(2)/25)*Calculateur!FM159*Calculateur!FO159*VLOOKUP('Données projet'!$B$16,Paramètres!$A$1:$I$89,3,0)*0.475*44/12</f>
        <v>19.453718891513908</v>
      </c>
      <c r="FS159" s="21">
        <f>EXP(-LN(2)/2)*FS158+(1-EXP(-LN(2)/2))/(LN(2)/2)*FM159*FP159*VLOOKUP('Données projet'!$B$16,Paramètres!$A$1:$I$89,3,0)*0.475*44/12</f>
        <v>7.5981843196689727E-2</v>
      </c>
      <c r="FT159" s="22">
        <f t="shared" si="184"/>
        <v>107.66009438341068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9.4880000000000049</v>
      </c>
      <c r="FZ159" s="12">
        <f>IF('Données projet'!$A$244&gt;35,FZ158+FY159-GH158,IF(A159&lt;'Données projet'!$A$244,$FW$205^A159,IF(A159='Données projet'!$A$244,'Données projet'!$B$244,FZ158+FY159-GH158)))</f>
        <v>504.41600000000096</v>
      </c>
      <c r="GA159" s="17">
        <f>FZ159*VLOOKUP('Données projet'!$B$17,Paramètres!$A$1:$I$89,3,0)*VLOOKUP('Données projet'!$B$17,Paramètres!$A$1:$I$89,5,0)</f>
        <v>456.39559680000082</v>
      </c>
      <c r="GB159" s="13">
        <f t="shared" si="185"/>
        <v>103.12077454694855</v>
      </c>
      <c r="GC159" s="20">
        <f t="shared" si="186"/>
        <v>974.49101342927031</v>
      </c>
      <c r="GD159" s="59">
        <f t="shared" si="134"/>
        <v>1267.8243467626037</v>
      </c>
      <c r="GE159" s="59">
        <f ca="1">AVERAGE(OFFSET($GD$3,0,0,'Données projet'!$E$17+1,1))-AVERAGE(OFFSET($H$3,0,0,'Données projet'!$E$17+1,1))</f>
        <v>486.55344536255876</v>
      </c>
      <c r="GF159" s="59">
        <f t="shared" si="158"/>
        <v>231.14794884432229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52.040469622553083</v>
      </c>
      <c r="GM159" s="21">
        <f>EXP(-LN(2)/25)*GM158+(1-EXP(-LN(2)/25))/(LN(2)/25)*Calculateur!GH159*Calculateur!GJ159*VLOOKUP('Données projet'!$B$17,Paramètres!$A$1:$I$89,3,0)*0.475*44/12</f>
        <v>21.660295343218088</v>
      </c>
      <c r="GN159" s="21">
        <f>EXP(-LN(2)/2)*GN158+(1-EXP(-LN(2)/2))/(LN(2)/2)*GH159*GK159*VLOOKUP('Données projet'!$B$17,Paramètres!$A$1:$I$89,3,0)*0.475*44/12</f>
        <v>7.7911076927560926E-5</v>
      </c>
      <c r="GO159" s="21">
        <f t="shared" si="187"/>
        <v>73.7008428768481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510.33119062776711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252.08270526008477</v>
      </c>
      <c r="T160" s="59">
        <f t="shared" si="142"/>
        <v>239.77811108960179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55.838118914910957</v>
      </c>
      <c r="AA160" s="21">
        <f>EXP(-LN(2)/25)*AA159+(1-EXP(-LN(2)/25))/(LN(2)/25)*Calculateur!V160*Calculateur!X160*VLOOKUP('Données projet'!$B$9,Paramètres!$A$1:$I$89,3,0)*0.475*44/12</f>
        <v>11.249223084167996</v>
      </c>
      <c r="AB160" s="21">
        <f>EXP(-LN(2)/2)*AB159+(1-EXP(-LN(2)/2))/(LN(2)/2)*V160*Y160*VLOOKUP('Données projet'!$B$9,Paramètres!$A$1:$I$89,3,0)*0.475*44/12</f>
        <v>1.4405524870936249E-7</v>
      </c>
      <c r="AC160" s="22">
        <f t="shared" si="163"/>
        <v>67.087342143134208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251.64326096359997</v>
      </c>
      <c r="AO160" s="59">
        <f t="shared" si="144"/>
        <v>256.72142151189894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20.338668506001419</v>
      </c>
      <c r="AV160" s="21">
        <f>EXP(-LN(2)/25)*AV159+(1-EXP(-LN(2)/25))/(LN(2)/25)*Calculateur!AQ160*Calculateur!AS160*VLOOKUP('Données projet'!$B$10,Paramètres!$A$1:$I$89,3,0)*0.475*44/12</f>
        <v>3.2901249632994407</v>
      </c>
      <c r="AW160" s="21">
        <f>EXP(-LN(2)/2)*AW159+(1-EXP(-LN(2)/2))/(LN(2)/2)*AQ160*AT160*VLOOKUP('Données projet'!$B$10,Paramètres!$A$1:$I$89,3,0)*0.475*44/12</f>
        <v>1.506320147019931E-13</v>
      </c>
      <c r="AX160" s="21">
        <f t="shared" si="166"/>
        <v>23.628793469301009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199.29783428981898</v>
      </c>
      <c r="BJ160" s="59">
        <f t="shared" si="146"/>
        <v>237.32002274562547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0.8443807021400348</v>
      </c>
      <c r="BQ160" s="21">
        <f>EXP(-LN(2)/25)*BQ159+(1-EXP(-LN(2)/25))/(LN(2)/25)*Calculateur!BL160*Calculateur!BN160*VLOOKUP('Données projet'!$B$11,Paramètres!$A$1:$I$89,3,0)*0.475*44/12</f>
        <v>1.9837086725312771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2.8280893746713121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2.5579538487363607E-13</v>
      </c>
      <c r="BZ160" s="13">
        <f>BY160*VLOOKUP('Données projet'!$B$12,Paramètres!$A$1:$I$89,3,0)*VLOOKUP('Données projet'!$B$12,Paramètres!$A$1:$I$89,5,0)</f>
        <v>2.1548203221755105E-13</v>
      </c>
      <c r="CA160" s="13">
        <f t="shared" si="170"/>
        <v>2.9604251148637229E-12</v>
      </c>
      <c r="CB160" s="20">
        <f t="shared" si="171"/>
        <v>5.5313716144998842E-12</v>
      </c>
      <c r="CC160" s="59">
        <f t="shared" si="119"/>
        <v>293.33333333333883</v>
      </c>
      <c r="CD160" s="59">
        <f ca="1">AVERAGE(OFFSET($CC$3,0,0,'Données projet'!$E$12+1,1))-AVERAGE(OFFSET($H$3,0,0,'Données projet'!$E$12+1,1))</f>
        <v>295.59075210589327</v>
      </c>
      <c r="CE160" s="59">
        <f t="shared" si="148"/>
        <v>210.41181542059576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61.615887524698344</v>
      </c>
      <c r="CL160" s="21">
        <f>EXP(-LN(2)/25)*CL159+(1-EXP(-LN(2)/25))/(LN(2)/25)*Calculateur!CG160*Calculateur!CI160*VLOOKUP('Données projet'!$B$12,Paramètres!$A$1:$I$89,3,0)*0.475*44/12</f>
        <v>10.367614601219215</v>
      </c>
      <c r="CM160" s="21">
        <f>EXP(-LN(2)/2)*CM159+(1-EXP(-LN(2)/2))/(LN(2)/2)*CG160*CJ160*VLOOKUP('Données projet'!$B$12,Paramètres!$A$1:$I$89,3,0)*0.475*44/12</f>
        <v>5.4721700146831756E-4</v>
      </c>
      <c r="CN160" s="22">
        <f t="shared" si="172"/>
        <v>71.984049342919022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5.1727511163335289E-14</v>
      </c>
      <c r="CV160" s="13">
        <f t="shared" si="173"/>
        <v>8.3906664221915895E-13</v>
      </c>
      <c r="CW160" s="20">
        <f t="shared" si="174"/>
        <v>1.551466483807844E-12</v>
      </c>
      <c r="CX160" s="59">
        <f t="shared" si="122"/>
        <v>293.33333333333485</v>
      </c>
      <c r="CY160" s="59">
        <f ca="1">AVERAGE(OFFSET($CX$3,0,0,'Données projet'!$E$13+1,1))-AVERAGE(OFFSET($H$3,0,0,'Données projet'!$E$13+1,1))</f>
        <v>338.22448697444298</v>
      </c>
      <c r="CZ160" s="59">
        <f t="shared" si="150"/>
        <v>293.3872365640849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46.293939692671266</v>
      </c>
      <c r="DG160" s="21">
        <f>EXP(-LN(2)/25)*DG159+(1-EXP(-LN(2)/25))/(LN(2)/25)*Calculateur!DB160*Calculateur!DD160*VLOOKUP('Données projet'!$B$13,Paramètres!$A$1:$I$89,3,0)*0.475*44/12</f>
        <v>8.7522759363340779</v>
      </c>
      <c r="DH160" s="21">
        <f>EXP(-LN(2)/2)*DH159+(1-EXP(-LN(2)/2))/(LN(2)/2)*DB160*DE160*VLOOKUP('Données projet'!$B$13,Paramètres!$A$1:$I$89,3,0)*0.475*44/12</f>
        <v>2.0815092247518626E-10</v>
      </c>
      <c r="DI160" s="22">
        <f t="shared" si="175"/>
        <v>55.046215629213499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5.6843418860808015E-13</v>
      </c>
      <c r="DP160" s="17">
        <f>DO160*VLOOKUP('Données projet'!$B$14,Paramètres!$A$1:$I$89,3,0)*VLOOKUP('Données projet'!$B$14,Paramètres!$A$1:$I$89,5,0)</f>
        <v>3.177547114319168E-13</v>
      </c>
      <c r="DQ160" s="13">
        <f t="shared" si="176"/>
        <v>4.1725404435445377E-12</v>
      </c>
      <c r="DR160" s="20">
        <f t="shared" si="177"/>
        <v>7.820597394917325E-12</v>
      </c>
      <c r="DS160" s="59">
        <f t="shared" si="125"/>
        <v>293.33333333334116</v>
      </c>
      <c r="DT160" s="59">
        <f ca="1">AVERAGE(OFFSET($DS$3,0,0,'Données projet'!$E$14+1,1))-AVERAGE(OFFSET($H$3,0,0,'Données projet'!$E$14+1,1))</f>
        <v>328.15217666639006</v>
      </c>
      <c r="DU160" s="59">
        <f t="shared" si="152"/>
        <v>305.59175773326308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41.196918819192739</v>
      </c>
      <c r="EB160" s="21">
        <f>EXP(-LN(2)/25)*EB159+(1-EXP(-LN(2)/25))/(LN(2)/25)*Calculateur!DW160*Calculateur!DY160*VLOOKUP('Données projet'!$B$14,Paramètres!$A$1:$I$89,3,0)*0.475*44/12</f>
        <v>6.8791623759665486</v>
      </c>
      <c r="EC160" s="21">
        <f>EXP(-LN(2)/2)*EC159+(1-EXP(-LN(2)/2))/(LN(2)/2)*DW160*DZ160*VLOOKUP('Données projet'!$B$14,Paramètres!$A$1:$I$89,3,0)*0.475*44/12</f>
        <v>6.0697935016050633E-12</v>
      </c>
      <c r="ED160" s="22">
        <f t="shared" si="178"/>
        <v>48.076081195165358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159.78276497127206</v>
      </c>
      <c r="EP160" s="59">
        <f t="shared" si="154"/>
        <v>190.72163407919857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0.98074333277299419</v>
      </c>
      <c r="EW160" s="21">
        <f>EXP(-LN(2)/25)*EW159+(1-EXP(-LN(2)/25))/(LN(2)/25)*Calculateur!ER160*Calculateur!ET160*VLOOKUP('Données projet'!$B$15,Paramètres!$A$1:$I$89,3,0)*0.475*44/12</f>
        <v>2.3040662225205235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3.2848095552935179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6.2527760746888816E-13</v>
      </c>
      <c r="FF160" s="17">
        <f>FE160*VLOOKUP('Données projet'!$B$16,Paramètres!$A$1:$I$89,3,0)*VLOOKUP('Données projet'!$B$16,Paramètres!$A$1:$I$89,5,0)</f>
        <v>5.3648818720830608E-13</v>
      </c>
      <c r="FG160" s="13">
        <f t="shared" si="182"/>
        <v>6.6281362235424649E-12</v>
      </c>
      <c r="FH160" s="20">
        <f t="shared" si="183"/>
        <v>1.2478387515390925E-11</v>
      </c>
      <c r="FI160" s="59">
        <f t="shared" si="131"/>
        <v>293.33333333334582</v>
      </c>
      <c r="FJ160" s="59">
        <f ca="1">AVERAGE(OFFSET($FI$3,0,0,'Données projet'!$E$16+1,1))-AVERAGE(OFFSET($H$3,0,0,'Données projet'!$E$16+1,1))</f>
        <v>337.15023592377008</v>
      </c>
      <c r="FK160" s="59">
        <f t="shared" si="156"/>
        <v>286.60608582587099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86.402210383481403</v>
      </c>
      <c r="FR160" s="21">
        <f>EXP(-LN(2)/25)*FR159+(1-EXP(-LN(2)/25))/(LN(2)/25)*Calculateur!FM160*Calculateur!FO160*VLOOKUP('Données projet'!$B$16,Paramètres!$A$1:$I$89,3,0)*0.475*44/12</f>
        <v>18.921755925398845</v>
      </c>
      <c r="FS160" s="21">
        <f>EXP(-LN(2)/2)*FS159+(1-EXP(-LN(2)/2))/(LN(2)/2)*FM160*FP160*VLOOKUP('Données projet'!$B$16,Paramètres!$A$1:$I$89,3,0)*0.475*44/12</f>
        <v>5.3727276571432253E-2</v>
      </c>
      <c r="FT160" s="22">
        <f t="shared" si="184"/>
        <v>105.37769358545168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9.4880000000000049</v>
      </c>
      <c r="FZ160" s="12">
        <f>IF('Données projet'!$A$244&gt;35,FZ159+FY160-GH159,IF(A160&lt;'Données projet'!$A$244,$FW$205^A160,IF(A160='Données projet'!$A$244,'Données projet'!$B$244,FZ159+FY160-GH159)))</f>
        <v>513.90400000000102</v>
      </c>
      <c r="GA160" s="17">
        <f>FZ160*VLOOKUP('Données projet'!$B$17,Paramètres!$A$1:$I$89,3,0)*VLOOKUP('Données projet'!$B$17,Paramètres!$A$1:$I$89,5,0)</f>
        <v>464.98033920000091</v>
      </c>
      <c r="GB160" s="13">
        <f t="shared" si="185"/>
        <v>104.83282002515982</v>
      </c>
      <c r="GC160" s="20">
        <f t="shared" si="186"/>
        <v>992.4245856504881</v>
      </c>
      <c r="GD160" s="59">
        <f t="shared" si="134"/>
        <v>1285.7579189838214</v>
      </c>
      <c r="GE160" s="59">
        <f ca="1">AVERAGE(OFFSET($GD$3,0,0,'Données projet'!$E$17+1,1))-AVERAGE(OFFSET($H$3,0,0,'Données projet'!$E$17+1,1))</f>
        <v>486.55344536255876</v>
      </c>
      <c r="GF160" s="59">
        <f t="shared" si="158"/>
        <v>231.14794884432229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51.019987754807069</v>
      </c>
      <c r="GM160" s="21">
        <f>EXP(-LN(2)/25)*GM159+(1-EXP(-LN(2)/25))/(LN(2)/25)*Calculateur!GH160*Calculateur!GJ160*VLOOKUP('Données projet'!$B$17,Paramètres!$A$1:$I$89,3,0)*0.475*44/12</f>
        <v>21.067993427992363</v>
      </c>
      <c r="GN160" s="21">
        <f>EXP(-LN(2)/2)*GN159+(1-EXP(-LN(2)/2))/(LN(2)/2)*GH160*GK160*VLOOKUP('Données projet'!$B$17,Paramètres!$A$1:$I$89,3,0)*0.475*44/12</f>
        <v>5.5091450825025096E-5</v>
      </c>
      <c r="GO160" s="21">
        <f t="shared" si="187"/>
        <v>72.088036274250257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511.90735198545303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252.08270526008477</v>
      </c>
      <c r="T161" s="59">
        <f t="shared" si="142"/>
        <v>239.77811108960179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54.743167460879157</v>
      </c>
      <c r="AA161" s="21">
        <f>EXP(-LN(2)/25)*AA160+(1-EXP(-LN(2)/25))/(LN(2)/25)*Calculateur!V161*Calculateur!X161*VLOOKUP('Données projet'!$B$9,Paramètres!$A$1:$I$89,3,0)*0.475*44/12</f>
        <v>10.941612487360491</v>
      </c>
      <c r="AB161" s="21">
        <f>EXP(-LN(2)/2)*AB160+(1-EXP(-LN(2)/2))/(LN(2)/2)*V161*Y161*VLOOKUP('Données projet'!$B$9,Paramètres!$A$1:$I$89,3,0)*0.475*44/12</f>
        <v>1.0186244322790486E-7</v>
      </c>
      <c r="AC161" s="22">
        <f t="shared" si="163"/>
        <v>65.684780050102091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251.64326096359997</v>
      </c>
      <c r="AO161" s="59">
        <f t="shared" si="144"/>
        <v>256.72142151189894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19.939839621961593</v>
      </c>
      <c r="AV161" s="21">
        <f>EXP(-LN(2)/25)*AV160+(1-EXP(-LN(2)/25))/(LN(2)/25)*Calculateur!AQ161*Calculateur!AS161*VLOOKUP('Données projet'!$B$10,Paramètres!$A$1:$I$89,3,0)*0.475*44/12</f>
        <v>3.2001563231578656</v>
      </c>
      <c r="AW161" s="21">
        <f>EXP(-LN(2)/2)*AW160+(1-EXP(-LN(2)/2))/(LN(2)/2)*AQ161*AT161*VLOOKUP('Données projet'!$B$10,Paramètres!$A$1:$I$89,3,0)*0.475*44/12</f>
        <v>1.0651291905957104E-13</v>
      </c>
      <c r="AX161" s="21">
        <f t="shared" si="166"/>
        <v>23.139995945119566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199.29783428981898</v>
      </c>
      <c r="BJ161" s="59">
        <f t="shared" si="146"/>
        <v>237.32002274562547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0.82782291159244292</v>
      </c>
      <c r="BQ161" s="21">
        <f>EXP(-LN(2)/25)*BQ160+(1-EXP(-LN(2)/25))/(LN(2)/25)*Calculateur!BL161*Calculateur!BN161*VLOOKUP('Données projet'!$B$11,Paramètres!$A$1:$I$89,3,0)*0.475*44/12</f>
        <v>1.9294640545622042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2.7572869661546471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2.5579538487363607E-13</v>
      </c>
      <c r="BZ161" s="13">
        <f>BY161*VLOOKUP('Données projet'!$B$12,Paramètres!$A$1:$I$89,3,0)*VLOOKUP('Données projet'!$B$12,Paramètres!$A$1:$I$89,5,0)</f>
        <v>2.1548203221755105E-13</v>
      </c>
      <c r="CA161" s="13">
        <f t="shared" si="170"/>
        <v>2.9604251148637229E-12</v>
      </c>
      <c r="CB161" s="20">
        <f t="shared" si="171"/>
        <v>5.5313716144998842E-12</v>
      </c>
      <c r="CC161" s="59">
        <f t="shared" si="119"/>
        <v>293.33333333333883</v>
      </c>
      <c r="CD161" s="59">
        <f ca="1">AVERAGE(OFFSET($CC$3,0,0,'Données projet'!$E$12+1,1))-AVERAGE(OFFSET($H$3,0,0,'Données projet'!$E$12+1,1))</f>
        <v>295.59075210589327</v>
      </c>
      <c r="CE161" s="59">
        <f t="shared" si="148"/>
        <v>210.41181542059576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60.407637552319486</v>
      </c>
      <c r="CL161" s="21">
        <f>EXP(-LN(2)/25)*CL160+(1-EXP(-LN(2)/25))/(LN(2)/25)*Calculateur!CG161*Calculateur!CI161*VLOOKUP('Données projet'!$B$12,Paramètres!$A$1:$I$89,3,0)*0.475*44/12</f>
        <v>10.084111634739719</v>
      </c>
      <c r="CM161" s="21">
        <f>EXP(-LN(2)/2)*CM160+(1-EXP(-LN(2)/2))/(LN(2)/2)*CG161*CJ161*VLOOKUP('Données projet'!$B$12,Paramètres!$A$1:$I$89,3,0)*0.475*44/12</f>
        <v>3.8694085251881629E-4</v>
      </c>
      <c r="CN161" s="22">
        <f t="shared" si="172"/>
        <v>70.492136127911721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5.1727511163335289E-14</v>
      </c>
      <c r="CV161" s="13">
        <f t="shared" si="173"/>
        <v>8.3906664221915895E-13</v>
      </c>
      <c r="CW161" s="20">
        <f t="shared" si="174"/>
        <v>1.551466483807844E-12</v>
      </c>
      <c r="CX161" s="59">
        <f t="shared" si="122"/>
        <v>293.33333333333485</v>
      </c>
      <c r="CY161" s="59">
        <f ca="1">AVERAGE(OFFSET($CX$3,0,0,'Données projet'!$E$13+1,1))-AVERAGE(OFFSET($H$3,0,0,'Données projet'!$E$13+1,1))</f>
        <v>338.22448697444298</v>
      </c>
      <c r="CZ161" s="59">
        <f t="shared" si="150"/>
        <v>293.3872365640849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45.386143771813067</v>
      </c>
      <c r="DG161" s="21">
        <f>EXP(-LN(2)/25)*DG160+(1-EXP(-LN(2)/25))/(LN(2)/25)*Calculateur!DB161*Calculateur!DD161*VLOOKUP('Données projet'!$B$13,Paramètres!$A$1:$I$89,3,0)*0.475*44/12</f>
        <v>8.5129444905928349</v>
      </c>
      <c r="DH161" s="21">
        <f>EXP(-LN(2)/2)*DH160+(1-EXP(-LN(2)/2))/(LN(2)/2)*DB161*DE161*VLOOKUP('Données projet'!$B$13,Paramètres!$A$1:$I$89,3,0)*0.475*44/12</f>
        <v>1.4718492879243955E-10</v>
      </c>
      <c r="DI161" s="22">
        <f t="shared" si="175"/>
        <v>53.899088262553086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5.6843418860808015E-13</v>
      </c>
      <c r="DP161" s="17">
        <f>DO161*VLOOKUP('Données projet'!$B$14,Paramètres!$A$1:$I$89,3,0)*VLOOKUP('Données projet'!$B$14,Paramètres!$A$1:$I$89,5,0)</f>
        <v>3.177547114319168E-13</v>
      </c>
      <c r="DQ161" s="13">
        <f t="shared" si="176"/>
        <v>4.1725404435445377E-12</v>
      </c>
      <c r="DR161" s="20">
        <f t="shared" si="177"/>
        <v>7.820597394917325E-12</v>
      </c>
      <c r="DS161" s="59">
        <f t="shared" si="125"/>
        <v>293.33333333334116</v>
      </c>
      <c r="DT161" s="59">
        <f ca="1">AVERAGE(OFFSET($DS$3,0,0,'Données projet'!$E$14+1,1))-AVERAGE(OFFSET($H$3,0,0,'Données projet'!$E$14+1,1))</f>
        <v>328.15217666639006</v>
      </c>
      <c r="DU161" s="59">
        <f t="shared" si="152"/>
        <v>305.59175773326308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40.389072368787701</v>
      </c>
      <c r="EB161" s="21">
        <f>EXP(-LN(2)/25)*EB160+(1-EXP(-LN(2)/25))/(LN(2)/25)*Calculateur!DW161*Calculateur!DY161*VLOOKUP('Données projet'!$B$14,Paramètres!$A$1:$I$89,3,0)*0.475*44/12</f>
        <v>6.6910513190363163</v>
      </c>
      <c r="EC161" s="21">
        <f>EXP(-LN(2)/2)*EC160+(1-EXP(-LN(2)/2))/(LN(2)/2)*DW161*DZ161*VLOOKUP('Données projet'!$B$14,Paramètres!$A$1:$I$89,3,0)*0.475*44/12</f>
        <v>4.2919921453869795E-12</v>
      </c>
      <c r="ED161" s="22">
        <f t="shared" si="178"/>
        <v>47.080123687828312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159.78276497127206</v>
      </c>
      <c r="EP161" s="59">
        <f t="shared" si="154"/>
        <v>190.72163407919857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0.961511554211682</v>
      </c>
      <c r="EW161" s="21">
        <f>EXP(-LN(2)/25)*EW160+(1-EXP(-LN(2)/25))/(LN(2)/25)*Calculateur!ER161*Calculateur!ET161*VLOOKUP('Données projet'!$B$15,Paramètres!$A$1:$I$89,3,0)*0.475*44/12</f>
        <v>2.241061410500123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3.2025729647118051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6.2527760746888816E-13</v>
      </c>
      <c r="FF161" s="17">
        <f>FE161*VLOOKUP('Données projet'!$B$16,Paramètres!$A$1:$I$89,3,0)*VLOOKUP('Données projet'!$B$16,Paramètres!$A$1:$I$89,5,0)</f>
        <v>5.3648818720830608E-13</v>
      </c>
      <c r="FG161" s="13">
        <f t="shared" si="182"/>
        <v>6.6281362235424649E-12</v>
      </c>
      <c r="FH161" s="20">
        <f t="shared" si="183"/>
        <v>1.2478387515390925E-11</v>
      </c>
      <c r="FI161" s="59">
        <f t="shared" si="131"/>
        <v>293.33333333334582</v>
      </c>
      <c r="FJ161" s="59">
        <f ca="1">AVERAGE(OFFSET($FI$3,0,0,'Données projet'!$E$16+1,1))-AVERAGE(OFFSET($H$3,0,0,'Données projet'!$E$16+1,1))</f>
        <v>337.15023592377008</v>
      </c>
      <c r="FK161" s="59">
        <f t="shared" si="156"/>
        <v>286.60608582587099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84.707915738005966</v>
      </c>
      <c r="FR161" s="21">
        <f>EXP(-LN(2)/25)*FR160+(1-EXP(-LN(2)/25))/(LN(2)/25)*Calculateur!FM161*Calculateur!FO161*VLOOKUP('Données projet'!$B$16,Paramètres!$A$1:$I$89,3,0)*0.475*44/12</f>
        <v>18.404339514566914</v>
      </c>
      <c r="FS161" s="21">
        <f>EXP(-LN(2)/2)*FS160+(1-EXP(-LN(2)/2))/(LN(2)/2)*FM161*FP161*VLOOKUP('Données projet'!$B$16,Paramètres!$A$1:$I$89,3,0)*0.475*44/12</f>
        <v>3.7990921598344871E-2</v>
      </c>
      <c r="FT161" s="22">
        <f t="shared" si="184"/>
        <v>103.15024617417123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9.4880000000000049</v>
      </c>
      <c r="FZ161" s="12">
        <f>IF('Données projet'!$A$244&gt;35,FZ160+FY161-GH160,IF(A161&lt;'Données projet'!$A$244,$FW$205^A161,IF(A161='Données projet'!$A$244,'Données projet'!$B$244,FZ160+FY161-GH160)))</f>
        <v>523.39200000000108</v>
      </c>
      <c r="GA161" s="17">
        <f>FZ161*VLOOKUP('Données projet'!$B$17,Paramètres!$A$1:$I$89,3,0)*VLOOKUP('Données projet'!$B$17,Paramètres!$A$1:$I$89,5,0)</f>
        <v>473.56508160000089</v>
      </c>
      <c r="GB161" s="13">
        <f t="shared" si="185"/>
        <v>106.54118996921356</v>
      </c>
      <c r="GC161" s="20">
        <f t="shared" si="186"/>
        <v>1010.3517563163817</v>
      </c>
      <c r="GD161" s="59">
        <f t="shared" si="134"/>
        <v>1303.6850896497151</v>
      </c>
      <c r="GE161" s="59">
        <f ca="1">AVERAGE(OFFSET($GD$3,0,0,'Données projet'!$E$17+1,1))-AVERAGE(OFFSET($H$3,0,0,'Données projet'!$E$17+1,1))</f>
        <v>486.55344536255876</v>
      </c>
      <c r="GF161" s="59">
        <f t="shared" si="158"/>
        <v>231.14794884432229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50.019516914055075</v>
      </c>
      <c r="GM161" s="21">
        <f>EXP(-LN(2)/25)*GM160+(1-EXP(-LN(2)/25))/(LN(2)/25)*Calculateur!GH161*Calculateur!GJ161*VLOOKUP('Données projet'!$B$17,Paramètres!$A$1:$I$89,3,0)*0.475*44/12</f>
        <v>20.491888039786289</v>
      </c>
      <c r="GN161" s="21">
        <f>EXP(-LN(2)/2)*GN160+(1-EXP(-LN(2)/2))/(LN(2)/2)*GH161*GK161*VLOOKUP('Données projet'!$B$17,Paramètres!$A$1:$I$89,3,0)*0.475*44/12</f>
        <v>3.8955538463780463E-5</v>
      </c>
      <c r="GO161" s="21">
        <f t="shared" si="187"/>
        <v>70.511443909379821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513.48329302055924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252.08270526008477</v>
      </c>
      <c r="T162" s="59">
        <f t="shared" si="142"/>
        <v>239.77811108960179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53.669687337006472</v>
      </c>
      <c r="AA162" s="21">
        <f>EXP(-LN(2)/25)*AA161+(1-EXP(-LN(2)/25))/(LN(2)/25)*Calculateur!V162*Calculateur!X162*VLOOKUP('Données projet'!$B$9,Paramètres!$A$1:$I$89,3,0)*0.475*44/12</f>
        <v>10.642413518499225</v>
      </c>
      <c r="AB162" s="21">
        <f>EXP(-LN(2)/2)*AB161+(1-EXP(-LN(2)/2))/(LN(2)/2)*V162*Y162*VLOOKUP('Données projet'!$B$9,Paramètres!$A$1:$I$89,3,0)*0.475*44/12</f>
        <v>7.2027624354681243E-8</v>
      </c>
      <c r="AC162" s="22">
        <f t="shared" si="163"/>
        <v>64.312100927533308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251.64326096359997</v>
      </c>
      <c r="AO162" s="59">
        <f t="shared" si="144"/>
        <v>256.72142151189894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19.548831529076189</v>
      </c>
      <c r="AV162" s="21">
        <f>EXP(-LN(2)/25)*AV161+(1-EXP(-LN(2)/25))/(LN(2)/25)*Calculateur!AQ162*Calculateur!AS162*VLOOKUP('Données projet'!$B$10,Paramètres!$A$1:$I$89,3,0)*0.475*44/12</f>
        <v>3.1126478802122066</v>
      </c>
      <c r="AW162" s="21">
        <f>EXP(-LN(2)/2)*AW161+(1-EXP(-LN(2)/2))/(LN(2)/2)*AQ162*AT162*VLOOKUP('Données projet'!$B$10,Paramètres!$A$1:$I$89,3,0)*0.475*44/12</f>
        <v>7.5316007350996548E-14</v>
      </c>
      <c r="AX162" s="21">
        <f t="shared" si="166"/>
        <v>22.661479409288471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199.29783428981898</v>
      </c>
      <c r="BJ162" s="59">
        <f t="shared" si="146"/>
        <v>237.32002274562547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0.81158980921823431</v>
      </c>
      <c r="BQ162" s="21">
        <f>EXP(-LN(2)/25)*BQ161+(1-EXP(-LN(2)/25))/(LN(2)/25)*Calculateur!BL162*Calculateur!BN162*VLOOKUP('Données projet'!$B$11,Paramètres!$A$1:$I$89,3,0)*0.475*44/12</f>
        <v>1.8767027585240958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2.6882925677423302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2.5579538487363607E-13</v>
      </c>
      <c r="BZ162" s="13">
        <f>BY162*VLOOKUP('Données projet'!$B$12,Paramètres!$A$1:$I$89,3,0)*VLOOKUP('Données projet'!$B$12,Paramètres!$A$1:$I$89,5,0)</f>
        <v>2.1548203221755105E-13</v>
      </c>
      <c r="CA162" s="13">
        <f t="shared" si="170"/>
        <v>2.9604251148637229E-12</v>
      </c>
      <c r="CB162" s="20">
        <f t="shared" si="171"/>
        <v>5.5313716144998842E-12</v>
      </c>
      <c r="CC162" s="59">
        <f t="shared" si="119"/>
        <v>293.33333333333883</v>
      </c>
      <c r="CD162" s="59">
        <f ca="1">AVERAGE(OFFSET($CC$3,0,0,'Données projet'!$E$12+1,1))-AVERAGE(OFFSET($H$3,0,0,'Données projet'!$E$12+1,1))</f>
        <v>295.59075210589327</v>
      </c>
      <c r="CE162" s="59">
        <f t="shared" si="148"/>
        <v>210.41181542059576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59.223080624939264</v>
      </c>
      <c r="CL162" s="21">
        <f>EXP(-LN(2)/25)*CL161+(1-EXP(-LN(2)/25))/(LN(2)/25)*Calculateur!CG162*Calculateur!CI162*VLOOKUP('Données projet'!$B$12,Paramètres!$A$1:$I$89,3,0)*0.475*44/12</f>
        <v>9.8083610717873775</v>
      </c>
      <c r="CM162" s="21">
        <f>EXP(-LN(2)/2)*CM161+(1-EXP(-LN(2)/2))/(LN(2)/2)*CG162*CJ162*VLOOKUP('Données projet'!$B$12,Paramètres!$A$1:$I$89,3,0)*0.475*44/12</f>
        <v>2.7360850073415878E-4</v>
      </c>
      <c r="CN162" s="22">
        <f t="shared" si="172"/>
        <v>69.03171530522738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5.1727511163335289E-14</v>
      </c>
      <c r="CV162" s="13">
        <f t="shared" si="173"/>
        <v>8.3906664221915895E-13</v>
      </c>
      <c r="CW162" s="20">
        <f t="shared" si="174"/>
        <v>1.551466483807844E-12</v>
      </c>
      <c r="CX162" s="59">
        <f t="shared" si="122"/>
        <v>293.33333333333485</v>
      </c>
      <c r="CY162" s="59">
        <f ca="1">AVERAGE(OFFSET($CX$3,0,0,'Données projet'!$E$13+1,1))-AVERAGE(OFFSET($H$3,0,0,'Données projet'!$E$13+1,1))</f>
        <v>338.22448697444298</v>
      </c>
      <c r="CZ162" s="59">
        <f t="shared" si="150"/>
        <v>293.3872365640849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44.496149175262062</v>
      </c>
      <c r="DG162" s="21">
        <f>EXP(-LN(2)/25)*DG161+(1-EXP(-LN(2)/25))/(LN(2)/25)*Calculateur!DB162*Calculateur!DD162*VLOOKUP('Données projet'!$B$13,Paramètres!$A$1:$I$89,3,0)*0.475*44/12</f>
        <v>8.2801575758212795</v>
      </c>
      <c r="DH162" s="21">
        <f>EXP(-LN(2)/2)*DH161+(1-EXP(-LN(2)/2))/(LN(2)/2)*DB162*DE162*VLOOKUP('Données projet'!$B$13,Paramètres!$A$1:$I$89,3,0)*0.475*44/12</f>
        <v>1.0407546123759313E-10</v>
      </c>
      <c r="DI162" s="22">
        <f t="shared" si="175"/>
        <v>52.776306751187413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5.6843418860808015E-13</v>
      </c>
      <c r="DP162" s="17">
        <f>DO162*VLOOKUP('Données projet'!$B$14,Paramètres!$A$1:$I$89,3,0)*VLOOKUP('Données projet'!$B$14,Paramètres!$A$1:$I$89,5,0)</f>
        <v>3.177547114319168E-13</v>
      </c>
      <c r="DQ162" s="13">
        <f t="shared" si="176"/>
        <v>4.1725404435445377E-12</v>
      </c>
      <c r="DR162" s="20">
        <f t="shared" si="177"/>
        <v>7.820597394917325E-12</v>
      </c>
      <c r="DS162" s="59">
        <f t="shared" si="125"/>
        <v>293.33333333334116</v>
      </c>
      <c r="DT162" s="59">
        <f ca="1">AVERAGE(OFFSET($DS$3,0,0,'Données projet'!$E$14+1,1))-AVERAGE(OFFSET($H$3,0,0,'Données projet'!$E$14+1,1))</f>
        <v>328.15217666639006</v>
      </c>
      <c r="DU162" s="59">
        <f t="shared" si="152"/>
        <v>305.59175773326308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39.597067294537425</v>
      </c>
      <c r="EB162" s="21">
        <f>EXP(-LN(2)/25)*EB161+(1-EXP(-LN(2)/25))/(LN(2)/25)*Calculateur!DW162*Calculateur!DY162*VLOOKUP('Données projet'!$B$14,Paramètres!$A$1:$I$89,3,0)*0.475*44/12</f>
        <v>6.5080841688501723</v>
      </c>
      <c r="EC162" s="21">
        <f>EXP(-LN(2)/2)*EC161+(1-EXP(-LN(2)/2))/(LN(2)/2)*DW162*DZ162*VLOOKUP('Données projet'!$B$14,Paramètres!$A$1:$I$89,3,0)*0.475*44/12</f>
        <v>3.0348967508025317E-12</v>
      </c>
      <c r="ED162" s="22">
        <f t="shared" si="178"/>
        <v>46.105151463390634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159.78276497127206</v>
      </c>
      <c r="EP162" s="59">
        <f t="shared" si="154"/>
        <v>190.72163407919857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0.94265689909773043</v>
      </c>
      <c r="EW162" s="21">
        <f>EXP(-LN(2)/25)*EW161+(1-EXP(-LN(2)/25))/(LN(2)/25)*Calculateur!ER162*Calculateur!ET162*VLOOKUP('Données projet'!$B$15,Paramètres!$A$1:$I$89,3,0)*0.475*44/12</f>
        <v>2.1797794683776996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3.1224363674754301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6.2527760746888816E-13</v>
      </c>
      <c r="FF162" s="17">
        <f>FE162*VLOOKUP('Données projet'!$B$16,Paramètres!$A$1:$I$89,3,0)*VLOOKUP('Données projet'!$B$16,Paramètres!$A$1:$I$89,5,0)</f>
        <v>5.3648818720830608E-13</v>
      </c>
      <c r="FG162" s="13">
        <f t="shared" si="182"/>
        <v>6.6281362235424649E-12</v>
      </c>
      <c r="FH162" s="20">
        <f t="shared" si="183"/>
        <v>1.2478387515390925E-11</v>
      </c>
      <c r="FI162" s="59">
        <f t="shared" si="131"/>
        <v>293.33333333334582</v>
      </c>
      <c r="FJ162" s="59">
        <f ca="1">AVERAGE(OFFSET($FI$3,0,0,'Données projet'!$E$16+1,1))-AVERAGE(OFFSET($H$3,0,0,'Données projet'!$E$16+1,1))</f>
        <v>337.15023592377008</v>
      </c>
      <c r="FK162" s="59">
        <f t="shared" si="156"/>
        <v>286.60608582587099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83.046845177110598</v>
      </c>
      <c r="FR162" s="21">
        <f>EXP(-LN(2)/25)*FR161+(1-EXP(-LN(2)/25))/(LN(2)/25)*Calculateur!FM162*Calculateur!FO162*VLOOKUP('Données projet'!$B$16,Paramètres!$A$1:$I$89,3,0)*0.475*44/12</f>
        <v>17.901071882698929</v>
      </c>
      <c r="FS162" s="21">
        <f>EXP(-LN(2)/2)*FS161+(1-EXP(-LN(2)/2))/(LN(2)/2)*FM162*FP162*VLOOKUP('Données projet'!$B$16,Paramètres!$A$1:$I$89,3,0)*0.475*44/12</f>
        <v>2.686363828571613E-2</v>
      </c>
      <c r="FT162" s="22">
        <f t="shared" si="184"/>
        <v>100.97478069809524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9.4880000000000049</v>
      </c>
      <c r="FZ162" s="12">
        <f>IF('Données projet'!$A$244&gt;35,FZ161+FY162-GH161,IF(A162&lt;'Données projet'!$A$244,$FW$205^A162,IF(A162='Données projet'!$A$244,'Données projet'!$B$244,FZ161+FY162-GH161)))</f>
        <v>532.88000000000113</v>
      </c>
      <c r="GA162" s="17">
        <f>FZ162*VLOOKUP('Données projet'!$B$17,Paramètres!$A$1:$I$89,3,0)*VLOOKUP('Données projet'!$B$17,Paramètres!$A$1:$I$89,5,0)</f>
        <v>482.14982400000099</v>
      </c>
      <c r="GB162" s="13">
        <f t="shared" si="185"/>
        <v>108.24595869432409</v>
      </c>
      <c r="GC162" s="20">
        <f t="shared" si="186"/>
        <v>1028.272654859283</v>
      </c>
      <c r="GD162" s="59">
        <f t="shared" si="134"/>
        <v>1321.6059881926162</v>
      </c>
      <c r="GE162" s="59">
        <f ca="1">AVERAGE(OFFSET($GD$3,0,0,'Données projet'!$E$17+1,1))-AVERAGE(OFFSET($H$3,0,0,'Données projet'!$E$17+1,1))</f>
        <v>486.55344536255876</v>
      </c>
      <c r="GF162" s="59">
        <f t="shared" si="158"/>
        <v>231.14794884432229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49.038664696263268</v>
      </c>
      <c r="GM162" s="21">
        <f>EXP(-LN(2)/25)*GM161+(1-EXP(-LN(2)/25))/(LN(2)/25)*Calculateur!GH162*Calculateur!GJ162*VLOOKUP('Données projet'!$B$17,Paramètres!$A$1:$I$89,3,0)*0.475*44/12</f>
        <v>19.931536283716778</v>
      </c>
      <c r="GN162" s="21">
        <f>EXP(-LN(2)/2)*GN161+(1-EXP(-LN(2)/2))/(LN(2)/2)*GH162*GK162*VLOOKUP('Données projet'!$B$17,Paramètres!$A$1:$I$89,3,0)*0.475*44/12</f>
        <v>2.7545725412512548E-5</v>
      </c>
      <c r="GO162" s="21">
        <f t="shared" si="187"/>
        <v>68.970228525705465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515.05901527950925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252.08270526008477</v>
      </c>
      <c r="T163" s="59">
        <f t="shared" si="142"/>
        <v>239.77811108960179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52.617257503604712</v>
      </c>
      <c r="AA163" s="21">
        <f>EXP(-LN(2)/25)*AA162+(1-EXP(-LN(2)/25))/(LN(2)/25)*Calculateur!V163*Calculateur!X163*VLOOKUP('Données projet'!$B$9,Paramètres!$A$1:$I$89,3,0)*0.475*44/12</f>
        <v>10.351396161175661</v>
      </c>
      <c r="AB163" s="21">
        <f>EXP(-LN(2)/2)*AB162+(1-EXP(-LN(2)/2))/(LN(2)/2)*V163*Y163*VLOOKUP('Données projet'!$B$9,Paramètres!$A$1:$I$89,3,0)*0.475*44/12</f>
        <v>5.0931221613952432E-8</v>
      </c>
      <c r="AC163" s="22">
        <f t="shared" si="163"/>
        <v>62.968653715711596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251.64326096359997</v>
      </c>
      <c r="AO163" s="59">
        <f t="shared" si="144"/>
        <v>256.72142151189894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19.16549086640088</v>
      </c>
      <c r="AV163" s="21">
        <f>EXP(-LN(2)/25)*AV162+(1-EXP(-LN(2)/25))/(LN(2)/25)*Calculateur!AQ163*Calculateur!AS163*VLOOKUP('Données projet'!$B$10,Paramètres!$A$1:$I$89,3,0)*0.475*44/12</f>
        <v>3.027532360240766</v>
      </c>
      <c r="AW163" s="21">
        <f>EXP(-LN(2)/2)*AW162+(1-EXP(-LN(2)/2))/(LN(2)/2)*AQ163*AT163*VLOOKUP('Données projet'!$B$10,Paramètres!$A$1:$I$89,3,0)*0.475*44/12</f>
        <v>5.3256459529785521E-14</v>
      </c>
      <c r="AX163" s="21">
        <f t="shared" si="166"/>
        <v>22.193023226641699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199.29783428981898</v>
      </c>
      <c r="BJ163" s="59">
        <f t="shared" si="146"/>
        <v>237.32002274562547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0.79567502808036916</v>
      </c>
      <c r="BQ163" s="21">
        <f>EXP(-LN(2)/25)*BQ162+(1-EXP(-LN(2)/25))/(LN(2)/25)*Calculateur!BL163*Calculateur!BN163*VLOOKUP('Données projet'!$B$11,Paramètres!$A$1:$I$89,3,0)*0.475*44/12</f>
        <v>1.8253842229007455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2.6210592509811148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2.5579538487363607E-13</v>
      </c>
      <c r="BZ163" s="13">
        <f>BY163*VLOOKUP('Données projet'!$B$12,Paramètres!$A$1:$I$89,3,0)*VLOOKUP('Données projet'!$B$12,Paramètres!$A$1:$I$89,5,0)</f>
        <v>2.1548203221755105E-13</v>
      </c>
      <c r="CA163" s="13">
        <f t="shared" si="170"/>
        <v>2.9604251148637229E-12</v>
      </c>
      <c r="CB163" s="20">
        <f t="shared" si="171"/>
        <v>5.5313716144998842E-12</v>
      </c>
      <c r="CC163" s="59">
        <f t="shared" si="119"/>
        <v>293.33333333333883</v>
      </c>
      <c r="CD163" s="59">
        <f ca="1">AVERAGE(OFFSET($CC$3,0,0,'Données projet'!$E$12+1,1))-AVERAGE(OFFSET($H$3,0,0,'Données projet'!$E$12+1,1))</f>
        <v>295.59075210589327</v>
      </c>
      <c r="CE163" s="59">
        <f t="shared" si="148"/>
        <v>210.41181542059576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58.061752136396585</v>
      </c>
      <c r="CL163" s="21">
        <f>EXP(-LN(2)/25)*CL162+(1-EXP(-LN(2)/25))/(LN(2)/25)*Calculateur!CG163*Calculateur!CI163*VLOOKUP('Données projet'!$B$12,Paramètres!$A$1:$I$89,3,0)*0.475*44/12</f>
        <v>9.5401509224800609</v>
      </c>
      <c r="CM163" s="21">
        <f>EXP(-LN(2)/2)*CM162+(1-EXP(-LN(2)/2))/(LN(2)/2)*CG163*CJ163*VLOOKUP('Données projet'!$B$12,Paramètres!$A$1:$I$89,3,0)*0.475*44/12</f>
        <v>1.9347042625940814E-4</v>
      </c>
      <c r="CN163" s="22">
        <f t="shared" si="172"/>
        <v>67.602096529302898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5.1727511163335289E-14</v>
      </c>
      <c r="CV163" s="13">
        <f t="shared" si="173"/>
        <v>8.3906664221915895E-13</v>
      </c>
      <c r="CW163" s="20">
        <f t="shared" si="174"/>
        <v>1.551466483807844E-12</v>
      </c>
      <c r="CX163" s="59">
        <f t="shared" si="122"/>
        <v>293.33333333333485</v>
      </c>
      <c r="CY163" s="59">
        <f ca="1">AVERAGE(OFFSET($CX$3,0,0,'Données projet'!$E$13+1,1))-AVERAGE(OFFSET($H$3,0,0,'Données projet'!$E$13+1,1))</f>
        <v>338.22448697444298</v>
      </c>
      <c r="CZ163" s="59">
        <f t="shared" si="150"/>
        <v>293.3872365640849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43.623606829906322</v>
      </c>
      <c r="DG163" s="21">
        <f>EXP(-LN(2)/25)*DG162+(1-EXP(-LN(2)/25))/(LN(2)/25)*Calculateur!DB163*Calculateur!DD163*VLOOKUP('Données projet'!$B$13,Paramètres!$A$1:$I$89,3,0)*0.475*44/12</f>
        <v>8.0537362314758845</v>
      </c>
      <c r="DH163" s="21">
        <f>EXP(-LN(2)/2)*DH162+(1-EXP(-LN(2)/2))/(LN(2)/2)*DB163*DE163*VLOOKUP('Données projet'!$B$13,Paramètres!$A$1:$I$89,3,0)*0.475*44/12</f>
        <v>7.3592464396219774E-11</v>
      </c>
      <c r="DI163" s="22">
        <f t="shared" si="175"/>
        <v>51.677343061455794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5.6843418860808015E-13</v>
      </c>
      <c r="DP163" s="17">
        <f>DO163*VLOOKUP('Données projet'!$B$14,Paramètres!$A$1:$I$89,3,0)*VLOOKUP('Données projet'!$B$14,Paramètres!$A$1:$I$89,5,0)</f>
        <v>3.177547114319168E-13</v>
      </c>
      <c r="DQ163" s="13">
        <f t="shared" si="176"/>
        <v>4.1725404435445377E-12</v>
      </c>
      <c r="DR163" s="20">
        <f t="shared" si="177"/>
        <v>7.820597394917325E-12</v>
      </c>
      <c r="DS163" s="59">
        <f t="shared" si="125"/>
        <v>293.33333333334116</v>
      </c>
      <c r="DT163" s="59">
        <f ca="1">AVERAGE(OFFSET($DS$3,0,0,'Données projet'!$E$14+1,1))-AVERAGE(OFFSET($H$3,0,0,'Données projet'!$E$14+1,1))</f>
        <v>328.15217666639006</v>
      </c>
      <c r="DU163" s="59">
        <f t="shared" si="152"/>
        <v>305.59175773326308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38.820592956717803</v>
      </c>
      <c r="EB163" s="21">
        <f>EXP(-LN(2)/25)*EB162+(1-EXP(-LN(2)/25))/(LN(2)/25)*Calculateur!DW163*Calculateur!DY163*VLOOKUP('Données projet'!$B$14,Paramètres!$A$1:$I$89,3,0)*0.475*44/12</f>
        <v>6.3301202650076922</v>
      </c>
      <c r="EC163" s="21">
        <f>EXP(-LN(2)/2)*EC162+(1-EXP(-LN(2)/2))/(LN(2)/2)*DW163*DZ163*VLOOKUP('Données projet'!$B$14,Paramètres!$A$1:$I$89,3,0)*0.475*44/12</f>
        <v>2.1459960726934898E-12</v>
      </c>
      <c r="ED163" s="22">
        <f t="shared" si="178"/>
        <v>45.150713221727642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159.78276497127206</v>
      </c>
      <c r="EP163" s="59">
        <f t="shared" si="154"/>
        <v>190.72163407919857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0.92417197227035941</v>
      </c>
      <c r="EW163" s="21">
        <f>EXP(-LN(2)/25)*EW162+(1-EXP(-LN(2)/25))/(LN(2)/25)*Calculateur!ER163*Calculateur!ET163*VLOOKUP('Données projet'!$B$15,Paramètres!$A$1:$I$89,3,0)*0.475*44/12</f>
        <v>2.1201732841852912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3.0443452564556504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6.2527760746888816E-13</v>
      </c>
      <c r="FF163" s="17">
        <f>FE163*VLOOKUP('Données projet'!$B$16,Paramètres!$A$1:$I$89,3,0)*VLOOKUP('Données projet'!$B$16,Paramètres!$A$1:$I$89,5,0)</f>
        <v>5.3648818720830608E-13</v>
      </c>
      <c r="FG163" s="13">
        <f t="shared" si="182"/>
        <v>6.6281362235424649E-12</v>
      </c>
      <c r="FH163" s="20">
        <f t="shared" si="183"/>
        <v>1.2478387515390925E-11</v>
      </c>
      <c r="FI163" s="59">
        <f t="shared" si="131"/>
        <v>293.33333333334582</v>
      </c>
      <c r="FJ163" s="59">
        <f ca="1">AVERAGE(OFFSET($FI$3,0,0,'Données projet'!$E$16+1,1))-AVERAGE(OFFSET($H$3,0,0,'Données projet'!$E$16+1,1))</f>
        <v>337.15023592377008</v>
      </c>
      <c r="FK163" s="59">
        <f t="shared" si="156"/>
        <v>286.60608582587099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81.418347196761388</v>
      </c>
      <c r="FR163" s="21">
        <f>EXP(-LN(2)/25)*FR162+(1-EXP(-LN(2)/25))/(LN(2)/25)*Calculateur!FM163*Calculateur!FO163*VLOOKUP('Données projet'!$B$16,Paramètres!$A$1:$I$89,3,0)*0.475*44/12</f>
        <v>17.411566130690069</v>
      </c>
      <c r="FS163" s="21">
        <f>EXP(-LN(2)/2)*FS162+(1-EXP(-LN(2)/2))/(LN(2)/2)*FM163*FP163*VLOOKUP('Données projet'!$B$16,Paramètres!$A$1:$I$89,3,0)*0.475*44/12</f>
        <v>1.8995460799172439E-2</v>
      </c>
      <c r="FT163" s="22">
        <f t="shared" si="184"/>
        <v>98.84890878825064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9.4880000000000049</v>
      </c>
      <c r="FZ163" s="12">
        <f>IF('Données projet'!$A$244&gt;35,FZ162+FY163-GH162,IF(A163&lt;'Données projet'!$A$244,$FW$205^A163,IF(A163='Données projet'!$A$244,'Données projet'!$B$244,FZ162+FY163-GH162)))</f>
        <v>542.36800000000119</v>
      </c>
      <c r="GA163" s="17">
        <f>FZ163*VLOOKUP('Données projet'!$B$17,Paramètres!$A$1:$I$89,3,0)*VLOOKUP('Données projet'!$B$17,Paramètres!$A$1:$I$89,5,0)</f>
        <v>490.73456640000109</v>
      </c>
      <c r="GB163" s="13">
        <f t="shared" si="185"/>
        <v>109.94719771775897</v>
      </c>
      <c r="GC163" s="20">
        <f t="shared" si="186"/>
        <v>1046.1874058384321</v>
      </c>
      <c r="GD163" s="59">
        <f t="shared" si="134"/>
        <v>1339.5207391717654</v>
      </c>
      <c r="GE163" s="59">
        <f ca="1">AVERAGE(OFFSET($GD$3,0,0,'Données projet'!$E$17+1,1))-AVERAGE(OFFSET($H$3,0,0,'Données projet'!$E$17+1,1))</f>
        <v>486.55344536255876</v>
      </c>
      <c r="GF163" s="59">
        <f t="shared" si="158"/>
        <v>231.14794884432229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48.077046392201581</v>
      </c>
      <c r="GM163" s="21">
        <f>EXP(-LN(2)/25)*GM162+(1-EXP(-LN(2)/25))/(LN(2)/25)*Calculateur!GH163*Calculateur!GJ163*VLOOKUP('Données projet'!$B$17,Paramètres!$A$1:$I$89,3,0)*0.475*44/12</f>
        <v>19.386507375884602</v>
      </c>
      <c r="GN163" s="21">
        <f>EXP(-LN(2)/2)*GN162+(1-EXP(-LN(2)/2))/(LN(2)/2)*GH163*GK163*VLOOKUP('Données projet'!$B$17,Paramètres!$A$1:$I$89,3,0)*0.475*44/12</f>
        <v>1.9477769231890232E-5</v>
      </c>
      <c r="GO163" s="21">
        <f t="shared" si="187"/>
        <v>67.463573245855414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516.6345202882784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252.08270526008477</v>
      </c>
      <c r="T164" s="59">
        <f t="shared" si="142"/>
        <v>239.77811108960179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51.585465177317147</v>
      </c>
      <c r="AA164" s="21">
        <f>EXP(-LN(2)/25)*AA163+(1-EXP(-LN(2)/25))/(LN(2)/25)*Calculateur!V164*Calculateur!X164*VLOOKUP('Données projet'!$B$9,Paramètres!$A$1:$I$89,3,0)*0.475*44/12</f>
        <v>10.068336688792046</v>
      </c>
      <c r="AB164" s="21">
        <f>EXP(-LN(2)/2)*AB163+(1-EXP(-LN(2)/2))/(LN(2)/2)*V164*Y164*VLOOKUP('Données projet'!$B$9,Paramètres!$A$1:$I$89,3,0)*0.475*44/12</f>
        <v>3.6013812177340622E-8</v>
      </c>
      <c r="AC164" s="22">
        <f t="shared" si="163"/>
        <v>61.653801902123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251.64326096359997</v>
      </c>
      <c r="AO164" s="59">
        <f t="shared" si="144"/>
        <v>256.72142151189894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18.789667280305917</v>
      </c>
      <c r="AV164" s="21">
        <f>EXP(-LN(2)/25)*AV163+(1-EXP(-LN(2)/25))/(LN(2)/25)*Calculateur!AQ164*Calculateur!AS164*VLOOKUP('Données projet'!$B$10,Paramètres!$A$1:$I$89,3,0)*0.475*44/12</f>
        <v>2.9447443286389747</v>
      </c>
      <c r="AW164" s="21">
        <f>EXP(-LN(2)/2)*AW163+(1-EXP(-LN(2)/2))/(LN(2)/2)*AQ164*AT164*VLOOKUP('Données projet'!$B$10,Paramètres!$A$1:$I$89,3,0)*0.475*44/12</f>
        <v>3.7658003675498274E-14</v>
      </c>
      <c r="AX164" s="21">
        <f t="shared" si="166"/>
        <v>21.734411608944932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199.29783428981898</v>
      </c>
      <c r="BJ164" s="59">
        <f t="shared" si="146"/>
        <v>237.32002274562547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0.78007232609355948</v>
      </c>
      <c r="BQ164" s="21">
        <f>EXP(-LN(2)/25)*BQ163+(1-EXP(-LN(2)/25))/(LN(2)/25)*Calculateur!BL164*Calculateur!BN164*VLOOKUP('Données projet'!$B$11,Paramètres!$A$1:$I$89,3,0)*0.475*44/12</f>
        <v>1.7754689953327403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2.5555413214262996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2.5579538487363607E-13</v>
      </c>
      <c r="BZ164" s="13">
        <f>BY164*VLOOKUP('Données projet'!$B$12,Paramètres!$A$1:$I$89,3,0)*VLOOKUP('Données projet'!$B$12,Paramètres!$A$1:$I$89,5,0)</f>
        <v>2.1548203221755105E-13</v>
      </c>
      <c r="CA164" s="13">
        <f t="shared" si="170"/>
        <v>2.9604251148637229E-12</v>
      </c>
      <c r="CB164" s="20">
        <f t="shared" si="171"/>
        <v>5.5313716144998842E-12</v>
      </c>
      <c r="CC164" s="59">
        <f t="shared" si="119"/>
        <v>293.33333333333883</v>
      </c>
      <c r="CD164" s="59">
        <f ca="1">AVERAGE(OFFSET($CC$3,0,0,'Données projet'!$E$12+1,1))-AVERAGE(OFFSET($H$3,0,0,'Données projet'!$E$12+1,1))</f>
        <v>295.59075210589327</v>
      </c>
      <c r="CE164" s="59">
        <f t="shared" si="148"/>
        <v>210.41181542059576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56.923196591173792</v>
      </c>
      <c r="CL164" s="21">
        <f>EXP(-LN(2)/25)*CL163+(1-EXP(-LN(2)/25))/(LN(2)/25)*Calculateur!CG164*Calculateur!CI164*VLOOKUP('Données projet'!$B$12,Paramètres!$A$1:$I$89,3,0)*0.475*44/12</f>
        <v>9.2792749938101107</v>
      </c>
      <c r="CM164" s="21">
        <f>EXP(-LN(2)/2)*CM163+(1-EXP(-LN(2)/2))/(LN(2)/2)*CG164*CJ164*VLOOKUP('Données projet'!$B$12,Paramètres!$A$1:$I$89,3,0)*0.475*44/12</f>
        <v>1.3680425036707939E-4</v>
      </c>
      <c r="CN164" s="22">
        <f t="shared" si="172"/>
        <v>66.202608389234257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5.1727511163335289E-14</v>
      </c>
      <c r="CV164" s="13">
        <f t="shared" si="173"/>
        <v>8.3906664221915895E-13</v>
      </c>
      <c r="CW164" s="20">
        <f t="shared" si="174"/>
        <v>1.551466483807844E-12</v>
      </c>
      <c r="CX164" s="59">
        <f t="shared" si="122"/>
        <v>293.33333333333485</v>
      </c>
      <c r="CY164" s="59">
        <f ca="1">AVERAGE(OFFSET($CX$3,0,0,'Données projet'!$E$13+1,1))-AVERAGE(OFFSET($H$3,0,0,'Données projet'!$E$13+1,1))</f>
        <v>338.22448697444298</v>
      </c>
      <c r="CZ164" s="59">
        <f t="shared" si="150"/>
        <v>293.3872365640849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42.768174507744725</v>
      </c>
      <c r="DG164" s="21">
        <f>EXP(-LN(2)/25)*DG163+(1-EXP(-LN(2)/25))/(LN(2)/25)*Calculateur!DB164*Calculateur!DD164*VLOOKUP('Données projet'!$B$13,Paramètres!$A$1:$I$89,3,0)*0.475*44/12</f>
        <v>7.8335063906985951</v>
      </c>
      <c r="DH164" s="21">
        <f>EXP(-LN(2)/2)*DH163+(1-EXP(-LN(2)/2))/(LN(2)/2)*DB164*DE164*VLOOKUP('Données projet'!$B$13,Paramètres!$A$1:$I$89,3,0)*0.475*44/12</f>
        <v>5.2037730618796565E-11</v>
      </c>
      <c r="DI164" s="22">
        <f t="shared" si="175"/>
        <v>50.60168089849536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5.6843418860808015E-13</v>
      </c>
      <c r="DP164" s="17">
        <f>DO164*VLOOKUP('Données projet'!$B$14,Paramètres!$A$1:$I$89,3,0)*VLOOKUP('Données projet'!$B$14,Paramètres!$A$1:$I$89,5,0)</f>
        <v>3.177547114319168E-13</v>
      </c>
      <c r="DQ164" s="13">
        <f t="shared" si="176"/>
        <v>4.1725404435445377E-12</v>
      </c>
      <c r="DR164" s="20">
        <f t="shared" si="177"/>
        <v>7.820597394917325E-12</v>
      </c>
      <c r="DS164" s="59">
        <f t="shared" si="125"/>
        <v>293.33333333334116</v>
      </c>
      <c r="DT164" s="59">
        <f ca="1">AVERAGE(OFFSET($DS$3,0,0,'Données projet'!$E$14+1,1))-AVERAGE(OFFSET($H$3,0,0,'Données projet'!$E$14+1,1))</f>
        <v>328.15217666639006</v>
      </c>
      <c r="DU164" s="59">
        <f t="shared" si="152"/>
        <v>305.59175773326308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38.059344807060242</v>
      </c>
      <c r="EB164" s="21">
        <f>EXP(-LN(2)/25)*EB163+(1-EXP(-LN(2)/25))/(LN(2)/25)*Calculateur!DW164*Calculateur!DY164*VLOOKUP('Données projet'!$B$14,Paramètres!$A$1:$I$89,3,0)*0.475*44/12</f>
        <v>6.1570227934744999</v>
      </c>
      <c r="EC164" s="21">
        <f>EXP(-LN(2)/2)*EC163+(1-EXP(-LN(2)/2))/(LN(2)/2)*DW164*DZ164*VLOOKUP('Données projet'!$B$14,Paramètres!$A$1:$I$89,3,0)*0.475*44/12</f>
        <v>1.5174483754012658E-12</v>
      </c>
      <c r="ED164" s="22">
        <f t="shared" si="178"/>
        <v>44.216367600536259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159.78276497127206</v>
      </c>
      <c r="EP164" s="59">
        <f t="shared" si="154"/>
        <v>190.72163407919857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0.90604952358338109</v>
      </c>
      <c r="EW164" s="21">
        <f>EXP(-LN(2)/25)*EW163+(1-EXP(-LN(2)/25))/(LN(2)/25)*Calculateur!ER164*Calculateur!ET164*VLOOKUP('Données projet'!$B$15,Paramètres!$A$1:$I$89,3,0)*0.475*44/12</f>
        <v>2.0621970342341771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2.9682465578175581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6.2527760746888816E-13</v>
      </c>
      <c r="FF164" s="17">
        <f>FE164*VLOOKUP('Données projet'!$B$16,Paramètres!$A$1:$I$89,3,0)*VLOOKUP('Données projet'!$B$16,Paramètres!$A$1:$I$89,5,0)</f>
        <v>5.3648818720830608E-13</v>
      </c>
      <c r="FG164" s="13">
        <f t="shared" si="182"/>
        <v>6.6281362235424649E-12</v>
      </c>
      <c r="FH164" s="20">
        <f t="shared" si="183"/>
        <v>1.2478387515390925E-11</v>
      </c>
      <c r="FI164" s="59">
        <f t="shared" si="131"/>
        <v>293.33333333334582</v>
      </c>
      <c r="FJ164" s="59">
        <f ca="1">AVERAGE(OFFSET($FI$3,0,0,'Données projet'!$E$16+1,1))-AVERAGE(OFFSET($H$3,0,0,'Données projet'!$E$16+1,1))</f>
        <v>337.15023592377008</v>
      </c>
      <c r="FK164" s="59">
        <f t="shared" si="156"/>
        <v>286.60608582587099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79.821783068521142</v>
      </c>
      <c r="FR164" s="21">
        <f>EXP(-LN(2)/25)*FR163+(1-EXP(-LN(2)/25))/(LN(2)/25)*Calculateur!FM164*Calculateur!FO164*VLOOKUP('Données projet'!$B$16,Paramètres!$A$1:$I$89,3,0)*0.475*44/12</f>
        <v>16.935445939211881</v>
      </c>
      <c r="FS164" s="21">
        <f>EXP(-LN(2)/2)*FS163+(1-EXP(-LN(2)/2))/(LN(2)/2)*FM164*FP164*VLOOKUP('Données projet'!$B$16,Paramètres!$A$1:$I$89,3,0)*0.475*44/12</f>
        <v>1.3431819142858068E-2</v>
      </c>
      <c r="FT164" s="22">
        <f t="shared" si="184"/>
        <v>96.770660826875883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9.4880000000000049</v>
      </c>
      <c r="FZ164" s="12">
        <f>IF('Données projet'!$A$244&gt;35,FZ163+FY164-GH163,IF(A164&lt;'Données projet'!$A$244,$FW$205^A164,IF(A164='Données projet'!$A$244,'Données projet'!$B$244,FZ163+FY164-GH163)))</f>
        <v>551.85600000000125</v>
      </c>
      <c r="GA164" s="17">
        <f>FZ164*VLOOKUP('Données projet'!$B$17,Paramètres!$A$1:$I$89,3,0)*VLOOKUP('Données projet'!$B$17,Paramètres!$A$1:$I$89,5,0)</f>
        <v>499.31930880000107</v>
      </c>
      <c r="GB164" s="13">
        <f t="shared" si="185"/>
        <v>111.64497591125094</v>
      </c>
      <c r="GC164" s="20">
        <f t="shared" si="186"/>
        <v>1064.0961292054305</v>
      </c>
      <c r="GD164" s="59">
        <f t="shared" si="134"/>
        <v>1357.4294625387638</v>
      </c>
      <c r="GE164" s="59">
        <f ca="1">AVERAGE(OFFSET($GD$3,0,0,'Données projet'!$E$17+1,1))-AVERAGE(OFFSET($H$3,0,0,'Données projet'!$E$17+1,1))</f>
        <v>486.55344536255876</v>
      </c>
      <c r="GF164" s="59">
        <f t="shared" si="158"/>
        <v>231.14794884432229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47.134284836553292</v>
      </c>
      <c r="GM164" s="21">
        <f>EXP(-LN(2)/25)*GM163+(1-EXP(-LN(2)/25))/(LN(2)/25)*Calculateur!GH164*Calculateur!GJ164*VLOOKUP('Données projet'!$B$17,Paramètres!$A$1:$I$89,3,0)*0.475*44/12</f>
        <v>18.856382312198924</v>
      </c>
      <c r="GN164" s="21">
        <f>EXP(-LN(2)/2)*GN163+(1-EXP(-LN(2)/2))/(LN(2)/2)*GH164*GK164*VLOOKUP('Données projet'!$B$17,Paramètres!$A$1:$I$89,3,0)*0.475*44/12</f>
        <v>1.3772862706256274E-5</v>
      </c>
      <c r="GO164" s="21">
        <f t="shared" si="187"/>
        <v>65.99068092161491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518.20980955278969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252.08270526008477</v>
      </c>
      <c r="T165" s="59">
        <f t="shared" si="142"/>
        <v>239.77811108960179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50.573905669216899</v>
      </c>
      <c r="AA165" s="21">
        <f>EXP(-LN(2)/25)*AA164+(1-EXP(-LN(2)/25))/(LN(2)/25)*Calculateur!V165*Calculateur!X165*VLOOKUP('Données projet'!$B$9,Paramètres!$A$1:$I$89,3,0)*0.475*44/12</f>
        <v>9.7930174925662126</v>
      </c>
      <c r="AB165" s="21">
        <f>EXP(-LN(2)/2)*AB164+(1-EXP(-LN(2)/2))/(LN(2)/2)*V165*Y165*VLOOKUP('Données projet'!$B$9,Paramètres!$A$1:$I$89,3,0)*0.475*44/12</f>
        <v>2.5465610806976216E-8</v>
      </c>
      <c r="AC165" s="22">
        <f t="shared" si="163"/>
        <v>60.366923187248723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251.64326096359997</v>
      </c>
      <c r="AO165" s="59">
        <f t="shared" si="144"/>
        <v>256.72142151189894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18.421213365504521</v>
      </c>
      <c r="AV165" s="21">
        <f>EXP(-LN(2)/25)*AV164+(1-EXP(-LN(2)/25))/(LN(2)/25)*Calculateur!AQ165*Calculateur!AS165*VLOOKUP('Données projet'!$B$10,Paramètres!$A$1:$I$89,3,0)*0.475*44/12</f>
        <v>2.8642201401149681</v>
      </c>
      <c r="AW165" s="21">
        <f>EXP(-LN(2)/2)*AW164+(1-EXP(-LN(2)/2))/(LN(2)/2)*AQ165*AT165*VLOOKUP('Données projet'!$B$10,Paramètres!$A$1:$I$89,3,0)*0.475*44/12</f>
        <v>2.6628229764892761E-14</v>
      </c>
      <c r="AX165" s="21">
        <f t="shared" si="166"/>
        <v>21.285433505619512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199.29783428981898</v>
      </c>
      <c r="BJ165" s="59">
        <f t="shared" si="146"/>
        <v>237.32002274562547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0.76477558357600262</v>
      </c>
      <c r="BQ165" s="21">
        <f>EXP(-LN(2)/25)*BQ164+(1-EXP(-LN(2)/25))/(LN(2)/25)*Calculateur!BL165*Calculateur!BN165*VLOOKUP('Données projet'!$B$11,Paramètres!$A$1:$I$89,3,0)*0.475*44/12</f>
        <v>1.7269187022875099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2.4916942858635123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2.5579538487363607E-13</v>
      </c>
      <c r="BZ165" s="13">
        <f>BY165*VLOOKUP('Données projet'!$B$12,Paramètres!$A$1:$I$89,3,0)*VLOOKUP('Données projet'!$B$12,Paramètres!$A$1:$I$89,5,0)</f>
        <v>2.1548203221755105E-13</v>
      </c>
      <c r="CA165" s="13">
        <f t="shared" si="170"/>
        <v>2.9604251148637229E-12</v>
      </c>
      <c r="CB165" s="20">
        <f t="shared" si="171"/>
        <v>5.5313716144998842E-12</v>
      </c>
      <c r="CC165" s="59">
        <f t="shared" si="119"/>
        <v>293.33333333333883</v>
      </c>
      <c r="CD165" s="59">
        <f ca="1">AVERAGE(OFFSET($CC$3,0,0,'Données projet'!$E$12+1,1))-AVERAGE(OFFSET($H$3,0,0,'Données projet'!$E$12+1,1))</f>
        <v>295.59075210589327</v>
      </c>
      <c r="CE165" s="59">
        <f t="shared" si="148"/>
        <v>210.41181542059576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55.806967425742506</v>
      </c>
      <c r="CL165" s="21">
        <f>EXP(-LN(2)/25)*CL164+(1-EXP(-LN(2)/25))/(LN(2)/25)*Calculateur!CG165*Calculateur!CI165*VLOOKUP('Données projet'!$B$12,Paramètres!$A$1:$I$89,3,0)*0.475*44/12</f>
        <v>9.025532731128509</v>
      </c>
      <c r="CM165" s="21">
        <f>EXP(-LN(2)/2)*CM164+(1-EXP(-LN(2)/2))/(LN(2)/2)*CG165*CJ165*VLOOKUP('Données projet'!$B$12,Paramètres!$A$1:$I$89,3,0)*0.475*44/12</f>
        <v>9.6735213129704072E-5</v>
      </c>
      <c r="CN165" s="22">
        <f t="shared" si="172"/>
        <v>64.832596892084155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5.1727511163335289E-14</v>
      </c>
      <c r="CV165" s="13">
        <f t="shared" si="173"/>
        <v>8.3906664221915895E-13</v>
      </c>
      <c r="CW165" s="20">
        <f t="shared" si="174"/>
        <v>1.551466483807844E-12</v>
      </c>
      <c r="CX165" s="59">
        <f t="shared" si="122"/>
        <v>293.33333333333485</v>
      </c>
      <c r="CY165" s="59">
        <f ca="1">AVERAGE(OFFSET($CX$3,0,0,'Données projet'!$E$13+1,1))-AVERAGE(OFFSET($H$3,0,0,'Données projet'!$E$13+1,1))</f>
        <v>338.22448697444298</v>
      </c>
      <c r="CZ165" s="59">
        <f t="shared" si="150"/>
        <v>293.3872365640849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41.92951669165852</v>
      </c>
      <c r="DG165" s="21">
        <f>EXP(-LN(2)/25)*DG164+(1-EXP(-LN(2)/25))/(LN(2)/25)*Calculateur!DB165*Calculateur!DD165*VLOOKUP('Données projet'!$B$13,Paramètres!$A$1:$I$89,3,0)*0.475*44/12</f>
        <v>7.6192987464987443</v>
      </c>
      <c r="DH165" s="21">
        <f>EXP(-LN(2)/2)*DH164+(1-EXP(-LN(2)/2))/(LN(2)/2)*DB165*DE165*VLOOKUP('Données projet'!$B$13,Paramètres!$A$1:$I$89,3,0)*0.475*44/12</f>
        <v>3.6796232198109887E-11</v>
      </c>
      <c r="DI165" s="22">
        <f t="shared" si="175"/>
        <v>49.548815438194062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5.6843418860808015E-13</v>
      </c>
      <c r="DP165" s="17">
        <f>DO165*VLOOKUP('Données projet'!$B$14,Paramètres!$A$1:$I$89,3,0)*VLOOKUP('Données projet'!$B$14,Paramètres!$A$1:$I$89,5,0)</f>
        <v>3.177547114319168E-13</v>
      </c>
      <c r="DQ165" s="13">
        <f t="shared" si="176"/>
        <v>4.1725404435445377E-12</v>
      </c>
      <c r="DR165" s="20">
        <f t="shared" si="177"/>
        <v>7.820597394917325E-12</v>
      </c>
      <c r="DS165" s="59">
        <f t="shared" si="125"/>
        <v>293.33333333334116</v>
      </c>
      <c r="DT165" s="59">
        <f ca="1">AVERAGE(OFFSET($DS$3,0,0,'Données projet'!$E$14+1,1))-AVERAGE(OFFSET($H$3,0,0,'Données projet'!$E$14+1,1))</f>
        <v>328.15217666639006</v>
      </c>
      <c r="DU165" s="59">
        <f t="shared" si="152"/>
        <v>305.59175773326308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37.313024269301941</v>
      </c>
      <c r="EB165" s="21">
        <f>EXP(-LN(2)/25)*EB164+(1-EXP(-LN(2)/25))/(LN(2)/25)*Calculateur!DW165*Calculateur!DY165*VLOOKUP('Données projet'!$B$14,Paramètres!$A$1:$I$89,3,0)*0.475*44/12</f>
        <v>5.9886586814031828</v>
      </c>
      <c r="EC165" s="21">
        <f>EXP(-LN(2)/2)*EC164+(1-EXP(-LN(2)/2))/(LN(2)/2)*DW165*DZ165*VLOOKUP('Données projet'!$B$14,Paramètres!$A$1:$I$89,3,0)*0.475*44/12</f>
        <v>1.0729980363467449E-12</v>
      </c>
      <c r="ED165" s="22">
        <f t="shared" si="178"/>
        <v>43.301682950706194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159.78276497127206</v>
      </c>
      <c r="EP165" s="59">
        <f t="shared" si="154"/>
        <v>190.72163407919857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0.88828244506155218</v>
      </c>
      <c r="EW165" s="21">
        <f>EXP(-LN(2)/25)*EW164+(1-EXP(-LN(2)/25))/(LN(2)/25)*Calculateur!ER165*Calculateur!ET165*VLOOKUP('Données projet'!$B$15,Paramètres!$A$1:$I$89,3,0)*0.475*44/12</f>
        <v>2.0058061478868145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2.8940885929483668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6.2527760746888816E-13</v>
      </c>
      <c r="FF165" s="17">
        <f>FE165*VLOOKUP('Données projet'!$B$16,Paramètres!$A$1:$I$89,3,0)*VLOOKUP('Données projet'!$B$16,Paramètres!$A$1:$I$89,5,0)</f>
        <v>5.3648818720830608E-13</v>
      </c>
      <c r="FG165" s="13">
        <f t="shared" si="182"/>
        <v>6.6281362235424649E-12</v>
      </c>
      <c r="FH165" s="20">
        <f t="shared" si="183"/>
        <v>1.2478387515390925E-11</v>
      </c>
      <c r="FI165" s="59">
        <f t="shared" si="131"/>
        <v>293.33333333334582</v>
      </c>
      <c r="FJ165" s="59">
        <f ca="1">AVERAGE(OFFSET($FI$3,0,0,'Données projet'!$E$16+1,1))-AVERAGE(OFFSET($H$3,0,0,'Données projet'!$E$16+1,1))</f>
        <v>337.15023592377008</v>
      </c>
      <c r="FK165" s="59">
        <f t="shared" si="156"/>
        <v>286.60608582587099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78.256526589027729</v>
      </c>
      <c r="FR165" s="21">
        <f>EXP(-LN(2)/25)*FR164+(1-EXP(-LN(2)/25))/(LN(2)/25)*Calculateur!FM165*Calculateur!FO165*VLOOKUP('Données projet'!$B$16,Paramètres!$A$1:$I$89,3,0)*0.475*44/12</f>
        <v>16.472345279407737</v>
      </c>
      <c r="FS165" s="21">
        <f>EXP(-LN(2)/2)*FS164+(1-EXP(-LN(2)/2))/(LN(2)/2)*FM165*FP165*VLOOKUP('Données projet'!$B$16,Paramètres!$A$1:$I$89,3,0)*0.475*44/12</f>
        <v>9.4977303995862211E-3</v>
      </c>
      <c r="FT165" s="22">
        <f t="shared" si="184"/>
        <v>94.73836959883505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9.4880000000000049</v>
      </c>
      <c r="FZ165" s="12">
        <f>IF('Données projet'!$A$244&gt;35,FZ164+FY165-GH164,IF(A165&lt;'Données projet'!$A$244,$FW$205^A165,IF(A165='Données projet'!$A$244,'Données projet'!$B$244,FZ164+FY165-GH164)))</f>
        <v>561.3440000000013</v>
      </c>
      <c r="GA165" s="17">
        <f>FZ165*VLOOKUP('Données projet'!$B$17,Paramètres!$A$1:$I$89,3,0)*VLOOKUP('Données projet'!$B$17,Paramètres!$A$1:$I$89,5,0)</f>
        <v>507.90405120000116</v>
      </c>
      <c r="GB165" s="13">
        <f t="shared" si="185"/>
        <v>113.33935964263163</v>
      </c>
      <c r="GC165" s="20">
        <f t="shared" si="186"/>
        <v>1081.9989405509189</v>
      </c>
      <c r="GD165" s="59">
        <f t="shared" si="134"/>
        <v>1375.3322738842521</v>
      </c>
      <c r="GE165" s="59">
        <f ca="1">AVERAGE(OFFSET($GD$3,0,0,'Données projet'!$E$17+1,1))-AVERAGE(OFFSET($H$3,0,0,'Données projet'!$E$17+1,1))</f>
        <v>486.55344536255876</v>
      </c>
      <c r="GF165" s="59">
        <f t="shared" si="158"/>
        <v>231.14794884432229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46.210010259983498</v>
      </c>
      <c r="GM165" s="21">
        <f>EXP(-LN(2)/25)*GM164+(1-EXP(-LN(2)/25))/(LN(2)/25)*Calculateur!GH165*Calculateur!GJ165*VLOOKUP('Données projet'!$B$17,Paramètres!$A$1:$I$89,3,0)*0.475*44/12</f>
        <v>18.340753546257798</v>
      </c>
      <c r="GN165" s="21">
        <f>EXP(-LN(2)/2)*GN164+(1-EXP(-LN(2)/2))/(LN(2)/2)*GH165*GK165*VLOOKUP('Données projet'!$B$17,Paramètres!$A$1:$I$89,3,0)*0.475*44/12</f>
        <v>9.7388846159451158E-6</v>
      </c>
      <c r="GO165" s="21">
        <f t="shared" si="187"/>
        <v>64.550773545125907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519.78488455929892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252.08270526008477</v>
      </c>
      <c r="T166" s="59">
        <f t="shared" si="142"/>
        <v>239.77811108960179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49.582182226080121</v>
      </c>
      <c r="AA166" s="21">
        <f>EXP(-LN(2)/25)*AA165+(1-EXP(-LN(2)/25))/(LN(2)/25)*Calculateur!V166*Calculateur!X166*VLOOKUP('Données projet'!$B$9,Paramètres!$A$1:$I$89,3,0)*0.475*44/12</f>
        <v>9.5252269142395818</v>
      </c>
      <c r="AB166" s="21">
        <f>EXP(-LN(2)/2)*AB165+(1-EXP(-LN(2)/2))/(LN(2)/2)*V166*Y166*VLOOKUP('Données projet'!$B$9,Paramètres!$A$1:$I$89,3,0)*0.475*44/12</f>
        <v>1.8006906088670311E-8</v>
      </c>
      <c r="AC166" s="22">
        <f t="shared" si="163"/>
        <v>59.107409158326611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251.64326096359997</v>
      </c>
      <c r="AO166" s="59">
        <f t="shared" si="144"/>
        <v>256.72142151189894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18.059984607237684</v>
      </c>
      <c r="AV166" s="21">
        <f>EXP(-LN(2)/25)*AV165+(1-EXP(-LN(2)/25))/(LN(2)/25)*Calculateur!AQ166*Calculateur!AS166*VLOOKUP('Données projet'!$B$10,Paramètres!$A$1:$I$89,3,0)*0.475*44/12</f>
        <v>2.7858978897607334</v>
      </c>
      <c r="AW166" s="21">
        <f>EXP(-LN(2)/2)*AW165+(1-EXP(-LN(2)/2))/(LN(2)/2)*AQ166*AT166*VLOOKUP('Données projet'!$B$10,Paramètres!$A$1:$I$89,3,0)*0.475*44/12</f>
        <v>1.8829001837749137E-14</v>
      </c>
      <c r="AX166" s="21">
        <f t="shared" si="166"/>
        <v>20.845882496998435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199.29783428981898</v>
      </c>
      <c r="BJ166" s="59">
        <f t="shared" si="146"/>
        <v>237.32002274562547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0.74977880084912341</v>
      </c>
      <c r="BQ166" s="21">
        <f>EXP(-LN(2)/25)*BQ165+(1-EXP(-LN(2)/25))/(LN(2)/25)*Calculateur!BL166*Calculateur!BN166*VLOOKUP('Données projet'!$B$11,Paramètres!$A$1:$I$89,3,0)*0.475*44/12</f>
        <v>1.6796960195587503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2.4294748204078735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2.5579538487363607E-13</v>
      </c>
      <c r="BZ166" s="13">
        <f>BY166*VLOOKUP('Données projet'!$B$12,Paramètres!$A$1:$I$89,3,0)*VLOOKUP('Données projet'!$B$12,Paramètres!$A$1:$I$89,5,0)</f>
        <v>2.1548203221755105E-13</v>
      </c>
      <c r="CA166" s="13">
        <f t="shared" si="170"/>
        <v>2.9604251148637229E-12</v>
      </c>
      <c r="CB166" s="20">
        <f t="shared" si="171"/>
        <v>5.5313716144998842E-12</v>
      </c>
      <c r="CC166" s="59">
        <f t="shared" si="119"/>
        <v>293.33333333333883</v>
      </c>
      <c r="CD166" s="59">
        <f ca="1">AVERAGE(OFFSET($CC$3,0,0,'Données projet'!$E$12+1,1))-AVERAGE(OFFSET($H$3,0,0,'Données projet'!$E$12+1,1))</f>
        <v>295.59075210589327</v>
      </c>
      <c r="CE166" s="59">
        <f t="shared" si="148"/>
        <v>210.41181542059576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54.712626833412763</v>
      </c>
      <c r="CL166" s="21">
        <f>EXP(-LN(2)/25)*CL165+(1-EXP(-LN(2)/25))/(LN(2)/25)*Calculateur!CG166*Calculateur!CI166*VLOOKUP('Données projet'!$B$12,Paramètres!$A$1:$I$89,3,0)*0.475*44/12</f>
        <v>8.7787290639636613</v>
      </c>
      <c r="CM166" s="21">
        <f>EXP(-LN(2)/2)*CM165+(1-EXP(-LN(2)/2))/(LN(2)/2)*CG166*CJ166*VLOOKUP('Données projet'!$B$12,Paramètres!$A$1:$I$89,3,0)*0.475*44/12</f>
        <v>6.8402125183539695E-5</v>
      </c>
      <c r="CN166" s="22">
        <f t="shared" si="172"/>
        <v>63.491424299501602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5.1727511163335289E-14</v>
      </c>
      <c r="CV166" s="13">
        <f t="shared" si="173"/>
        <v>8.3906664221915895E-13</v>
      </c>
      <c r="CW166" s="20">
        <f t="shared" si="174"/>
        <v>1.551466483807844E-12</v>
      </c>
      <c r="CX166" s="59">
        <f t="shared" si="122"/>
        <v>293.33333333333485</v>
      </c>
      <c r="CY166" s="59">
        <f ca="1">AVERAGE(OFFSET($CX$3,0,0,'Données projet'!$E$13+1,1))-AVERAGE(OFFSET($H$3,0,0,'Données projet'!$E$13+1,1))</f>
        <v>338.22448697444298</v>
      </c>
      <c r="CZ166" s="59">
        <f t="shared" si="150"/>
        <v>293.3872365640849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41.107304443815011</v>
      </c>
      <c r="DG166" s="21">
        <f>EXP(-LN(2)/25)*DG165+(1-EXP(-LN(2)/25))/(LN(2)/25)*Calculateur!DB166*Calculateur!DD166*VLOOKUP('Données projet'!$B$13,Paramètres!$A$1:$I$89,3,0)*0.475*44/12</f>
        <v>7.4109486215942288</v>
      </c>
      <c r="DH166" s="21">
        <f>EXP(-LN(2)/2)*DH165+(1-EXP(-LN(2)/2))/(LN(2)/2)*DB166*DE166*VLOOKUP('Données projet'!$B$13,Paramètres!$A$1:$I$89,3,0)*0.475*44/12</f>
        <v>2.6018865309398283E-11</v>
      </c>
      <c r="DI166" s="22">
        <f t="shared" si="175"/>
        <v>48.51825306543526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5.6843418860808015E-13</v>
      </c>
      <c r="DP166" s="17">
        <f>DO166*VLOOKUP('Données projet'!$B$14,Paramètres!$A$1:$I$89,3,0)*VLOOKUP('Données projet'!$B$14,Paramètres!$A$1:$I$89,5,0)</f>
        <v>3.177547114319168E-13</v>
      </c>
      <c r="DQ166" s="13">
        <f t="shared" si="176"/>
        <v>4.1725404435445377E-12</v>
      </c>
      <c r="DR166" s="20">
        <f t="shared" si="177"/>
        <v>7.820597394917325E-12</v>
      </c>
      <c r="DS166" s="59">
        <f t="shared" si="125"/>
        <v>293.33333333334116</v>
      </c>
      <c r="DT166" s="59">
        <f ca="1">AVERAGE(OFFSET($DS$3,0,0,'Données projet'!$E$14+1,1))-AVERAGE(OFFSET($H$3,0,0,'Données projet'!$E$14+1,1))</f>
        <v>328.15217666639006</v>
      </c>
      <c r="DU166" s="59">
        <f t="shared" si="152"/>
        <v>305.59175773326308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36.581338622078498</v>
      </c>
      <c r="EB166" s="21">
        <f>EXP(-LN(2)/25)*EB165+(1-EXP(-LN(2)/25))/(LN(2)/25)*Calculateur!DW166*Calculateur!DY166*VLOOKUP('Données projet'!$B$14,Paramètres!$A$1:$I$89,3,0)*0.475*44/12</f>
        <v>5.8248984948303404</v>
      </c>
      <c r="EC166" s="21">
        <f>EXP(-LN(2)/2)*EC165+(1-EXP(-LN(2)/2))/(LN(2)/2)*DW166*DZ166*VLOOKUP('Données projet'!$B$14,Paramètres!$A$1:$I$89,3,0)*0.475*44/12</f>
        <v>7.5872418770063292E-13</v>
      </c>
      <c r="ED166" s="22">
        <f t="shared" si="178"/>
        <v>42.406237116909601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159.78276497127206</v>
      </c>
      <c r="EP166" s="59">
        <f t="shared" si="154"/>
        <v>190.72163407919857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0.8708637681126884</v>
      </c>
      <c r="EW166" s="21">
        <f>EXP(-LN(2)/25)*EW165+(1-EXP(-LN(2)/25))/(LN(2)/25)*Calculateur!ER166*Calculateur!ET166*VLOOKUP('Données projet'!$B$15,Paramètres!$A$1:$I$89,3,0)*0.475*44/12</f>
        <v>1.9509572732920886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2.8218210414047769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6.2527760746888816E-13</v>
      </c>
      <c r="FF166" s="17">
        <f>FE166*VLOOKUP('Données projet'!$B$16,Paramètres!$A$1:$I$89,3,0)*VLOOKUP('Données projet'!$B$16,Paramètres!$A$1:$I$89,5,0)</f>
        <v>5.3648818720830608E-13</v>
      </c>
      <c r="FG166" s="13">
        <f t="shared" si="182"/>
        <v>6.6281362235424649E-12</v>
      </c>
      <c r="FH166" s="20">
        <f t="shared" si="183"/>
        <v>1.2478387515390925E-11</v>
      </c>
      <c r="FI166" s="59">
        <f t="shared" si="131"/>
        <v>293.33333333334582</v>
      </c>
      <c r="FJ166" s="59">
        <f ca="1">AVERAGE(OFFSET($FI$3,0,0,'Données projet'!$E$16+1,1))-AVERAGE(OFFSET($H$3,0,0,'Données projet'!$E$16+1,1))</f>
        <v>337.15023592377008</v>
      </c>
      <c r="FK166" s="59">
        <f t="shared" si="156"/>
        <v>286.60608582587099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76.721963834384994</v>
      </c>
      <c r="FR166" s="21">
        <f>EXP(-LN(2)/25)*FR165+(1-EXP(-LN(2)/25))/(LN(2)/25)*Calculateur!FM166*Calculateur!FO166*VLOOKUP('Données projet'!$B$16,Paramètres!$A$1:$I$89,3,0)*0.475*44/12</f>
        <v>16.021908131499341</v>
      </c>
      <c r="FS166" s="21">
        <f>EXP(-LN(2)/2)*FS165+(1-EXP(-LN(2)/2))/(LN(2)/2)*FM166*FP166*VLOOKUP('Données projet'!$B$16,Paramètres!$A$1:$I$89,3,0)*0.475*44/12</f>
        <v>6.7159095714290351E-3</v>
      </c>
      <c r="FT166" s="22">
        <f t="shared" si="184"/>
        <v>92.750587875455764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9.4880000000000049</v>
      </c>
      <c r="FZ166" s="12">
        <f>IF('Données projet'!$A$244&gt;35,FZ165+FY166-GH165,IF(A166&lt;'Données projet'!$A$244,$FW$205^A166,IF(A166='Données projet'!$A$244,'Données projet'!$B$244,FZ165+FY166-GH165)))</f>
        <v>570.83200000000136</v>
      </c>
      <c r="GA166" s="17">
        <f>FZ166*VLOOKUP('Données projet'!$B$17,Paramètres!$A$1:$I$89,3,0)*VLOOKUP('Données projet'!$B$17,Paramètres!$A$1:$I$89,5,0)</f>
        <v>516.48879360000115</v>
      </c>
      <c r="GB166" s="13">
        <f t="shared" si="185"/>
        <v>115.03041290761819</v>
      </c>
      <c r="GC166" s="20">
        <f t="shared" si="186"/>
        <v>1099.8959513341035</v>
      </c>
      <c r="GD166" s="59">
        <f t="shared" si="134"/>
        <v>1393.2292846674368</v>
      </c>
      <c r="GE166" s="59">
        <f ca="1">AVERAGE(OFFSET($GD$3,0,0,'Données projet'!$E$17+1,1))-AVERAGE(OFFSET($H$3,0,0,'Données projet'!$E$17+1,1))</f>
        <v>486.55344536255876</v>
      </c>
      <c r="GF166" s="59">
        <f t="shared" si="158"/>
        <v>231.14794884432229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45.303860144108413</v>
      </c>
      <c r="GM166" s="21">
        <f>EXP(-LN(2)/25)*GM165+(1-EXP(-LN(2)/25))/(LN(2)/25)*Calculateur!GH166*Calculateur!GJ166*VLOOKUP('Données projet'!$B$17,Paramètres!$A$1:$I$89,3,0)*0.475*44/12</f>
        <v>17.839224676037066</v>
      </c>
      <c r="GN166" s="21">
        <f>EXP(-LN(2)/2)*GN165+(1-EXP(-LN(2)/2))/(LN(2)/2)*GH166*GK166*VLOOKUP('Données projet'!$B$17,Paramètres!$A$1:$I$89,3,0)*0.475*44/12</f>
        <v>6.886431353128137E-6</v>
      </c>
      <c r="GO166" s="21">
        <f t="shared" si="187"/>
        <v>63.143091706576826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521.35974677477066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252.08270526008477</v>
      </c>
      <c r="T167" s="59">
        <f t="shared" si="142"/>
        <v>239.77811108960179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48.609905874771684</v>
      </c>
      <c r="AA167" s="21">
        <f>EXP(-LN(2)/25)*AA166+(1-EXP(-LN(2)/25))/(LN(2)/25)*Calculateur!V167*Calculateur!X167*VLOOKUP('Données projet'!$B$9,Paramètres!$A$1:$I$89,3,0)*0.475*44/12</f>
        <v>9.2647590833597864</v>
      </c>
      <c r="AB167" s="21">
        <f>EXP(-LN(2)/2)*AB166+(1-EXP(-LN(2)/2))/(LN(2)/2)*V167*Y167*VLOOKUP('Données projet'!$B$9,Paramètres!$A$1:$I$89,3,0)*0.475*44/12</f>
        <v>1.2732805403488108E-8</v>
      </c>
      <c r="AC167" s="22">
        <f t="shared" si="163"/>
        <v>57.874664970864274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251.64326096359997</v>
      </c>
      <c r="AO167" s="59">
        <f t="shared" si="144"/>
        <v>256.72142151189894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17.705839324592674</v>
      </c>
      <c r="AV167" s="21">
        <f>EXP(-LN(2)/25)*AV166+(1-EXP(-LN(2)/25))/(LN(2)/25)*Calculateur!AQ167*Calculateur!AS167*VLOOKUP('Données projet'!$B$10,Paramètres!$A$1:$I$89,3,0)*0.475*44/12</f>
        <v>2.7097173654612234</v>
      </c>
      <c r="AW167" s="21">
        <f>EXP(-LN(2)/2)*AW166+(1-EXP(-LN(2)/2))/(LN(2)/2)*AQ167*AT167*VLOOKUP('Données projet'!$B$10,Paramètres!$A$1:$I$89,3,0)*0.475*44/12</f>
        <v>1.331411488244638E-14</v>
      </c>
      <c r="AX167" s="21">
        <f t="shared" si="166"/>
        <v>20.415556690053911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199.29783428981898</v>
      </c>
      <c r="BJ167" s="59">
        <f t="shared" si="146"/>
        <v>237.32002274562547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0.73507609588438405</v>
      </c>
      <c r="BQ167" s="21">
        <f>EXP(-LN(2)/25)*BQ166+(1-EXP(-LN(2)/25))/(LN(2)/25)*Calculateur!BL167*Calculateur!BN167*VLOOKUP('Données projet'!$B$11,Paramètres!$A$1:$I$89,3,0)*0.475*44/12</f>
        <v>1.6337646435725415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2.3688407394569255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2.5579538487363607E-13</v>
      </c>
      <c r="BZ167" s="13">
        <f>BY167*VLOOKUP('Données projet'!$B$12,Paramètres!$A$1:$I$89,3,0)*VLOOKUP('Données projet'!$B$12,Paramètres!$A$1:$I$89,5,0)</f>
        <v>2.1548203221755105E-13</v>
      </c>
      <c r="CA167" s="13">
        <f t="shared" si="170"/>
        <v>2.9604251148637229E-12</v>
      </c>
      <c r="CB167" s="20">
        <f t="shared" si="171"/>
        <v>5.5313716144998842E-12</v>
      </c>
      <c r="CC167" s="59">
        <f t="shared" si="119"/>
        <v>293.33333333333883</v>
      </c>
      <c r="CD167" s="59">
        <f ca="1">AVERAGE(OFFSET($CC$3,0,0,'Données projet'!$E$12+1,1))-AVERAGE(OFFSET($H$3,0,0,'Données projet'!$E$12+1,1))</f>
        <v>295.59075210589327</v>
      </c>
      <c r="CE167" s="59">
        <f t="shared" si="148"/>
        <v>210.41181542059576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53.639745592616755</v>
      </c>
      <c r="CL167" s="21">
        <f>EXP(-LN(2)/25)*CL166+(1-EXP(-LN(2)/25))/(LN(2)/25)*Calculateur!CG167*Calculateur!CI167*VLOOKUP('Données projet'!$B$12,Paramètres!$A$1:$I$89,3,0)*0.475*44/12</f>
        <v>8.5386742560562769</v>
      </c>
      <c r="CM167" s="21">
        <f>EXP(-LN(2)/2)*CM166+(1-EXP(-LN(2)/2))/(LN(2)/2)*CG167*CJ167*VLOOKUP('Données projet'!$B$12,Paramètres!$A$1:$I$89,3,0)*0.475*44/12</f>
        <v>4.8367606564852036E-5</v>
      </c>
      <c r="CN167" s="22">
        <f t="shared" si="172"/>
        <v>62.178468216279597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5.1727511163335289E-14</v>
      </c>
      <c r="CV167" s="13">
        <f t="shared" si="173"/>
        <v>8.3906664221915895E-13</v>
      </c>
      <c r="CW167" s="20">
        <f t="shared" si="174"/>
        <v>1.551466483807844E-12</v>
      </c>
      <c r="CX167" s="59">
        <f t="shared" si="122"/>
        <v>293.33333333333485</v>
      </c>
      <c r="CY167" s="59">
        <f ca="1">AVERAGE(OFFSET($CX$3,0,0,'Données projet'!$E$13+1,1))-AVERAGE(OFFSET($H$3,0,0,'Données projet'!$E$13+1,1))</f>
        <v>338.22448697444298</v>
      </c>
      <c r="CZ167" s="59">
        <f t="shared" si="150"/>
        <v>293.3872365640849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40.30121527665176</v>
      </c>
      <c r="DG167" s="21">
        <f>EXP(-LN(2)/25)*DG166+(1-EXP(-LN(2)/25))/(LN(2)/25)*Calculateur!DB167*Calculateur!DD167*VLOOKUP('Données projet'!$B$13,Paramètres!$A$1:$I$89,3,0)*0.475*44/12</f>
        <v>7.2082958418118848</v>
      </c>
      <c r="DH167" s="21">
        <f>EXP(-LN(2)/2)*DH166+(1-EXP(-LN(2)/2))/(LN(2)/2)*DB167*DE167*VLOOKUP('Données projet'!$B$13,Paramètres!$A$1:$I$89,3,0)*0.475*44/12</f>
        <v>1.8398116099054943E-11</v>
      </c>
      <c r="DI167" s="22">
        <f t="shared" si="175"/>
        <v>47.509511118482038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5.6843418860808015E-13</v>
      </c>
      <c r="DP167" s="17">
        <f>DO167*VLOOKUP('Données projet'!$B$14,Paramètres!$A$1:$I$89,3,0)*VLOOKUP('Données projet'!$B$14,Paramètres!$A$1:$I$89,5,0)</f>
        <v>3.177547114319168E-13</v>
      </c>
      <c r="DQ167" s="13">
        <f t="shared" si="176"/>
        <v>4.1725404435445377E-12</v>
      </c>
      <c r="DR167" s="20">
        <f t="shared" si="177"/>
        <v>7.820597394917325E-12</v>
      </c>
      <c r="DS167" s="59">
        <f t="shared" si="125"/>
        <v>293.33333333334116</v>
      </c>
      <c r="DT167" s="59">
        <f ca="1">AVERAGE(OFFSET($DS$3,0,0,'Données projet'!$E$14+1,1))-AVERAGE(OFFSET($H$3,0,0,'Données projet'!$E$14+1,1))</f>
        <v>328.15217666639006</v>
      </c>
      <c r="DU167" s="59">
        <f t="shared" si="152"/>
        <v>305.59175773326308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35.864000884112933</v>
      </c>
      <c r="EB167" s="21">
        <f>EXP(-LN(2)/25)*EB166+(1-EXP(-LN(2)/25))/(LN(2)/25)*Calculateur!DW167*Calculateur!DY167*VLOOKUP('Données projet'!$B$14,Paramètres!$A$1:$I$89,3,0)*0.475*44/12</f>
        <v>5.6656163391711063</v>
      </c>
      <c r="EC167" s="21">
        <f>EXP(-LN(2)/2)*EC166+(1-EXP(-LN(2)/2))/(LN(2)/2)*DW167*DZ167*VLOOKUP('Données projet'!$B$14,Paramètres!$A$1:$I$89,3,0)*0.475*44/12</f>
        <v>5.3649901817337244E-13</v>
      </c>
      <c r="ED167" s="22">
        <f t="shared" si="178"/>
        <v>41.529617223284582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159.78276497127206</v>
      </c>
      <c r="EP167" s="59">
        <f t="shared" si="154"/>
        <v>190.72163407919857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0.85378666079444798</v>
      </c>
      <c r="EW167" s="21">
        <f>EXP(-LN(2)/25)*EW166+(1-EXP(-LN(2)/25))/(LN(2)/25)*Calculateur!ER167*Calculateur!ET167*VLOOKUP('Données projet'!$B$15,Paramètres!$A$1:$I$89,3,0)*0.475*44/12</f>
        <v>1.8976082440575324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2.7513949048519803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6.2527760746888816E-13</v>
      </c>
      <c r="FF167" s="17">
        <f>FE167*VLOOKUP('Données projet'!$B$16,Paramètres!$A$1:$I$89,3,0)*VLOOKUP('Données projet'!$B$16,Paramètres!$A$1:$I$89,5,0)</f>
        <v>5.3648818720830608E-13</v>
      </c>
      <c r="FG167" s="13">
        <f t="shared" si="182"/>
        <v>6.6281362235424649E-12</v>
      </c>
      <c r="FH167" s="20">
        <f t="shared" si="183"/>
        <v>1.2478387515390925E-11</v>
      </c>
      <c r="FI167" s="59">
        <f t="shared" si="131"/>
        <v>293.33333333334582</v>
      </c>
      <c r="FJ167" s="59">
        <f ca="1">AVERAGE(OFFSET($FI$3,0,0,'Données projet'!$E$16+1,1))-AVERAGE(OFFSET($H$3,0,0,'Données projet'!$E$16+1,1))</f>
        <v>337.15023592377008</v>
      </c>
      <c r="FK167" s="59">
        <f t="shared" si="156"/>
        <v>286.60608582587099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75.217492919369946</v>
      </c>
      <c r="FR167" s="21">
        <f>EXP(-LN(2)/25)*FR166+(1-EXP(-LN(2)/25))/(LN(2)/25)*Calculateur!FM167*Calculateur!FO167*VLOOKUP('Données projet'!$B$16,Paramètres!$A$1:$I$89,3,0)*0.475*44/12</f>
        <v>15.583788211087962</v>
      </c>
      <c r="FS167" s="21">
        <f>EXP(-LN(2)/2)*FS166+(1-EXP(-LN(2)/2))/(LN(2)/2)*FM167*FP167*VLOOKUP('Données projet'!$B$16,Paramètres!$A$1:$I$89,3,0)*0.475*44/12</f>
        <v>4.7488651997931114E-3</v>
      </c>
      <c r="FT167" s="22">
        <f t="shared" si="184"/>
        <v>90.806029995657696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>
        <f>VLOOKUP(A167,'Données projet'!$A$243:$I$263,2,0)</f>
        <v>580.32000000000005</v>
      </c>
      <c r="FX167" s="12">
        <f>VLOOKUP(A167,'Données projet'!$A$243:$I$263,9,0)</f>
        <v>9.4880000000000049</v>
      </c>
      <c r="FY167" s="12">
        <f t="array" ref="FY167">INDEX(FX:FX,MIN(IF(ISNUMBER(FX167:FX363),ROW(FX167:FX363),"")))</f>
        <v>9.4880000000000049</v>
      </c>
      <c r="FZ167" s="12">
        <f>IF('Données projet'!$A$244&gt;35,FZ166+FY167-GH166,IF(A167&lt;'Données projet'!$A$244,$FW$205^A167,IF(A167='Données projet'!$A$244,'Données projet'!$B$244,FZ166+FY167-GH166)))</f>
        <v>580.32000000000141</v>
      </c>
      <c r="GA167" s="17">
        <f>FZ167*VLOOKUP('Données projet'!$B$17,Paramètres!$A$1:$I$89,3,0)*VLOOKUP('Données projet'!$B$17,Paramètres!$A$1:$I$89,5,0)</f>
        <v>525.07353600000124</v>
      </c>
      <c r="GB167" s="13">
        <f t="shared" si="185"/>
        <v>116.71819745258949</v>
      </c>
      <c r="GC167" s="20">
        <f t="shared" si="186"/>
        <v>1117.7872690965953</v>
      </c>
      <c r="GD167" s="59">
        <f t="shared" si="134"/>
        <v>1411.1206024299286</v>
      </c>
      <c r="GE167" s="59">
        <f ca="1">AVERAGE(OFFSET($GD$3,0,0,'Données projet'!$E$17+1,1))-AVERAGE(OFFSET($H$3,0,0,'Données projet'!$E$17+1,1))</f>
        <v>486.55344536255876</v>
      </c>
      <c r="GF167" s="59">
        <f t="shared" si="158"/>
        <v>231.14794884432229</v>
      </c>
      <c r="GG167" s="15">
        <f>IF(ISNA(VLOOKUP(A167,'Données projet'!$A$243:$I$263,3,0)),0,VLOOKUP(A167,'Données projet'!$A$243:$I$263,3,0))</f>
        <v>14</v>
      </c>
      <c r="GH167" s="15">
        <f>IF(ISNA(VLOOKUP(A167,'Données projet'!$A$243:$I$263,4,0)),0,VLOOKUP(A167,'Données projet'!$A$243:$I$263,4,0))</f>
        <v>66.020000000000095</v>
      </c>
      <c r="GI167" s="16">
        <f>IF(ISNA(VLOOKUP(A167,'Données projet'!$A$243:$I$263,5,0)),0%,VLOOKUP(A167,'Données projet'!$A$243:$I$263,5,0)*VLOOKUP('Données projet'!$B$17,Paramètres!$A$1:$I$89,7,0))</f>
        <v>0.215</v>
      </c>
      <c r="GJ167" s="16">
        <f>IF(ISNA(VLOOKUP(A167,'Données projet'!$A$243:$I$263,6,0)),0%,VLOOKUP(A167,'Données projet'!$A$243:$I$263,6,0)*VLOOKUP('Données projet'!$B$17,Paramètres!$A$1:$I$89,7,0))</f>
        <v>8.6000000000000007E-2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58.613038082092139</v>
      </c>
      <c r="GM167" s="21">
        <f>EXP(-LN(2)/25)*GM166+(1-EXP(-LN(2)/25))/(LN(2)/25)*Calculateur!GH167*Calculateur!GJ167*VLOOKUP('Données projet'!$B$17,Paramètres!$A$1:$I$89,3,0)*0.475*44/12</f>
        <v>23.008073260464958</v>
      </c>
      <c r="GN167" s="21">
        <f>EXP(-LN(2)/2)*GN166+(1-EXP(-LN(2)/2))/(LN(2)/2)*GH167*GK167*VLOOKUP('Données projet'!$B$17,Paramètres!$A$1:$I$89,3,0)*0.475*44/12</f>
        <v>4.8694423079725579E-6</v>
      </c>
      <c r="GO167" s="21">
        <f t="shared" si="187"/>
        <v>81.621116211999407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522.93439764724519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252.08270526008477</v>
      </c>
      <c r="T168" s="59">
        <f t="shared" si="142"/>
        <v>239.77811108960179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47.656695269682388</v>
      </c>
      <c r="AA168" s="21">
        <f>EXP(-LN(2)/25)*AA167+(1-EXP(-LN(2)/25))/(LN(2)/25)*Calculateur!V168*Calculateur!X168*VLOOKUP('Données projet'!$B$9,Paramètres!$A$1:$I$89,3,0)*0.475*44/12</f>
        <v>9.0114137590128074</v>
      </c>
      <c r="AB168" s="21">
        <f>EXP(-LN(2)/2)*AB167+(1-EXP(-LN(2)/2))/(LN(2)/2)*V168*Y168*VLOOKUP('Données projet'!$B$9,Paramètres!$A$1:$I$89,3,0)*0.475*44/12</f>
        <v>9.0034530443351554E-9</v>
      </c>
      <c r="AC168" s="22">
        <f t="shared" si="163"/>
        <v>56.668109037698649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251.64326096359997</v>
      </c>
      <c r="AO168" s="59">
        <f t="shared" si="144"/>
        <v>256.72142151189894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17.358638614933039</v>
      </c>
      <c r="AV168" s="21">
        <f>EXP(-LN(2)/25)*AV167+(1-EXP(-LN(2)/25))/(LN(2)/25)*Calculateur!AQ168*Calculateur!AS168*VLOOKUP('Données projet'!$B$10,Paramètres!$A$1:$I$89,3,0)*0.475*44/12</f>
        <v>2.6356200016048432</v>
      </c>
      <c r="AW168" s="21">
        <f>EXP(-LN(2)/2)*AW167+(1-EXP(-LN(2)/2))/(LN(2)/2)*AQ168*AT168*VLOOKUP('Données projet'!$B$10,Paramètres!$A$1:$I$89,3,0)*0.475*44/12</f>
        <v>9.4145009188745685E-15</v>
      </c>
      <c r="AX168" s="21">
        <f t="shared" si="166"/>
        <v>19.994258616537891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199.29783428981898</v>
      </c>
      <c r="BJ168" s="59">
        <f t="shared" si="146"/>
        <v>237.32002274562547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0.72066170199623869</v>
      </c>
      <c r="BQ168" s="21">
        <f>EXP(-LN(2)/25)*BQ167+(1-EXP(-LN(2)/25))/(LN(2)/25)*Calculateur!BL168*Calculateur!BN168*VLOOKUP('Données projet'!$B$11,Paramètres!$A$1:$I$89,3,0)*0.475*44/12</f>
        <v>1.5890892634781018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2.3097509654743407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2.5579538487363607E-13</v>
      </c>
      <c r="BZ168" s="13">
        <f>BY168*VLOOKUP('Données projet'!$B$12,Paramètres!$A$1:$I$89,3,0)*VLOOKUP('Données projet'!$B$12,Paramètres!$A$1:$I$89,5,0)</f>
        <v>2.1548203221755105E-13</v>
      </c>
      <c r="CA168" s="13">
        <f t="shared" si="170"/>
        <v>2.9604251148637229E-12</v>
      </c>
      <c r="CB168" s="20">
        <f t="shared" si="171"/>
        <v>5.5313716144998842E-12</v>
      </c>
      <c r="CC168" s="59">
        <f t="shared" si="119"/>
        <v>293.33333333333883</v>
      </c>
      <c r="CD168" s="59">
        <f ca="1">AVERAGE(OFFSET($CC$3,0,0,'Données projet'!$E$12+1,1))-AVERAGE(OFFSET($H$3,0,0,'Données projet'!$E$12+1,1))</f>
        <v>295.59075210589327</v>
      </c>
      <c r="CE168" s="59">
        <f t="shared" si="148"/>
        <v>210.41181542059576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52.587902898559818</v>
      </c>
      <c r="CL168" s="21">
        <f>EXP(-LN(2)/25)*CL167+(1-EXP(-LN(2)/25))/(LN(2)/25)*Calculateur!CG168*Calculateur!CI168*VLOOKUP('Données projet'!$B$12,Paramètres!$A$1:$I$89,3,0)*0.475*44/12</f>
        <v>8.3051837594950548</v>
      </c>
      <c r="CM168" s="21">
        <f>EXP(-LN(2)/2)*CM167+(1-EXP(-LN(2)/2))/(LN(2)/2)*CG168*CJ168*VLOOKUP('Données projet'!$B$12,Paramètres!$A$1:$I$89,3,0)*0.475*44/12</f>
        <v>3.4201062591769848E-5</v>
      </c>
      <c r="CN168" s="22">
        <f t="shared" si="172"/>
        <v>60.89312085911746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5.1727511163335289E-14</v>
      </c>
      <c r="CV168" s="13">
        <f t="shared" si="173"/>
        <v>8.3906664221915895E-13</v>
      </c>
      <c r="CW168" s="20">
        <f t="shared" si="174"/>
        <v>1.551466483807844E-12</v>
      </c>
      <c r="CX168" s="59">
        <f t="shared" si="122"/>
        <v>293.33333333333485</v>
      </c>
      <c r="CY168" s="59">
        <f ca="1">AVERAGE(OFFSET($CX$3,0,0,'Données projet'!$E$13+1,1))-AVERAGE(OFFSET($H$3,0,0,'Données projet'!$E$13+1,1))</f>
        <v>338.22448697444298</v>
      </c>
      <c r="CZ168" s="59">
        <f t="shared" si="150"/>
        <v>293.3872365640849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39.510933026390738</v>
      </c>
      <c r="DG168" s="21">
        <f>EXP(-LN(2)/25)*DG167+(1-EXP(-LN(2)/25))/(LN(2)/25)*Calculateur!DB168*Calculateur!DD168*VLOOKUP('Données projet'!$B$13,Paramètres!$A$1:$I$89,3,0)*0.475*44/12</f>
        <v>7.0111846129497355</v>
      </c>
      <c r="DH168" s="21">
        <f>EXP(-LN(2)/2)*DH167+(1-EXP(-LN(2)/2))/(LN(2)/2)*DB168*DE168*VLOOKUP('Données projet'!$B$13,Paramètres!$A$1:$I$89,3,0)*0.475*44/12</f>
        <v>1.3009432654699141E-11</v>
      </c>
      <c r="DI168" s="22">
        <f t="shared" si="175"/>
        <v>46.522117639353482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5.6843418860808015E-13</v>
      </c>
      <c r="DP168" s="17">
        <f>DO168*VLOOKUP('Données projet'!$B$14,Paramètres!$A$1:$I$89,3,0)*VLOOKUP('Données projet'!$B$14,Paramètres!$A$1:$I$89,5,0)</f>
        <v>3.177547114319168E-13</v>
      </c>
      <c r="DQ168" s="13">
        <f t="shared" si="176"/>
        <v>4.1725404435445377E-12</v>
      </c>
      <c r="DR168" s="20">
        <f t="shared" si="177"/>
        <v>7.820597394917325E-12</v>
      </c>
      <c r="DS168" s="59">
        <f t="shared" si="125"/>
        <v>293.33333333334116</v>
      </c>
      <c r="DT168" s="59">
        <f ca="1">AVERAGE(OFFSET($DS$3,0,0,'Données projet'!$E$14+1,1))-AVERAGE(OFFSET($H$3,0,0,'Données projet'!$E$14+1,1))</f>
        <v>328.15217666639006</v>
      </c>
      <c r="DU168" s="59">
        <f t="shared" si="152"/>
        <v>305.59175773326308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35.160729701656052</v>
      </c>
      <c r="EB168" s="21">
        <f>EXP(-LN(2)/25)*EB167+(1-EXP(-LN(2)/25))/(LN(2)/25)*Calculateur!DW168*Calculateur!DY168*VLOOKUP('Données projet'!$B$14,Paramètres!$A$1:$I$89,3,0)*0.475*44/12</f>
        <v>5.5106897624346578</v>
      </c>
      <c r="EC168" s="21">
        <f>EXP(-LN(2)/2)*EC167+(1-EXP(-LN(2)/2))/(LN(2)/2)*DW168*DZ168*VLOOKUP('Données projet'!$B$14,Paramètres!$A$1:$I$89,3,0)*0.475*44/12</f>
        <v>3.7936209385031646E-13</v>
      </c>
      <c r="ED168" s="22">
        <f t="shared" si="178"/>
        <v>40.671419464091088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159.78276497127206</v>
      </c>
      <c r="EP168" s="59">
        <f t="shared" si="154"/>
        <v>190.72163407919857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0.83704442513471133</v>
      </c>
      <c r="EW168" s="21">
        <f>EXP(-LN(2)/25)*EW167+(1-EXP(-LN(2)/25))/(LN(2)/25)*Calculateur!ER168*Calculateur!ET168*VLOOKUP('Données projet'!$B$15,Paramètres!$A$1:$I$89,3,0)*0.475*44/12</f>
        <v>1.8457180468328986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2.6827624719676102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6.2527760746888816E-13</v>
      </c>
      <c r="FF168" s="17">
        <f>FE168*VLOOKUP('Données projet'!$B$16,Paramètres!$A$1:$I$89,3,0)*VLOOKUP('Données projet'!$B$16,Paramètres!$A$1:$I$89,5,0)</f>
        <v>5.3648818720830608E-13</v>
      </c>
      <c r="FG168" s="13">
        <f t="shared" si="182"/>
        <v>6.6281362235424649E-12</v>
      </c>
      <c r="FH168" s="20">
        <f t="shared" si="183"/>
        <v>1.2478387515390925E-11</v>
      </c>
      <c r="FI168" s="59">
        <f t="shared" si="131"/>
        <v>293.33333333334582</v>
      </c>
      <c r="FJ168" s="59">
        <f ca="1">AVERAGE(OFFSET($FI$3,0,0,'Données projet'!$E$16+1,1))-AVERAGE(OFFSET($H$3,0,0,'Données projet'!$E$16+1,1))</f>
        <v>337.15023592377008</v>
      </c>
      <c r="FK168" s="59">
        <f t="shared" si="156"/>
        <v>286.60608582587099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73.742523761361696</v>
      </c>
      <c r="FR168" s="21">
        <f>EXP(-LN(2)/25)*FR167+(1-EXP(-LN(2)/25))/(LN(2)/25)*Calculateur!FM168*Calculateur!FO168*VLOOKUP('Données projet'!$B$16,Paramètres!$A$1:$I$89,3,0)*0.475*44/12</f>
        <v>15.157648702939957</v>
      </c>
      <c r="FS168" s="21">
        <f>EXP(-LN(2)/2)*FS167+(1-EXP(-LN(2)/2))/(LN(2)/2)*FM168*FP168*VLOOKUP('Données projet'!$B$16,Paramètres!$A$1:$I$89,3,0)*0.475*44/12</f>
        <v>3.357954785714518E-3</v>
      </c>
      <c r="FT168" s="22">
        <f t="shared" si="184"/>
        <v>88.90353041908736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9.6220000000000034</v>
      </c>
      <c r="FZ168" s="12">
        <f>IF('Données projet'!$A$244&gt;35,FZ167+FY168-GH167,IF(A168&lt;'Données projet'!$A$244,$FW$205^A168,IF(A168='Données projet'!$A$244,'Données projet'!$B$244,FZ167+FY168-GH167)))</f>
        <v>523.92200000000128</v>
      </c>
      <c r="GA168" s="17">
        <f>FZ168*VLOOKUP('Données projet'!$B$17,Paramètres!$A$1:$I$89,3,0)*VLOOKUP('Données projet'!$B$17,Paramètres!$A$1:$I$89,5,0)</f>
        <v>474.04462560000115</v>
      </c>
      <c r="GB168" s="13">
        <f t="shared" si="185"/>
        <v>106.63651269520395</v>
      </c>
      <c r="GC168" s="20">
        <f t="shared" si="186"/>
        <v>1011.3529825308154</v>
      </c>
      <c r="GD168" s="59">
        <f t="shared" si="134"/>
        <v>1304.6863158641488</v>
      </c>
      <c r="GE168" s="59">
        <f ca="1">AVERAGE(OFFSET($GD$3,0,0,'Données projet'!$E$17+1,1))-AVERAGE(OFFSET($H$3,0,0,'Données projet'!$E$17+1,1))</f>
        <v>486.55344536255876</v>
      </c>
      <c r="GF168" s="59">
        <f t="shared" si="158"/>
        <v>231.14794884432229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57.463672155725483</v>
      </c>
      <c r="GM168" s="21">
        <f>EXP(-LN(2)/25)*GM167+(1-EXP(-LN(2)/25))/(LN(2)/25)*Calculateur!GH168*Calculateur!GJ168*VLOOKUP('Données projet'!$B$17,Paramètres!$A$1:$I$89,3,0)*0.475*44/12</f>
        <v>22.378916287215556</v>
      </c>
      <c r="GN168" s="21">
        <f>EXP(-LN(2)/2)*GN167+(1-EXP(-LN(2)/2))/(LN(2)/2)*GH168*GK168*VLOOKUP('Données projet'!$B$17,Paramètres!$A$1:$I$89,3,0)*0.475*44/12</f>
        <v>3.4432156765640685E-6</v>
      </c>
      <c r="GO168" s="21">
        <f t="shared" si="187"/>
        <v>79.842591886156711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524.50883860619535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252.08270526008477</v>
      </c>
      <c r="T169" s="59">
        <f t="shared" si="142"/>
        <v>239.77811108960179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46.722176543157829</v>
      </c>
      <c r="AA169" s="21">
        <f>EXP(-LN(2)/25)*AA168+(1-EXP(-LN(2)/25))/(LN(2)/25)*Calculateur!V169*Calculateur!X169*VLOOKUP('Données projet'!$B$9,Paramètres!$A$1:$I$89,3,0)*0.475*44/12</f>
        <v>8.7649961758829491</v>
      </c>
      <c r="AB169" s="21">
        <f>EXP(-LN(2)/2)*AB168+(1-EXP(-LN(2)/2))/(LN(2)/2)*V169*Y169*VLOOKUP('Données projet'!$B$9,Paramètres!$A$1:$I$89,3,0)*0.475*44/12</f>
        <v>6.366402701744054E-9</v>
      </c>
      <c r="AC169" s="22">
        <f t="shared" si="163"/>
        <v>55.487172725407184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251.64326096359997</v>
      </c>
      <c r="AO169" s="59">
        <f t="shared" si="144"/>
        <v>256.72142151189894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17.018246299418305</v>
      </c>
      <c r="AV169" s="21">
        <f>EXP(-LN(2)/25)*AV168+(1-EXP(-LN(2)/25))/(LN(2)/25)*Calculateur!AQ169*Calculateur!AS169*VLOOKUP('Données projet'!$B$10,Paramètres!$A$1:$I$89,3,0)*0.475*44/12</f>
        <v>2.5635488340597266</v>
      </c>
      <c r="AW169" s="21">
        <f>EXP(-LN(2)/2)*AW168+(1-EXP(-LN(2)/2))/(LN(2)/2)*AQ169*AT169*VLOOKUP('Données projet'!$B$10,Paramètres!$A$1:$I$89,3,0)*0.475*44/12</f>
        <v>6.6570574412231902E-15</v>
      </c>
      <c r="AX169" s="21">
        <f t="shared" si="166"/>
        <v>19.581795133478039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199.29783428981898</v>
      </c>
      <c r="BJ169" s="59">
        <f t="shared" si="146"/>
        <v>237.32002274562547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0.70652996558032766</v>
      </c>
      <c r="BQ169" s="21">
        <f>EXP(-LN(2)/25)*BQ168+(1-EXP(-LN(2)/25))/(LN(2)/25)*Calculateur!BL169*Calculateur!BN169*VLOOKUP('Données projet'!$B$11,Paramètres!$A$1:$I$89,3,0)*0.475*44/12</f>
        <v>1.5456355340017207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2.2521654995820484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2.5579538487363607E-13</v>
      </c>
      <c r="BZ169" s="13">
        <f>BY169*VLOOKUP('Données projet'!$B$12,Paramètres!$A$1:$I$89,3,0)*VLOOKUP('Données projet'!$B$12,Paramètres!$A$1:$I$89,5,0)</f>
        <v>2.1548203221755105E-13</v>
      </c>
      <c r="CA169" s="13">
        <f t="shared" si="170"/>
        <v>2.9604251148637229E-12</v>
      </c>
      <c r="CB169" s="20">
        <f t="shared" si="171"/>
        <v>5.5313716144998842E-12</v>
      </c>
      <c r="CC169" s="59">
        <f t="shared" si="119"/>
        <v>293.33333333333883</v>
      </c>
      <c r="CD169" s="59">
        <f ca="1">AVERAGE(OFFSET($CC$3,0,0,'Données projet'!$E$12+1,1))-AVERAGE(OFFSET($H$3,0,0,'Données projet'!$E$12+1,1))</f>
        <v>295.59075210589327</v>
      </c>
      <c r="CE169" s="59">
        <f t="shared" si="148"/>
        <v>210.41181542059576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51.556686198172642</v>
      </c>
      <c r="CL169" s="21">
        <f>EXP(-LN(2)/25)*CL168+(1-EXP(-LN(2)/25))/(LN(2)/25)*Calculateur!CG169*Calculateur!CI169*VLOOKUP('Données projet'!$B$12,Paramètres!$A$1:$I$89,3,0)*0.475*44/12</f>
        <v>8.0780780728410306</v>
      </c>
      <c r="CM169" s="21">
        <f>EXP(-LN(2)/2)*CM168+(1-EXP(-LN(2)/2))/(LN(2)/2)*CG169*CJ169*VLOOKUP('Données projet'!$B$12,Paramètres!$A$1:$I$89,3,0)*0.475*44/12</f>
        <v>2.4183803282426018E-5</v>
      </c>
      <c r="CN169" s="22">
        <f t="shared" si="172"/>
        <v>59.634788454816956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5.1727511163335289E-14</v>
      </c>
      <c r="CV169" s="13">
        <f t="shared" si="173"/>
        <v>8.3906664221915895E-13</v>
      </c>
      <c r="CW169" s="20">
        <f t="shared" si="174"/>
        <v>1.551466483807844E-12</v>
      </c>
      <c r="CX169" s="59">
        <f t="shared" si="122"/>
        <v>293.33333333333485</v>
      </c>
      <c r="CY169" s="59">
        <f ca="1">AVERAGE(OFFSET($CX$3,0,0,'Données projet'!$E$13+1,1))-AVERAGE(OFFSET($H$3,0,0,'Données projet'!$E$13+1,1))</f>
        <v>338.22448697444298</v>
      </c>
      <c r="CZ169" s="59">
        <f t="shared" si="150"/>
        <v>293.3872365640849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38.736147729032751</v>
      </c>
      <c r="DG169" s="21">
        <f>EXP(-LN(2)/25)*DG168+(1-EXP(-LN(2)/25))/(LN(2)/25)*Calculateur!DB169*Calculateur!DD169*VLOOKUP('Données projet'!$B$13,Paramètres!$A$1:$I$89,3,0)*0.475*44/12</f>
        <v>6.8194634010064501</v>
      </c>
      <c r="DH169" s="21">
        <f>EXP(-LN(2)/2)*DH168+(1-EXP(-LN(2)/2))/(LN(2)/2)*DB169*DE169*VLOOKUP('Données projet'!$B$13,Paramètres!$A$1:$I$89,3,0)*0.475*44/12</f>
        <v>9.1990580495274717E-12</v>
      </c>
      <c r="DI169" s="22">
        <f t="shared" si="175"/>
        <v>45.555611130048405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5.6843418860808015E-13</v>
      </c>
      <c r="DP169" s="17">
        <f>DO169*VLOOKUP('Données projet'!$B$14,Paramètres!$A$1:$I$89,3,0)*VLOOKUP('Données projet'!$B$14,Paramètres!$A$1:$I$89,5,0)</f>
        <v>3.177547114319168E-13</v>
      </c>
      <c r="DQ169" s="13">
        <f t="shared" si="176"/>
        <v>4.1725404435445377E-12</v>
      </c>
      <c r="DR169" s="20">
        <f t="shared" si="177"/>
        <v>7.820597394917325E-12</v>
      </c>
      <c r="DS169" s="59">
        <f t="shared" si="125"/>
        <v>293.33333333334116</v>
      </c>
      <c r="DT169" s="59">
        <f ca="1">AVERAGE(OFFSET($DS$3,0,0,'Données projet'!$E$14+1,1))-AVERAGE(OFFSET($H$3,0,0,'Données projet'!$E$14+1,1))</f>
        <v>328.15217666639006</v>
      </c>
      <c r="DU169" s="59">
        <f t="shared" si="152"/>
        <v>305.59175773326308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34.471249238134085</v>
      </c>
      <c r="EB169" s="21">
        <f>EXP(-LN(2)/25)*EB168+(1-EXP(-LN(2)/25))/(LN(2)/25)*Calculateur!DW169*Calculateur!DY169*VLOOKUP('Données projet'!$B$14,Paramètres!$A$1:$I$89,3,0)*0.475*44/12</f>
        <v>5.3599996610863023</v>
      </c>
      <c r="EC169" s="21">
        <f>EXP(-LN(2)/2)*EC168+(1-EXP(-LN(2)/2))/(LN(2)/2)*DW169*DZ169*VLOOKUP('Données projet'!$B$14,Paramètres!$A$1:$I$89,3,0)*0.475*44/12</f>
        <v>2.6824950908668622E-13</v>
      </c>
      <c r="ED169" s="22">
        <f t="shared" si="178"/>
        <v>39.831248899220654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159.78276497127206</v>
      </c>
      <c r="EP169" s="59">
        <f t="shared" si="154"/>
        <v>190.72163407919857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0.82063049450450665</v>
      </c>
      <c r="EW169" s="21">
        <f>EXP(-LN(2)/25)*EW168+(1-EXP(-LN(2)/25))/(LN(2)/25)*Calculateur!ER169*Calculateur!ET169*VLOOKUP('Données projet'!$B$15,Paramètres!$A$1:$I$89,3,0)*0.475*44/12</f>
        <v>1.7952467897801594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2.6158772842846663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6.2527760746888816E-13</v>
      </c>
      <c r="FF169" s="17">
        <f>FE169*VLOOKUP('Données projet'!$B$16,Paramètres!$A$1:$I$89,3,0)*VLOOKUP('Données projet'!$B$16,Paramètres!$A$1:$I$89,5,0)</f>
        <v>5.3648818720830608E-13</v>
      </c>
      <c r="FG169" s="13">
        <f t="shared" si="182"/>
        <v>6.6281362235424649E-12</v>
      </c>
      <c r="FH169" s="20">
        <f t="shared" si="183"/>
        <v>1.2478387515390925E-11</v>
      </c>
      <c r="FI169" s="59">
        <f t="shared" si="131"/>
        <v>293.33333333334582</v>
      </c>
      <c r="FJ169" s="59">
        <f ca="1">AVERAGE(OFFSET($FI$3,0,0,'Données projet'!$E$16+1,1))-AVERAGE(OFFSET($H$3,0,0,'Données projet'!$E$16+1,1))</f>
        <v>337.15023592377008</v>
      </c>
      <c r="FK169" s="59">
        <f t="shared" si="156"/>
        <v>286.60608582587099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72.296477848899627</v>
      </c>
      <c r="FR169" s="21">
        <f>EXP(-LN(2)/25)*FR168+(1-EXP(-LN(2)/25))/(LN(2)/25)*Calculateur!FM169*Calculateur!FO169*VLOOKUP('Données projet'!$B$16,Paramètres!$A$1:$I$89,3,0)*0.475*44/12</f>
        <v>14.743162002051962</v>
      </c>
      <c r="FS169" s="21">
        <f>EXP(-LN(2)/2)*FS168+(1-EXP(-LN(2)/2))/(LN(2)/2)*FM169*FP169*VLOOKUP('Données projet'!$B$16,Paramètres!$A$1:$I$89,3,0)*0.475*44/12</f>
        <v>2.3744325998965557E-3</v>
      </c>
      <c r="FT169" s="22">
        <f t="shared" si="184"/>
        <v>87.042014283551481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9.6220000000000034</v>
      </c>
      <c r="FZ169" s="12">
        <f>IF('Données projet'!$A$244&gt;35,FZ168+FY169-GH168,IF(A169&lt;'Données projet'!$A$244,$FW$205^A169,IF(A169='Données projet'!$A$244,'Données projet'!$B$244,FZ168+FY169-GH168)))</f>
        <v>533.54400000000123</v>
      </c>
      <c r="GA169" s="17">
        <f>FZ169*VLOOKUP('Données projet'!$B$17,Paramètres!$A$1:$I$89,3,0)*VLOOKUP('Données projet'!$B$17,Paramètres!$A$1:$I$89,5,0)</f>
        <v>482.75061120000112</v>
      </c>
      <c r="GB169" s="13">
        <f t="shared" si="185"/>
        <v>108.36513078962237</v>
      </c>
      <c r="GC169" s="20">
        <f t="shared" si="186"/>
        <v>1029.5265839652609</v>
      </c>
      <c r="GD169" s="59">
        <f t="shared" si="134"/>
        <v>1322.8599172985942</v>
      </c>
      <c r="GE169" s="59">
        <f ca="1">AVERAGE(OFFSET($GD$3,0,0,'Données projet'!$E$17+1,1))-AVERAGE(OFFSET($H$3,0,0,'Données projet'!$E$17+1,1))</f>
        <v>486.55344536255876</v>
      </c>
      <c r="GF169" s="59">
        <f t="shared" si="158"/>
        <v>231.14794884432229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56.336844594130881</v>
      </c>
      <c r="GM169" s="21">
        <f>EXP(-LN(2)/25)*GM168+(1-EXP(-LN(2)/25))/(LN(2)/25)*Calculateur!GH169*Calculateur!GJ169*VLOOKUP('Données projet'!$B$17,Paramètres!$A$1:$I$89,3,0)*0.475*44/12</f>
        <v>21.766963644485589</v>
      </c>
      <c r="GN169" s="21">
        <f>EXP(-LN(2)/2)*GN168+(1-EXP(-LN(2)/2))/(LN(2)/2)*GH169*GK169*VLOOKUP('Données projet'!$B$17,Paramètres!$A$1:$I$89,3,0)*0.475*44/12</f>
        <v>2.434721153986279E-6</v>
      </c>
      <c r="GO169" s="21">
        <f t="shared" si="187"/>
        <v>78.10381067333762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526.08307106287509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252.08270526008477</v>
      </c>
      <c r="T170" s="59">
        <f t="shared" si="142"/>
        <v>239.77811108960179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45.805983158860279</v>
      </c>
      <c r="AA170" s="21">
        <f>EXP(-LN(2)/25)*AA169+(1-EXP(-LN(2)/25))/(LN(2)/25)*Calculateur!V170*Calculateur!X170*VLOOKUP('Données projet'!$B$9,Paramètres!$A$1:$I$89,3,0)*0.475*44/12</f>
        <v>8.5253168945223141</v>
      </c>
      <c r="AB170" s="21">
        <f>EXP(-LN(2)/2)*AB169+(1-EXP(-LN(2)/2))/(LN(2)/2)*V170*Y170*VLOOKUP('Données projet'!$B$9,Paramètres!$A$1:$I$89,3,0)*0.475*44/12</f>
        <v>4.5017265221675777E-9</v>
      </c>
      <c r="AC170" s="22">
        <f t="shared" si="163"/>
        <v>54.33130005788432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251.64326096359997</v>
      </c>
      <c r="AO170" s="59">
        <f t="shared" si="144"/>
        <v>256.72142151189894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16.684528869592004</v>
      </c>
      <c r="AV170" s="21">
        <f>EXP(-LN(2)/25)*AV169+(1-EXP(-LN(2)/25))/(LN(2)/25)*Calculateur!AQ170*Calculateur!AS170*VLOOKUP('Données projet'!$B$10,Paramètres!$A$1:$I$89,3,0)*0.475*44/12</f>
        <v>2.4934484563811892</v>
      </c>
      <c r="AW170" s="21">
        <f>EXP(-LN(2)/2)*AW169+(1-EXP(-LN(2)/2))/(LN(2)/2)*AQ170*AT170*VLOOKUP('Données projet'!$B$10,Paramètres!$A$1:$I$89,3,0)*0.475*44/12</f>
        <v>4.7072504594372843E-15</v>
      </c>
      <c r="AX170" s="21">
        <f t="shared" si="166"/>
        <v>19.177977325973195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199.29783428981898</v>
      </c>
      <c r="BJ170" s="59">
        <f t="shared" si="146"/>
        <v>237.32002274562547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0.69267534389602459</v>
      </c>
      <c r="BQ170" s="21">
        <f>EXP(-LN(2)/25)*BQ169+(1-EXP(-LN(2)/25))/(LN(2)/25)*Calculateur!BL170*Calculateur!BN170*VLOOKUP('Données projet'!$B$11,Paramètres!$A$1:$I$89,3,0)*0.475*44/12</f>
        <v>1.5033700490430035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2.1960453929390282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2.5579538487363607E-13</v>
      </c>
      <c r="BZ170" s="13">
        <f>BY170*VLOOKUP('Données projet'!$B$12,Paramètres!$A$1:$I$89,3,0)*VLOOKUP('Données projet'!$B$12,Paramètres!$A$1:$I$89,5,0)</f>
        <v>2.1548203221755105E-13</v>
      </c>
      <c r="CA170" s="13">
        <f t="shared" si="170"/>
        <v>2.9604251148637229E-12</v>
      </c>
      <c r="CB170" s="20">
        <f t="shared" si="171"/>
        <v>5.5313716144998842E-12</v>
      </c>
      <c r="CC170" s="59">
        <f t="shared" si="119"/>
        <v>293.33333333333883</v>
      </c>
      <c r="CD170" s="59">
        <f ca="1">AVERAGE(OFFSET($CC$3,0,0,'Données projet'!$E$12+1,1))-AVERAGE(OFFSET($H$3,0,0,'Données projet'!$E$12+1,1))</f>
        <v>295.59075210589327</v>
      </c>
      <c r="CE170" s="59">
        <f t="shared" si="148"/>
        <v>210.41181542059576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50.545691028299977</v>
      </c>
      <c r="CL170" s="21">
        <f>EXP(-LN(2)/25)*CL169+(1-EXP(-LN(2)/25))/(LN(2)/25)*Calculateur!CG170*Calculateur!CI170*VLOOKUP('Données projet'!$B$12,Paramètres!$A$1:$I$89,3,0)*0.475*44/12</f>
        <v>7.8571826031315295</v>
      </c>
      <c r="CM170" s="21">
        <f>EXP(-LN(2)/2)*CM169+(1-EXP(-LN(2)/2))/(LN(2)/2)*CG170*CJ170*VLOOKUP('Données projet'!$B$12,Paramètres!$A$1:$I$89,3,0)*0.475*44/12</f>
        <v>1.7100531295884924E-5</v>
      </c>
      <c r="CN170" s="22">
        <f t="shared" si="172"/>
        <v>58.402890731962799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5.1727511163335289E-14</v>
      </c>
      <c r="CV170" s="13">
        <f t="shared" si="173"/>
        <v>8.3906664221915895E-13</v>
      </c>
      <c r="CW170" s="20">
        <f t="shared" si="174"/>
        <v>1.551466483807844E-12</v>
      </c>
      <c r="CX170" s="59">
        <f t="shared" si="122"/>
        <v>293.33333333333485</v>
      </c>
      <c r="CY170" s="59">
        <f ca="1">AVERAGE(OFFSET($CX$3,0,0,'Données projet'!$E$13+1,1))-AVERAGE(OFFSET($H$3,0,0,'Données projet'!$E$13+1,1))</f>
        <v>338.22448697444298</v>
      </c>
      <c r="CZ170" s="59">
        <f t="shared" si="150"/>
        <v>293.3872365640849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37.97655549878359</v>
      </c>
      <c r="DG170" s="21">
        <f>EXP(-LN(2)/25)*DG169+(1-EXP(-LN(2)/25))/(LN(2)/25)*Calculateur!DB170*Calculateur!DD170*VLOOKUP('Données projet'!$B$13,Paramètres!$A$1:$I$89,3,0)*0.475*44/12</f>
        <v>6.6329848156859343</v>
      </c>
      <c r="DH170" s="21">
        <f>EXP(-LN(2)/2)*DH169+(1-EXP(-LN(2)/2))/(LN(2)/2)*DB170*DE170*VLOOKUP('Données projet'!$B$13,Paramètres!$A$1:$I$89,3,0)*0.475*44/12</f>
        <v>6.5047163273495707E-12</v>
      </c>
      <c r="DI170" s="22">
        <f t="shared" si="175"/>
        <v>44.609540314476028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5.6843418860808015E-13</v>
      </c>
      <c r="DP170" s="17">
        <f>DO170*VLOOKUP('Données projet'!$B$14,Paramètres!$A$1:$I$89,3,0)*VLOOKUP('Données projet'!$B$14,Paramètres!$A$1:$I$89,5,0)</f>
        <v>3.177547114319168E-13</v>
      </c>
      <c r="DQ170" s="13">
        <f t="shared" si="176"/>
        <v>4.1725404435445377E-12</v>
      </c>
      <c r="DR170" s="20">
        <f t="shared" si="177"/>
        <v>7.820597394917325E-12</v>
      </c>
      <c r="DS170" s="59">
        <f t="shared" si="125"/>
        <v>293.33333333334116</v>
      </c>
      <c r="DT170" s="59">
        <f ca="1">AVERAGE(OFFSET($DS$3,0,0,'Données projet'!$E$14+1,1))-AVERAGE(OFFSET($H$3,0,0,'Données projet'!$E$14+1,1))</f>
        <v>328.15217666639006</v>
      </c>
      <c r="DU170" s="59">
        <f t="shared" si="152"/>
        <v>305.59175773326308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33.795289065960226</v>
      </c>
      <c r="EB170" s="21">
        <f>EXP(-LN(2)/25)*EB169+(1-EXP(-LN(2)/25))/(LN(2)/25)*Calculateur!DW170*Calculateur!DY170*VLOOKUP('Données projet'!$B$14,Paramètres!$A$1:$I$89,3,0)*0.475*44/12</f>
        <v>5.2134301884837653</v>
      </c>
      <c r="EC170" s="21">
        <f>EXP(-LN(2)/2)*EC169+(1-EXP(-LN(2)/2))/(LN(2)/2)*DW170*DZ170*VLOOKUP('Données projet'!$B$14,Paramètres!$A$1:$I$89,3,0)*0.475*44/12</f>
        <v>1.8968104692515823E-13</v>
      </c>
      <c r="ED170" s="22">
        <f t="shared" si="178"/>
        <v>39.008719254444181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159.78276497127206</v>
      </c>
      <c r="EP170" s="59">
        <f t="shared" si="154"/>
        <v>190.72163407919857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0.80453843104245115</v>
      </c>
      <c r="EW170" s="21">
        <f>EXP(-LN(2)/25)*EW169+(1-EXP(-LN(2)/25))/(LN(2)/25)*Calculateur!ER170*Calculateur!ET170*VLOOKUP('Données projet'!$B$15,Paramètres!$A$1:$I$89,3,0)*0.475*44/12</f>
        <v>1.7461556719056954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2.5506941029481465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6.2527760746888816E-13</v>
      </c>
      <c r="FF170" s="17">
        <f>FE170*VLOOKUP('Données projet'!$B$16,Paramètres!$A$1:$I$89,3,0)*VLOOKUP('Données projet'!$B$16,Paramètres!$A$1:$I$89,5,0)</f>
        <v>5.3648818720830608E-13</v>
      </c>
      <c r="FG170" s="13">
        <f t="shared" si="182"/>
        <v>6.6281362235424649E-12</v>
      </c>
      <c r="FH170" s="20">
        <f t="shared" si="183"/>
        <v>1.2478387515390925E-11</v>
      </c>
      <c r="FI170" s="59">
        <f t="shared" si="131"/>
        <v>293.33333333334582</v>
      </c>
      <c r="FJ170" s="59">
        <f ca="1">AVERAGE(OFFSET($FI$3,0,0,'Données projet'!$E$16+1,1))-AVERAGE(OFFSET($H$3,0,0,'Données projet'!$E$16+1,1))</f>
        <v>337.15023592377008</v>
      </c>
      <c r="FK170" s="59">
        <f t="shared" si="156"/>
        <v>286.60608582587099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70.878788014780028</v>
      </c>
      <c r="FR170" s="21">
        <f>EXP(-LN(2)/25)*FR169+(1-EXP(-LN(2)/25))/(LN(2)/25)*Calculateur!FM170*Calculateur!FO170*VLOOKUP('Données projet'!$B$16,Paramètres!$A$1:$I$89,3,0)*0.475*44/12</f>
        <v>14.340009461796658</v>
      </c>
      <c r="FS170" s="21">
        <f>EXP(-LN(2)/2)*FS169+(1-EXP(-LN(2)/2))/(LN(2)/2)*FM170*FP170*VLOOKUP('Données projet'!$B$16,Paramètres!$A$1:$I$89,3,0)*0.475*44/12</f>
        <v>1.678977392857259E-3</v>
      </c>
      <c r="FT170" s="22">
        <f t="shared" si="184"/>
        <v>85.220476453969539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9.6220000000000034</v>
      </c>
      <c r="FZ170" s="12">
        <f>IF('Données projet'!$A$244&gt;35,FZ169+FY170-GH169,IF(A170&lt;'Données projet'!$A$244,$FW$205^A170,IF(A170='Données projet'!$A$244,'Données projet'!$B$244,FZ169+FY170-GH169)))</f>
        <v>543.16600000000119</v>
      </c>
      <c r="GA170" s="17">
        <f>FZ170*VLOOKUP('Données projet'!$B$17,Paramètres!$A$1:$I$89,3,0)*VLOOKUP('Données projet'!$B$17,Paramètres!$A$1:$I$89,5,0)</f>
        <v>491.45659680000102</v>
      </c>
      <c r="GB170" s="13">
        <f t="shared" si="185"/>
        <v>110.09012381497753</v>
      </c>
      <c r="GC170" s="20">
        <f t="shared" si="186"/>
        <v>1047.6938717377543</v>
      </c>
      <c r="GD170" s="59">
        <f t="shared" si="134"/>
        <v>1341.0272050710876</v>
      </c>
      <c r="GE170" s="59">
        <f ca="1">AVERAGE(OFFSET($GD$3,0,0,'Données projet'!$E$17+1,1))-AVERAGE(OFFSET($H$3,0,0,'Données projet'!$E$17+1,1))</f>
        <v>486.55344536255876</v>
      </c>
      <c r="GF170" s="59">
        <f t="shared" si="158"/>
        <v>231.14794884432229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55.232113433722205</v>
      </c>
      <c r="GM170" s="21">
        <f>EXP(-LN(2)/25)*GM169+(1-EXP(-LN(2)/25))/(LN(2)/25)*Calculateur!GH170*Calculateur!GJ170*VLOOKUP('Données projet'!$B$17,Paramètres!$A$1:$I$89,3,0)*0.475*44/12</f>
        <v>21.171744878952261</v>
      </c>
      <c r="GN170" s="21">
        <f>EXP(-LN(2)/2)*GN169+(1-EXP(-LN(2)/2))/(LN(2)/2)*GH170*GK170*VLOOKUP('Données projet'!$B$17,Paramètres!$A$1:$I$89,3,0)*0.475*44/12</f>
        <v>1.7216078382820342E-6</v>
      </c>
      <c r="GO170" s="21">
        <f t="shared" si="187"/>
        <v>76.403860034282303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527.65709641065928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252.08270526008477</v>
      </c>
      <c r="T171" s="59">
        <f t="shared" si="142"/>
        <v>239.77811108960179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44.90775576800602</v>
      </c>
      <c r="AA171" s="21">
        <f>EXP(-LN(2)/25)*AA170+(1-EXP(-LN(2)/25))/(LN(2)/25)*Calculateur!V171*Calculateur!X171*VLOOKUP('Données projet'!$B$9,Paramètres!$A$1:$I$89,3,0)*0.475*44/12</f>
        <v>8.2921916557146709</v>
      </c>
      <c r="AB171" s="21">
        <f>EXP(-LN(2)/2)*AB170+(1-EXP(-LN(2)/2))/(LN(2)/2)*V171*Y171*VLOOKUP('Données projet'!$B$9,Paramètres!$A$1:$I$89,3,0)*0.475*44/12</f>
        <v>3.183201350872027E-9</v>
      </c>
      <c r="AC171" s="22">
        <f t="shared" si="163"/>
        <v>53.19994742690389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251.64326096359997</v>
      </c>
      <c r="AO171" s="59">
        <f t="shared" si="144"/>
        <v>256.72142151189894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16.357355435017062</v>
      </c>
      <c r="AV171" s="21">
        <f>EXP(-LN(2)/25)*AV170+(1-EXP(-LN(2)/25))/(LN(2)/25)*Calculateur!AQ171*Calculateur!AS171*VLOOKUP('Données projet'!$B$10,Paramètres!$A$1:$I$89,3,0)*0.475*44/12</f>
        <v>2.4252649772166901</v>
      </c>
      <c r="AW171" s="21">
        <f>EXP(-LN(2)/2)*AW170+(1-EXP(-LN(2)/2))/(LN(2)/2)*AQ171*AT171*VLOOKUP('Données projet'!$B$10,Paramètres!$A$1:$I$89,3,0)*0.475*44/12</f>
        <v>3.3285287206115951E-15</v>
      </c>
      <c r="AX171" s="21">
        <f t="shared" si="166"/>
        <v>18.782620412233758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199.29783428981898</v>
      </c>
      <c r="BJ171" s="59">
        <f t="shared" si="146"/>
        <v>237.32002274562547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0.67909240289246586</v>
      </c>
      <c r="BQ171" s="21">
        <f>EXP(-LN(2)/25)*BQ170+(1-EXP(-LN(2)/25))/(LN(2)/25)*Calculateur!BL171*Calculateur!BN171*VLOOKUP('Données projet'!$B$11,Paramètres!$A$1:$I$89,3,0)*0.475*44/12</f>
        <v>1.4622603159931278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2.1413527188855936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2.5579538487363607E-13</v>
      </c>
      <c r="BZ171" s="13">
        <f>BY171*VLOOKUP('Données projet'!$B$12,Paramètres!$A$1:$I$89,3,0)*VLOOKUP('Données projet'!$B$12,Paramètres!$A$1:$I$89,5,0)</f>
        <v>2.1548203221755105E-13</v>
      </c>
      <c r="CA171" s="13">
        <f t="shared" si="170"/>
        <v>2.9604251148637229E-12</v>
      </c>
      <c r="CB171" s="20">
        <f t="shared" si="171"/>
        <v>5.5313716144998842E-12</v>
      </c>
      <c r="CC171" s="59">
        <f t="shared" si="119"/>
        <v>293.33333333333883</v>
      </c>
      <c r="CD171" s="59">
        <f ca="1">AVERAGE(OFFSET($CC$3,0,0,'Données projet'!$E$12+1,1))-AVERAGE(OFFSET($H$3,0,0,'Données projet'!$E$12+1,1))</f>
        <v>295.59075210589327</v>
      </c>
      <c r="CE171" s="59">
        <f t="shared" si="148"/>
        <v>210.41181542059576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49.55452085706235</v>
      </c>
      <c r="CL171" s="21">
        <f>EXP(-LN(2)/25)*CL170+(1-EXP(-LN(2)/25))/(LN(2)/25)*Calculateur!CG171*Calculateur!CI171*VLOOKUP('Données projet'!$B$12,Paramètres!$A$1:$I$89,3,0)*0.475*44/12</f>
        <v>7.6423275316576227</v>
      </c>
      <c r="CM171" s="21">
        <f>EXP(-LN(2)/2)*CM170+(1-EXP(-LN(2)/2))/(LN(2)/2)*CG171*CJ171*VLOOKUP('Données projet'!$B$12,Paramètres!$A$1:$I$89,3,0)*0.475*44/12</f>
        <v>1.2091901641213009E-5</v>
      </c>
      <c r="CN171" s="22">
        <f t="shared" si="172"/>
        <v>57.196860480621609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5.1727511163335289E-14</v>
      </c>
      <c r="CV171" s="13">
        <f t="shared" si="173"/>
        <v>8.3906664221915895E-13</v>
      </c>
      <c r="CW171" s="20">
        <f t="shared" si="174"/>
        <v>1.551466483807844E-12</v>
      </c>
      <c r="CX171" s="59">
        <f t="shared" si="122"/>
        <v>293.33333333333485</v>
      </c>
      <c r="CY171" s="59">
        <f ca="1">AVERAGE(OFFSET($CX$3,0,0,'Données projet'!$E$13+1,1))-AVERAGE(OFFSET($H$3,0,0,'Données projet'!$E$13+1,1))</f>
        <v>338.22448697444298</v>
      </c>
      <c r="CZ171" s="59">
        <f t="shared" si="150"/>
        <v>293.3872365640849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37.231858408864099</v>
      </c>
      <c r="DG171" s="21">
        <f>EXP(-LN(2)/25)*DG170+(1-EXP(-LN(2)/25))/(LN(2)/25)*Calculateur!DB171*Calculateur!DD171*VLOOKUP('Données projet'!$B$13,Paramètres!$A$1:$I$89,3,0)*0.475*44/12</f>
        <v>6.451605497087491</v>
      </c>
      <c r="DH171" s="21">
        <f>EXP(-LN(2)/2)*DH170+(1-EXP(-LN(2)/2))/(LN(2)/2)*DB171*DE171*VLOOKUP('Données projet'!$B$13,Paramètres!$A$1:$I$89,3,0)*0.475*44/12</f>
        <v>4.5995290247637359E-12</v>
      </c>
      <c r="DI171" s="22">
        <f t="shared" si="175"/>
        <v>43.683463905956188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5.6843418860808015E-13</v>
      </c>
      <c r="DP171" s="17">
        <f>DO171*VLOOKUP('Données projet'!$B$14,Paramètres!$A$1:$I$89,3,0)*VLOOKUP('Données projet'!$B$14,Paramètres!$A$1:$I$89,5,0)</f>
        <v>3.177547114319168E-13</v>
      </c>
      <c r="DQ171" s="13">
        <f t="shared" si="176"/>
        <v>4.1725404435445377E-12</v>
      </c>
      <c r="DR171" s="20">
        <f t="shared" si="177"/>
        <v>7.820597394917325E-12</v>
      </c>
      <c r="DS171" s="59">
        <f t="shared" si="125"/>
        <v>293.33333333334116</v>
      </c>
      <c r="DT171" s="59">
        <f ca="1">AVERAGE(OFFSET($DS$3,0,0,'Données projet'!$E$14+1,1))-AVERAGE(OFFSET($H$3,0,0,'Données projet'!$E$14+1,1))</f>
        <v>328.15217666639006</v>
      </c>
      <c r="DU171" s="59">
        <f t="shared" si="152"/>
        <v>305.59175773326308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33.1325840604677</v>
      </c>
      <c r="EB171" s="21">
        <f>EXP(-LN(2)/25)*EB170+(1-EXP(-LN(2)/25))/(LN(2)/25)*Calculateur!DW171*Calculateur!DY171*VLOOKUP('Données projet'!$B$14,Paramètres!$A$1:$I$89,3,0)*0.475*44/12</f>
        <v>5.0708686658172981</v>
      </c>
      <c r="EC171" s="21">
        <f>EXP(-LN(2)/2)*EC170+(1-EXP(-LN(2)/2))/(LN(2)/2)*DW171*DZ171*VLOOKUP('Données projet'!$B$14,Paramètres!$A$1:$I$89,3,0)*0.475*44/12</f>
        <v>1.3412475454334311E-13</v>
      </c>
      <c r="ED171" s="22">
        <f t="shared" si="178"/>
        <v>38.203452726285136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159.78276497127206</v>
      </c>
      <c r="EP171" s="59">
        <f t="shared" si="154"/>
        <v>190.72163407919857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0.78876192312969706</v>
      </c>
      <c r="EW171" s="21">
        <f>EXP(-LN(2)/25)*EW170+(1-EXP(-LN(2)/25))/(LN(2)/25)*Calculateur!ER171*Calculateur!ET171*VLOOKUP('Données projet'!$B$15,Paramètres!$A$1:$I$89,3,0)*0.475*44/12</f>
        <v>1.6984069532310984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2.4871688763607955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6.2527760746888816E-13</v>
      </c>
      <c r="FF171" s="17">
        <f>FE171*VLOOKUP('Données projet'!$B$16,Paramètres!$A$1:$I$89,3,0)*VLOOKUP('Données projet'!$B$16,Paramètres!$A$1:$I$89,5,0)</f>
        <v>5.3648818720830608E-13</v>
      </c>
      <c r="FG171" s="13">
        <f t="shared" si="182"/>
        <v>6.6281362235424649E-12</v>
      </c>
      <c r="FH171" s="20">
        <f t="shared" si="183"/>
        <v>1.2478387515390925E-11</v>
      </c>
      <c r="FI171" s="59">
        <f t="shared" si="131"/>
        <v>293.33333333334582</v>
      </c>
      <c r="FJ171" s="59">
        <f ca="1">AVERAGE(OFFSET($FI$3,0,0,'Données projet'!$E$16+1,1))-AVERAGE(OFFSET($H$3,0,0,'Données projet'!$E$16+1,1))</f>
        <v>337.15023592377008</v>
      </c>
      <c r="FK171" s="59">
        <f t="shared" si="156"/>
        <v>286.60608582587099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69.488898213602099</v>
      </c>
      <c r="FR171" s="21">
        <f>EXP(-LN(2)/25)*FR170+(1-EXP(-LN(2)/25))/(LN(2)/25)*Calculateur!FM171*Calculateur!FO171*VLOOKUP('Données projet'!$B$16,Paramètres!$A$1:$I$89,3,0)*0.475*44/12</f>
        <v>13.947881148955505</v>
      </c>
      <c r="FS171" s="21">
        <f>EXP(-LN(2)/2)*FS170+(1-EXP(-LN(2)/2))/(LN(2)/2)*FM171*FP171*VLOOKUP('Données projet'!$B$16,Paramètres!$A$1:$I$89,3,0)*0.475*44/12</f>
        <v>1.1872162999482779E-3</v>
      </c>
      <c r="FT171" s="22">
        <f t="shared" si="184"/>
        <v>83.437966578857555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9.6220000000000034</v>
      </c>
      <c r="FZ171" s="12">
        <f>IF('Données projet'!$A$244&gt;35,FZ170+FY171-GH170,IF(A171&lt;'Données projet'!$A$244,$FW$205^A171,IF(A171='Données projet'!$A$244,'Données projet'!$B$244,FZ170+FY171-GH170)))</f>
        <v>552.78800000000115</v>
      </c>
      <c r="GA171" s="17">
        <f>FZ171*VLOOKUP('Données projet'!$B$17,Paramètres!$A$1:$I$89,3,0)*VLOOKUP('Données projet'!$B$17,Paramètres!$A$1:$I$89,5,0)</f>
        <v>500.16258240000104</v>
      </c>
      <c r="GB171" s="13">
        <f t="shared" si="185"/>
        <v>111.81156339666074</v>
      </c>
      <c r="GC171" s="20">
        <f t="shared" si="186"/>
        <v>1065.8549705958526</v>
      </c>
      <c r="GD171" s="59">
        <f t="shared" si="134"/>
        <v>1359.1883039291858</v>
      </c>
      <c r="GE171" s="59">
        <f ca="1">AVERAGE(OFFSET($GD$3,0,0,'Données projet'!$E$17+1,1))-AVERAGE(OFFSET($H$3,0,0,'Données projet'!$E$17+1,1))</f>
        <v>486.55344536255876</v>
      </c>
      <c r="GF171" s="59">
        <f t="shared" si="158"/>
        <v>231.14794884432229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54.149045377549669</v>
      </c>
      <c r="GM171" s="21">
        <f>EXP(-LN(2)/25)*GM170+(1-EXP(-LN(2)/25))/(LN(2)/25)*Calculateur!GH171*Calculateur!GJ171*VLOOKUP('Données projet'!$B$17,Paramètres!$A$1:$I$89,3,0)*0.475*44/12</f>
        <v>20.592802401863636</v>
      </c>
      <c r="GN171" s="21">
        <f>EXP(-LN(2)/2)*GN170+(1-EXP(-LN(2)/2))/(LN(2)/2)*GH171*GK171*VLOOKUP('Données projet'!$B$17,Paramètres!$A$1:$I$89,3,0)*0.475*44/12</f>
        <v>1.2173605769931395E-6</v>
      </c>
      <c r="GO171" s="21">
        <f t="shared" si="187"/>
        <v>74.741848996773882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529.23091602537556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252.08270526008477</v>
      </c>
      <c r="T172" s="59">
        <f t="shared" si="142"/>
        <v>239.77811108960179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44.027142068421803</v>
      </c>
      <c r="AA172" s="21">
        <f>EXP(-LN(2)/25)*AA171+(1-EXP(-LN(2)/25))/(LN(2)/25)*Calculateur!V172*Calculateur!X172*VLOOKUP('Données projet'!$B$9,Paramètres!$A$1:$I$89,3,0)*0.475*44/12</f>
        <v>8.0654412388217462</v>
      </c>
      <c r="AB172" s="21">
        <f>EXP(-LN(2)/2)*AB171+(1-EXP(-LN(2)/2))/(LN(2)/2)*V172*Y172*VLOOKUP('Données projet'!$B$9,Paramètres!$A$1:$I$89,3,0)*0.475*44/12</f>
        <v>2.2508632610837889E-9</v>
      </c>
      <c r="AC172" s="22">
        <f t="shared" si="163"/>
        <v>52.092583309494415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251.64326096359997</v>
      </c>
      <c r="AO172" s="59">
        <f t="shared" si="144"/>
        <v>256.72142151189894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16.036597671938047</v>
      </c>
      <c r="AV172" s="21">
        <f>EXP(-LN(2)/25)*AV171+(1-EXP(-LN(2)/25))/(LN(2)/25)*Calculateur!AQ172*Calculateur!AS172*VLOOKUP('Données projet'!$B$10,Paramètres!$A$1:$I$89,3,0)*0.475*44/12</f>
        <v>2.3589459788755578</v>
      </c>
      <c r="AW172" s="21">
        <f>EXP(-LN(2)/2)*AW171+(1-EXP(-LN(2)/2))/(LN(2)/2)*AQ172*AT172*VLOOKUP('Données projet'!$B$10,Paramètres!$A$1:$I$89,3,0)*0.475*44/12</f>
        <v>2.3536252297186421E-15</v>
      </c>
      <c r="AX172" s="21">
        <f t="shared" si="166"/>
        <v>18.395543650813607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199.29783428981898</v>
      </c>
      <c r="BJ172" s="59">
        <f t="shared" si="146"/>
        <v>237.32002274562547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0.66577581507721095</v>
      </c>
      <c r="BQ172" s="21">
        <f>EXP(-LN(2)/25)*BQ171+(1-EXP(-LN(2)/25))/(LN(2)/25)*Calculateur!BL172*Calculateur!BN172*VLOOKUP('Données projet'!$B$11,Paramètres!$A$1:$I$89,3,0)*0.475*44/12</f>
        <v>1.4222747307553678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2.0880505458325787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2.5579538487363607E-13</v>
      </c>
      <c r="BZ172" s="13">
        <f>BY172*VLOOKUP('Données projet'!$B$12,Paramètres!$A$1:$I$89,3,0)*VLOOKUP('Données projet'!$B$12,Paramètres!$A$1:$I$89,5,0)</f>
        <v>2.1548203221755105E-13</v>
      </c>
      <c r="CA172" s="13">
        <f t="shared" si="170"/>
        <v>2.9604251148637229E-12</v>
      </c>
      <c r="CB172" s="20">
        <f t="shared" si="171"/>
        <v>5.5313716144998842E-12</v>
      </c>
      <c r="CC172" s="59">
        <f t="shared" si="119"/>
        <v>293.33333333333883</v>
      </c>
      <c r="CD172" s="59">
        <f ca="1">AVERAGE(OFFSET($CC$3,0,0,'Données projet'!$E$12+1,1))-AVERAGE(OFFSET($H$3,0,0,'Données projet'!$E$12+1,1))</f>
        <v>295.59075210589327</v>
      </c>
      <c r="CE172" s="59">
        <f t="shared" si="148"/>
        <v>210.41181542059576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48.582786928328581</v>
      </c>
      <c r="CL172" s="21">
        <f>EXP(-LN(2)/25)*CL171+(1-EXP(-LN(2)/25))/(LN(2)/25)*Calculateur!CG172*Calculateur!CI172*VLOOKUP('Données projet'!$B$12,Paramètres!$A$1:$I$89,3,0)*0.475*44/12</f>
        <v>7.433347683411907</v>
      </c>
      <c r="CM172" s="21">
        <f>EXP(-LN(2)/2)*CM171+(1-EXP(-LN(2)/2))/(LN(2)/2)*CG172*CJ172*VLOOKUP('Données projet'!$B$12,Paramètres!$A$1:$I$89,3,0)*0.475*44/12</f>
        <v>8.5502656479424619E-6</v>
      </c>
      <c r="CN172" s="22">
        <f t="shared" si="172"/>
        <v>56.016143162006138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5.1727511163335289E-14</v>
      </c>
      <c r="CV172" s="13">
        <f t="shared" si="173"/>
        <v>8.3906664221915895E-13</v>
      </c>
      <c r="CW172" s="20">
        <f t="shared" si="174"/>
        <v>1.551466483807844E-12</v>
      </c>
      <c r="CX172" s="59">
        <f t="shared" si="122"/>
        <v>293.33333333333485</v>
      </c>
      <c r="CY172" s="59">
        <f ca="1">AVERAGE(OFFSET($CX$3,0,0,'Données projet'!$E$13+1,1))-AVERAGE(OFFSET($H$3,0,0,'Données projet'!$E$13+1,1))</f>
        <v>338.22448697444298</v>
      </c>
      <c r="CZ172" s="59">
        <f t="shared" si="150"/>
        <v>293.3872365640849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36.501764374657554</v>
      </c>
      <c r="DG172" s="21">
        <f>EXP(-LN(2)/25)*DG171+(1-EXP(-LN(2)/25))/(LN(2)/25)*Calculateur!DB172*Calculateur!DD172*VLOOKUP('Données projet'!$B$13,Paramètres!$A$1:$I$89,3,0)*0.475*44/12</f>
        <v>6.2751860054944455</v>
      </c>
      <c r="DH172" s="21">
        <f>EXP(-LN(2)/2)*DH171+(1-EXP(-LN(2)/2))/(LN(2)/2)*DB172*DE172*VLOOKUP('Données projet'!$B$13,Paramètres!$A$1:$I$89,3,0)*0.475*44/12</f>
        <v>3.2523581636747853E-12</v>
      </c>
      <c r="DI172" s="22">
        <f t="shared" si="175"/>
        <v>42.776950380155256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5.6843418860808015E-13</v>
      </c>
      <c r="DP172" s="17">
        <f>DO172*VLOOKUP('Données projet'!$B$14,Paramètres!$A$1:$I$89,3,0)*VLOOKUP('Données projet'!$B$14,Paramètres!$A$1:$I$89,5,0)</f>
        <v>3.177547114319168E-13</v>
      </c>
      <c r="DQ172" s="13">
        <f t="shared" si="176"/>
        <v>4.1725404435445377E-12</v>
      </c>
      <c r="DR172" s="20">
        <f t="shared" si="177"/>
        <v>7.820597394917325E-12</v>
      </c>
      <c r="DS172" s="59">
        <f t="shared" si="125"/>
        <v>293.33333333334116</v>
      </c>
      <c r="DT172" s="59">
        <f ca="1">AVERAGE(OFFSET($DS$3,0,0,'Données projet'!$E$14+1,1))-AVERAGE(OFFSET($H$3,0,0,'Données projet'!$E$14+1,1))</f>
        <v>328.15217666639006</v>
      </c>
      <c r="DU172" s="59">
        <f t="shared" si="152"/>
        <v>305.59175773326308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32.482874295922741</v>
      </c>
      <c r="EB172" s="21">
        <f>EXP(-LN(2)/25)*EB171+(1-EXP(-LN(2)/25))/(LN(2)/25)*Calculateur!DW172*Calculateur!DY172*VLOOKUP('Données projet'!$B$14,Paramètres!$A$1:$I$89,3,0)*0.475*44/12</f>
        <v>4.9322054954851309</v>
      </c>
      <c r="EC172" s="21">
        <f>EXP(-LN(2)/2)*EC171+(1-EXP(-LN(2)/2))/(LN(2)/2)*DW172*DZ172*VLOOKUP('Données projet'!$B$14,Paramètres!$A$1:$I$89,3,0)*0.475*44/12</f>
        <v>9.4840523462579115E-14</v>
      </c>
      <c r="ED172" s="22">
        <f t="shared" si="178"/>
        <v>37.415079791407962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159.78276497127206</v>
      </c>
      <c r="EP172" s="59">
        <f t="shared" si="154"/>
        <v>190.72163407919857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0.77329478291439235</v>
      </c>
      <c r="EW172" s="21">
        <f>EXP(-LN(2)/25)*EW171+(1-EXP(-LN(2)/25))/(LN(2)/25)*Calculateur!ER172*Calculateur!ET172*VLOOKUP('Données projet'!$B$15,Paramètres!$A$1:$I$89,3,0)*0.475*44/12</f>
        <v>1.6519639257796541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2.4252587086940465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6.2527760746888816E-13</v>
      </c>
      <c r="FF172" s="17">
        <f>FE172*VLOOKUP('Données projet'!$B$16,Paramètres!$A$1:$I$89,3,0)*VLOOKUP('Données projet'!$B$16,Paramètres!$A$1:$I$89,5,0)</f>
        <v>5.3648818720830608E-13</v>
      </c>
      <c r="FG172" s="13">
        <f t="shared" si="182"/>
        <v>6.6281362235424649E-12</v>
      </c>
      <c r="FH172" s="20">
        <f t="shared" si="183"/>
        <v>1.2478387515390925E-11</v>
      </c>
      <c r="FI172" s="59">
        <f t="shared" si="131"/>
        <v>293.33333333334582</v>
      </c>
      <c r="FJ172" s="59">
        <f ca="1">AVERAGE(OFFSET($FI$3,0,0,'Données projet'!$E$16+1,1))-AVERAGE(OFFSET($H$3,0,0,'Données projet'!$E$16+1,1))</f>
        <v>337.15023592377008</v>
      </c>
      <c r="FK172" s="59">
        <f t="shared" si="156"/>
        <v>286.60608582587099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68.126263303676197</v>
      </c>
      <c r="FR172" s="21">
        <f>EXP(-LN(2)/25)*FR171+(1-EXP(-LN(2)/25))/(LN(2)/25)*Calculateur!FM172*Calculateur!FO172*VLOOKUP('Données projet'!$B$16,Paramètres!$A$1:$I$89,3,0)*0.475*44/12</f>
        <v>13.566475605450124</v>
      </c>
      <c r="FS172" s="21">
        <f>EXP(-LN(2)/2)*FS171+(1-EXP(-LN(2)/2))/(LN(2)/2)*FM172*FP172*VLOOKUP('Données projet'!$B$16,Paramètres!$A$1:$I$89,3,0)*0.475*44/12</f>
        <v>8.394886964286295E-4</v>
      </c>
      <c r="FT172" s="22">
        <f t="shared" si="184"/>
        <v>81.693578397822748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9.6220000000000034</v>
      </c>
      <c r="FZ172" s="12">
        <f>IF('Données projet'!$A$244&gt;35,FZ171+FY172-GH171,IF(A172&lt;'Données projet'!$A$244,$FW$205^A172,IF(A172='Données projet'!$A$244,'Données projet'!$B$244,FZ171+FY172-GH171)))</f>
        <v>562.41000000000111</v>
      </c>
      <c r="GA172" s="17">
        <f>FZ172*VLOOKUP('Données projet'!$B$17,Paramètres!$A$1:$I$89,3,0)*VLOOKUP('Données projet'!$B$17,Paramètres!$A$1:$I$89,5,0)</f>
        <v>508.86856800000095</v>
      </c>
      <c r="GB172" s="13">
        <f t="shared" si="185"/>
        <v>113.52951852374844</v>
      </c>
      <c r="GC172" s="20">
        <f t="shared" si="186"/>
        <v>1084.0100006955302</v>
      </c>
      <c r="GD172" s="59">
        <f t="shared" si="134"/>
        <v>1377.3433340288634</v>
      </c>
      <c r="GE172" s="59">
        <f ca="1">AVERAGE(OFFSET($GD$3,0,0,'Données projet'!$E$17+1,1))-AVERAGE(OFFSET($H$3,0,0,'Données projet'!$E$17+1,1))</f>
        <v>486.55344536255876</v>
      </c>
      <c r="GF172" s="59">
        <f t="shared" si="158"/>
        <v>231.14794884432229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53.087215625352393</v>
      </c>
      <c r="GM172" s="21">
        <f>EXP(-LN(2)/25)*GM171+(1-EXP(-LN(2)/25))/(LN(2)/25)*Calculateur!GH172*Calculateur!GJ172*VLOOKUP('Données projet'!$B$17,Paramètres!$A$1:$I$89,3,0)*0.475*44/12</f>
        <v>20.029691137256261</v>
      </c>
      <c r="GN172" s="21">
        <f>EXP(-LN(2)/2)*GN171+(1-EXP(-LN(2)/2))/(LN(2)/2)*GH172*GK172*VLOOKUP('Données projet'!$B$17,Paramètres!$A$1:$I$89,3,0)*0.475*44/12</f>
        <v>8.6080391914101712E-7</v>
      </c>
      <c r="GO172" s="21">
        <f t="shared" si="187"/>
        <v>73.116907623412573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530.80453126562747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252.08270526008477</v>
      </c>
      <c r="T173" s="59">
        <f t="shared" si="142"/>
        <v>239.77811108960179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43.163796666365108</v>
      </c>
      <c r="AA173" s="21">
        <f>EXP(-LN(2)/25)*AA172+(1-EXP(-LN(2)/25))/(LN(2)/25)*Calculateur!V173*Calculateur!X173*VLOOKUP('Données projet'!$B$9,Paramètres!$A$1:$I$89,3,0)*0.475*44/12</f>
        <v>7.8448913240030445</v>
      </c>
      <c r="AB173" s="21">
        <f>EXP(-LN(2)/2)*AB172+(1-EXP(-LN(2)/2))/(LN(2)/2)*V173*Y173*VLOOKUP('Données projet'!$B$9,Paramètres!$A$1:$I$89,3,0)*0.475*44/12</f>
        <v>1.5916006754360135E-9</v>
      </c>
      <c r="AC173" s="22">
        <f t="shared" si="163"/>
        <v>51.008687991959754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251.64326096359997</v>
      </c>
      <c r="AO173" s="59">
        <f t="shared" si="144"/>
        <v>256.72142151189894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15.722129772950092</v>
      </c>
      <c r="AV173" s="21">
        <f>EXP(-LN(2)/25)*AV172+(1-EXP(-LN(2)/25))/(LN(2)/25)*Calculateur!AQ173*Calculateur!AS173*VLOOKUP('Données projet'!$B$10,Paramètres!$A$1:$I$89,3,0)*0.475*44/12</f>
        <v>2.2944404770316282</v>
      </c>
      <c r="AW173" s="21">
        <f>EXP(-LN(2)/2)*AW172+(1-EXP(-LN(2)/2))/(LN(2)/2)*AQ173*AT173*VLOOKUP('Données projet'!$B$10,Paramètres!$A$1:$I$89,3,0)*0.475*44/12</f>
        <v>1.6642643603057975E-15</v>
      </c>
      <c r="AX173" s="21">
        <f t="shared" si="166"/>
        <v>18.016570249981719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199.29783428981898</v>
      </c>
      <c r="BJ173" s="59">
        <f t="shared" si="146"/>
        <v>237.32002274562547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0.65272035742669665</v>
      </c>
      <c r="BQ173" s="21">
        <f>EXP(-LN(2)/25)*BQ172+(1-EXP(-LN(2)/25))/(LN(2)/25)*Calculateur!BL173*Calculateur!BN173*VLOOKUP('Données projet'!$B$11,Paramètres!$A$1:$I$89,3,0)*0.475*44/12</f>
        <v>1.3833825534486848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2.0361029108753814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2.5579538487363607E-13</v>
      </c>
      <c r="BZ173" s="13">
        <f>BY173*VLOOKUP('Données projet'!$B$12,Paramètres!$A$1:$I$89,3,0)*VLOOKUP('Données projet'!$B$12,Paramètres!$A$1:$I$89,5,0)</f>
        <v>2.1548203221755105E-13</v>
      </c>
      <c r="CA173" s="13">
        <f t="shared" si="170"/>
        <v>2.9604251148637229E-12</v>
      </c>
      <c r="CB173" s="20">
        <f t="shared" si="171"/>
        <v>5.5313716144998842E-12</v>
      </c>
      <c r="CC173" s="59">
        <f t="shared" si="119"/>
        <v>293.33333333333883</v>
      </c>
      <c r="CD173" s="59">
        <f ca="1">AVERAGE(OFFSET($CC$3,0,0,'Données projet'!$E$12+1,1))-AVERAGE(OFFSET($H$3,0,0,'Données projet'!$E$12+1,1))</f>
        <v>295.59075210589327</v>
      </c>
      <c r="CE173" s="59">
        <f t="shared" si="148"/>
        <v>210.41181542059576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47.630108109238108</v>
      </c>
      <c r="CL173" s="21">
        <f>EXP(-LN(2)/25)*CL172+(1-EXP(-LN(2)/25))/(LN(2)/25)*Calculateur!CG173*Calculateur!CI173*VLOOKUP('Données projet'!$B$12,Paramètres!$A$1:$I$89,3,0)*0.475*44/12</f>
        <v>7.2300824001062427</v>
      </c>
      <c r="CM173" s="21">
        <f>EXP(-LN(2)/2)*CM172+(1-EXP(-LN(2)/2))/(LN(2)/2)*CG173*CJ173*VLOOKUP('Données projet'!$B$12,Paramètres!$A$1:$I$89,3,0)*0.475*44/12</f>
        <v>6.0459508206065045E-6</v>
      </c>
      <c r="CN173" s="22">
        <f t="shared" si="172"/>
        <v>54.860196555295168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5.1727511163335289E-14</v>
      </c>
      <c r="CV173" s="13">
        <f t="shared" si="173"/>
        <v>8.3906664221915895E-13</v>
      </c>
      <c r="CW173" s="20">
        <f t="shared" si="174"/>
        <v>1.551466483807844E-12</v>
      </c>
      <c r="CX173" s="59">
        <f t="shared" si="122"/>
        <v>293.33333333333485</v>
      </c>
      <c r="CY173" s="59">
        <f ca="1">AVERAGE(OFFSET($CX$3,0,0,'Données projet'!$E$13+1,1))-AVERAGE(OFFSET($H$3,0,0,'Données projet'!$E$13+1,1))</f>
        <v>338.22448697444298</v>
      </c>
      <c r="CZ173" s="59">
        <f t="shared" si="150"/>
        <v>293.3872365640849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35.785987039148416</v>
      </c>
      <c r="DG173" s="21">
        <f>EXP(-LN(2)/25)*DG172+(1-EXP(-LN(2)/25))/(LN(2)/25)*Calculateur!DB173*Calculateur!DD173*VLOOKUP('Données projet'!$B$13,Paramètres!$A$1:$I$89,3,0)*0.475*44/12</f>
        <v>6.1035907141765096</v>
      </c>
      <c r="DH173" s="21">
        <f>EXP(-LN(2)/2)*DH172+(1-EXP(-LN(2)/2))/(LN(2)/2)*DB173*DE173*VLOOKUP('Données projet'!$B$13,Paramètres!$A$1:$I$89,3,0)*0.475*44/12</f>
        <v>2.2997645123818679E-12</v>
      </c>
      <c r="DI173" s="22">
        <f t="shared" si="175"/>
        <v>41.889577753327231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5.6843418860808015E-13</v>
      </c>
      <c r="DP173" s="17">
        <f>DO173*VLOOKUP('Données projet'!$B$14,Paramètres!$A$1:$I$89,3,0)*VLOOKUP('Données projet'!$B$14,Paramètres!$A$1:$I$89,5,0)</f>
        <v>3.177547114319168E-13</v>
      </c>
      <c r="DQ173" s="13">
        <f t="shared" si="176"/>
        <v>4.1725404435445377E-12</v>
      </c>
      <c r="DR173" s="20">
        <f t="shared" si="177"/>
        <v>7.820597394917325E-12</v>
      </c>
      <c r="DS173" s="59">
        <f t="shared" si="125"/>
        <v>293.33333333334116</v>
      </c>
      <c r="DT173" s="59">
        <f ca="1">AVERAGE(OFFSET($DS$3,0,0,'Données projet'!$E$14+1,1))-AVERAGE(OFFSET($H$3,0,0,'Données projet'!$E$14+1,1))</f>
        <v>328.15217666639006</v>
      </c>
      <c r="DU173" s="59">
        <f t="shared" si="152"/>
        <v>305.59175773326308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31.845904943576684</v>
      </c>
      <c r="EB173" s="21">
        <f>EXP(-LN(2)/25)*EB172+(1-EXP(-LN(2)/25))/(LN(2)/25)*Calculateur!DW173*Calculateur!DY173*VLOOKUP('Données projet'!$B$14,Paramètres!$A$1:$I$89,3,0)*0.475*44/12</f>
        <v>4.797334076837676</v>
      </c>
      <c r="EC173" s="21">
        <f>EXP(-LN(2)/2)*EC172+(1-EXP(-LN(2)/2))/(LN(2)/2)*DW173*DZ173*VLOOKUP('Données projet'!$B$14,Paramètres!$A$1:$I$89,3,0)*0.475*44/12</f>
        <v>6.7062377271671555E-14</v>
      </c>
      <c r="ED173" s="22">
        <f t="shared" si="178"/>
        <v>36.643239020414427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159.78276497127206</v>
      </c>
      <c r="EP173" s="59">
        <f t="shared" si="154"/>
        <v>190.72163407919857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0.75813094388468583</v>
      </c>
      <c r="EW173" s="21">
        <f>EXP(-LN(2)/25)*EW172+(1-EXP(-LN(2)/25))/(LN(2)/25)*Calculateur!ER173*Calculateur!ET173*VLOOKUP('Données projet'!$B$15,Paramètres!$A$1:$I$89,3,0)*0.475*44/12</f>
        <v>1.6067908853562023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2.3649218292408882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6.2527760746888816E-13</v>
      </c>
      <c r="FF173" s="17">
        <f>FE173*VLOOKUP('Données projet'!$B$16,Paramètres!$A$1:$I$89,3,0)*VLOOKUP('Données projet'!$B$16,Paramètres!$A$1:$I$89,5,0)</f>
        <v>5.3648818720830608E-13</v>
      </c>
      <c r="FG173" s="13">
        <f t="shared" si="182"/>
        <v>6.6281362235424649E-12</v>
      </c>
      <c r="FH173" s="20">
        <f t="shared" si="183"/>
        <v>1.2478387515390925E-11</v>
      </c>
      <c r="FI173" s="59">
        <f t="shared" si="131"/>
        <v>293.33333333334582</v>
      </c>
      <c r="FJ173" s="59">
        <f ca="1">AVERAGE(OFFSET($FI$3,0,0,'Données projet'!$E$16+1,1))-AVERAGE(OFFSET($H$3,0,0,'Données projet'!$E$16+1,1))</f>
        <v>337.15023592377008</v>
      </c>
      <c r="FK173" s="59">
        <f t="shared" si="156"/>
        <v>286.60608582587099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66.790348833208711</v>
      </c>
      <c r="FR173" s="21">
        <f>EXP(-LN(2)/25)*FR172+(1-EXP(-LN(2)/25))/(LN(2)/25)*Calculateur!FM173*Calculateur!FO173*VLOOKUP('Données projet'!$B$16,Paramètres!$A$1:$I$89,3,0)*0.475*44/12</f>
        <v>13.195499616589146</v>
      </c>
      <c r="FS173" s="21">
        <f>EXP(-LN(2)/2)*FS172+(1-EXP(-LN(2)/2))/(LN(2)/2)*FM173*FP173*VLOOKUP('Données projet'!$B$16,Paramètres!$A$1:$I$89,3,0)*0.475*44/12</f>
        <v>5.9360814997413893E-4</v>
      </c>
      <c r="FT173" s="22">
        <f t="shared" si="184"/>
        <v>79.986442057947826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9.6220000000000034</v>
      </c>
      <c r="FZ173" s="12">
        <f>IF('Données projet'!$A$244&gt;35,FZ172+FY173-GH172,IF(A173&lt;'Données projet'!$A$244,$FW$205^A173,IF(A173='Données projet'!$A$244,'Données projet'!$B$244,FZ172+FY173-GH172)))</f>
        <v>572.03200000000106</v>
      </c>
      <c r="GA173" s="17">
        <f>FZ173*VLOOKUP('Données projet'!$B$17,Paramètres!$A$1:$I$89,3,0)*VLOOKUP('Données projet'!$B$17,Paramètres!$A$1:$I$89,5,0)</f>
        <v>517.57455360000097</v>
      </c>
      <c r="GB173" s="13">
        <f t="shared" si="185"/>
        <v>115.24405568945055</v>
      </c>
      <c r="GC173" s="20">
        <f t="shared" si="186"/>
        <v>1102.1590778457946</v>
      </c>
      <c r="GD173" s="59">
        <f t="shared" si="134"/>
        <v>1395.4924111791279</v>
      </c>
      <c r="GE173" s="59">
        <f ca="1">AVERAGE(OFFSET($GD$3,0,0,'Données projet'!$E$17+1,1))-AVERAGE(OFFSET($H$3,0,0,'Données projet'!$E$17+1,1))</f>
        <v>486.55344536255876</v>
      </c>
      <c r="GF173" s="59">
        <f t="shared" si="158"/>
        <v>231.14794884432229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52.046207706943505</v>
      </c>
      <c r="GM173" s="21">
        <f>EXP(-LN(2)/25)*GM172+(1-EXP(-LN(2)/25))/(LN(2)/25)*Calculateur!GH173*Calculateur!GJ173*VLOOKUP('Données projet'!$B$17,Paramètres!$A$1:$I$89,3,0)*0.475*44/12</f>
        <v>19.481978179792311</v>
      </c>
      <c r="GN173" s="21">
        <f>EXP(-LN(2)/2)*GN172+(1-EXP(-LN(2)/2))/(LN(2)/2)*GH173*GK173*VLOOKUP('Données projet'!$B$17,Paramètres!$A$1:$I$89,3,0)*0.475*44/12</f>
        <v>6.0868028849656974E-7</v>
      </c>
      <c r="GO173" s="21">
        <f t="shared" si="187"/>
        <v>71.528186495416108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532.37794347311024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252.08270526008477</v>
      </c>
      <c r="T174" s="59">
        <f t="shared" si="142"/>
        <v>239.77811108960179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42.317380941054047</v>
      </c>
      <c r="AA174" s="21">
        <f>EXP(-LN(2)/25)*AA173+(1-EXP(-LN(2)/25))/(LN(2)/25)*Calculateur!V174*Calculateur!X174*VLOOKUP('Données projet'!$B$9,Paramètres!$A$1:$I$89,3,0)*0.475*44/12</f>
        <v>7.6303723582032763</v>
      </c>
      <c r="AB174" s="21">
        <f>EXP(-LN(2)/2)*AB173+(1-EXP(-LN(2)/2))/(LN(2)/2)*V174*Y174*VLOOKUP('Données projet'!$B$9,Paramètres!$A$1:$I$89,3,0)*0.475*44/12</f>
        <v>1.1254316305418944E-9</v>
      </c>
      <c r="AC174" s="22">
        <f t="shared" si="163"/>
        <v>49.94775330038275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251.64326096359997</v>
      </c>
      <c r="AO174" s="59">
        <f t="shared" si="144"/>
        <v>256.72142151189894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15.413828397654813</v>
      </c>
      <c r="AV174" s="21">
        <f>EXP(-LN(2)/25)*AV173+(1-EXP(-LN(2)/25))/(LN(2)/25)*Calculateur!AQ174*Calculateur!AS174*VLOOKUP('Données projet'!$B$10,Paramètres!$A$1:$I$89,3,0)*0.475*44/12</f>
        <v>2.2316988815278176</v>
      </c>
      <c r="AW174" s="21">
        <f>EXP(-LN(2)/2)*AW173+(1-EXP(-LN(2)/2))/(LN(2)/2)*AQ174*AT174*VLOOKUP('Données projet'!$B$10,Paramètres!$A$1:$I$89,3,0)*0.475*44/12</f>
        <v>1.1768126148593211E-15</v>
      </c>
      <c r="AX174" s="21">
        <f t="shared" si="166"/>
        <v>17.64552727918263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199.29783428981898</v>
      </c>
      <c r="BJ174" s="59">
        <f t="shared" si="146"/>
        <v>237.32002274562547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0.6399209093376661</v>
      </c>
      <c r="BQ174" s="21">
        <f>EXP(-LN(2)/25)*BQ173+(1-EXP(-LN(2)/25))/(LN(2)/25)*Calculateur!BL174*Calculateur!BN174*VLOOKUP('Données projet'!$B$11,Paramètres!$A$1:$I$89,3,0)*0.475*44/12</f>
        <v>1.3455538847757038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1.9854747941133699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2.5579538487363607E-13</v>
      </c>
      <c r="BZ174" s="13">
        <f>BY174*VLOOKUP('Données projet'!$B$12,Paramètres!$A$1:$I$89,3,0)*VLOOKUP('Données projet'!$B$12,Paramètres!$A$1:$I$89,5,0)</f>
        <v>2.1548203221755105E-13</v>
      </c>
      <c r="CA174" s="13">
        <f t="shared" si="170"/>
        <v>2.9604251148637229E-12</v>
      </c>
      <c r="CB174" s="20">
        <f t="shared" si="171"/>
        <v>5.5313716144998842E-12</v>
      </c>
      <c r="CC174" s="59">
        <f t="shared" si="119"/>
        <v>293.33333333333883</v>
      </c>
      <c r="CD174" s="59">
        <f ca="1">AVERAGE(OFFSET($CC$3,0,0,'Données projet'!$E$12+1,1))-AVERAGE(OFFSET($H$3,0,0,'Données projet'!$E$12+1,1))</f>
        <v>295.59075210589327</v>
      </c>
      <c r="CE174" s="59">
        <f t="shared" si="148"/>
        <v>210.41181542059576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46.696110740713301</v>
      </c>
      <c r="CL174" s="21">
        <f>EXP(-LN(2)/25)*CL173+(1-EXP(-LN(2)/25))/(LN(2)/25)*Calculateur!CG174*Calculateur!CI174*VLOOKUP('Données projet'!$B$12,Paramètres!$A$1:$I$89,3,0)*0.475*44/12</f>
        <v>7.0323754166618286</v>
      </c>
      <c r="CM174" s="21">
        <f>EXP(-LN(2)/2)*CM173+(1-EXP(-LN(2)/2))/(LN(2)/2)*CG174*CJ174*VLOOKUP('Données projet'!$B$12,Paramètres!$A$1:$I$89,3,0)*0.475*44/12</f>
        <v>4.275132823971231E-6</v>
      </c>
      <c r="CN174" s="22">
        <f t="shared" si="172"/>
        <v>53.728490432507954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5.1727511163335289E-14</v>
      </c>
      <c r="CV174" s="13">
        <f t="shared" si="173"/>
        <v>8.3906664221915895E-13</v>
      </c>
      <c r="CW174" s="20">
        <f t="shared" si="174"/>
        <v>1.551466483807844E-12</v>
      </c>
      <c r="CX174" s="59">
        <f t="shared" si="122"/>
        <v>293.33333333333485</v>
      </c>
      <c r="CY174" s="59">
        <f ca="1">AVERAGE(OFFSET($CX$3,0,0,'Données projet'!$E$13+1,1))-AVERAGE(OFFSET($H$3,0,0,'Données projet'!$E$13+1,1))</f>
        <v>338.22448697444298</v>
      </c>
      <c r="CZ174" s="59">
        <f t="shared" si="150"/>
        <v>293.3872365640849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35.084245660607543</v>
      </c>
      <c r="DG174" s="21">
        <f>EXP(-LN(2)/25)*DG173+(1-EXP(-LN(2)/25))/(LN(2)/25)*Calculateur!DB174*Calculateur!DD174*VLOOKUP('Données projet'!$B$13,Paramètres!$A$1:$I$89,3,0)*0.475*44/12</f>
        <v>5.9366877051234672</v>
      </c>
      <c r="DH174" s="21">
        <f>EXP(-LN(2)/2)*DH173+(1-EXP(-LN(2)/2))/(LN(2)/2)*DB174*DE174*VLOOKUP('Données projet'!$B$13,Paramètres!$A$1:$I$89,3,0)*0.475*44/12</f>
        <v>1.6261790818373927E-12</v>
      </c>
      <c r="DI174" s="22">
        <f t="shared" si="175"/>
        <v>41.020933365732638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5.6843418860808015E-13</v>
      </c>
      <c r="DP174" s="17">
        <f>DO174*VLOOKUP('Données projet'!$B$14,Paramètres!$A$1:$I$89,3,0)*VLOOKUP('Données projet'!$B$14,Paramètres!$A$1:$I$89,5,0)</f>
        <v>3.177547114319168E-13</v>
      </c>
      <c r="DQ174" s="13">
        <f t="shared" si="176"/>
        <v>4.1725404435445377E-12</v>
      </c>
      <c r="DR174" s="20">
        <f t="shared" si="177"/>
        <v>7.820597394917325E-12</v>
      </c>
      <c r="DS174" s="59">
        <f t="shared" si="125"/>
        <v>293.33333333334116</v>
      </c>
      <c r="DT174" s="59">
        <f ca="1">AVERAGE(OFFSET($DS$3,0,0,'Données projet'!$E$14+1,1))-AVERAGE(OFFSET($H$3,0,0,'Données projet'!$E$14+1,1))</f>
        <v>328.15217666639006</v>
      </c>
      <c r="DU174" s="59">
        <f t="shared" si="152"/>
        <v>305.59175773326308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31.221426171717191</v>
      </c>
      <c r="EB174" s="21">
        <f>EXP(-LN(2)/25)*EB173+(1-EXP(-LN(2)/25))/(LN(2)/25)*Calculateur!DW174*Calculateur!DY174*VLOOKUP('Données projet'!$B$14,Paramètres!$A$1:$I$89,3,0)*0.475*44/12</f>
        <v>4.666150724225715</v>
      </c>
      <c r="EC174" s="21">
        <f>EXP(-LN(2)/2)*EC173+(1-EXP(-LN(2)/2))/(LN(2)/2)*DW174*DZ174*VLOOKUP('Données projet'!$B$14,Paramètres!$A$1:$I$89,3,0)*0.475*44/12</f>
        <v>4.7420261731289557E-14</v>
      </c>
      <c r="ED174" s="22">
        <f t="shared" si="178"/>
        <v>35.887576895942956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159.78276497127206</v>
      </c>
      <c r="EP174" s="59">
        <f t="shared" si="154"/>
        <v>190.72163407919857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0.74326445848932332</v>
      </c>
      <c r="EW174" s="21">
        <f>EXP(-LN(2)/25)*EW173+(1-EXP(-LN(2)/25))/(LN(2)/25)*Calculateur!ER174*Calculateur!ET174*VLOOKUP('Données projet'!$B$15,Paramètres!$A$1:$I$89,3,0)*0.475*44/12</f>
        <v>1.5628531040986766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2.3061175625879997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6.2527760746888816E-13</v>
      </c>
      <c r="FF174" s="17">
        <f>FE174*VLOOKUP('Données projet'!$B$16,Paramètres!$A$1:$I$89,3,0)*VLOOKUP('Données projet'!$B$16,Paramètres!$A$1:$I$89,5,0)</f>
        <v>5.3648818720830608E-13</v>
      </c>
      <c r="FG174" s="13">
        <f t="shared" si="182"/>
        <v>6.6281362235424649E-12</v>
      </c>
      <c r="FH174" s="20">
        <f t="shared" si="183"/>
        <v>1.2478387515390925E-11</v>
      </c>
      <c r="FI174" s="59">
        <f t="shared" si="131"/>
        <v>293.33333333334582</v>
      </c>
      <c r="FJ174" s="59">
        <f ca="1">AVERAGE(OFFSET($FI$3,0,0,'Données projet'!$E$16+1,1))-AVERAGE(OFFSET($H$3,0,0,'Données projet'!$E$16+1,1))</f>
        <v>337.15023592377008</v>
      </c>
      <c r="FK174" s="59">
        <f t="shared" si="156"/>
        <v>286.60608582587099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65.480630830679729</v>
      </c>
      <c r="FR174" s="21">
        <f>EXP(-LN(2)/25)*FR173+(1-EXP(-LN(2)/25))/(LN(2)/25)*Calculateur!FM174*Calculateur!FO174*VLOOKUP('Données projet'!$B$16,Paramètres!$A$1:$I$89,3,0)*0.475*44/12</f>
        <v>12.834667985652349</v>
      </c>
      <c r="FS174" s="21">
        <f>EXP(-LN(2)/2)*FS173+(1-EXP(-LN(2)/2))/(LN(2)/2)*FM174*FP174*VLOOKUP('Données projet'!$B$16,Paramètres!$A$1:$I$89,3,0)*0.475*44/12</f>
        <v>4.1974434821431475E-4</v>
      </c>
      <c r="FT174" s="22">
        <f t="shared" si="184"/>
        <v>78.315718560680295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9.6220000000000034</v>
      </c>
      <c r="FZ174" s="12">
        <f>IF('Données projet'!$A$244&gt;35,FZ173+FY174-GH173,IF(A174&lt;'Données projet'!$A$244,$FW$205^A174,IF(A174='Données projet'!$A$244,'Données projet'!$B$244,FZ173+FY174-GH173)))</f>
        <v>581.65400000000102</v>
      </c>
      <c r="GA174" s="17">
        <f>FZ174*VLOOKUP('Données projet'!$B$17,Paramètres!$A$1:$I$89,3,0)*VLOOKUP('Données projet'!$B$17,Paramètres!$A$1:$I$89,5,0)</f>
        <v>526.28053920000093</v>
      </c>
      <c r="GB174" s="13">
        <f t="shared" si="185"/>
        <v>116.95523902184036</v>
      </c>
      <c r="GC174" s="20">
        <f t="shared" si="186"/>
        <v>1120.3023137363737</v>
      </c>
      <c r="GD174" s="59">
        <f t="shared" si="134"/>
        <v>1413.6356470697069</v>
      </c>
      <c r="GE174" s="59">
        <f ca="1">AVERAGE(OFFSET($GD$3,0,0,'Données projet'!$E$17+1,1))-AVERAGE(OFFSET($H$3,0,0,'Données projet'!$E$17+1,1))</f>
        <v>486.55344536255876</v>
      </c>
      <c r="GF174" s="59">
        <f t="shared" si="158"/>
        <v>231.14794884432229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51.025613318862483</v>
      </c>
      <c r="GM174" s="21">
        <f>EXP(-LN(2)/25)*GM173+(1-EXP(-LN(2)/25))/(LN(2)/25)*Calculateur!GH174*Calculateur!GJ174*VLOOKUP('Données projet'!$B$17,Paramètres!$A$1:$I$89,3,0)*0.475*44/12</f>
        <v>18.949242461953183</v>
      </c>
      <c r="GN174" s="21">
        <f>EXP(-LN(2)/2)*GN173+(1-EXP(-LN(2)/2))/(LN(2)/2)*GH174*GK174*VLOOKUP('Données projet'!$B$17,Paramètres!$A$1:$I$89,3,0)*0.475*44/12</f>
        <v>4.3040195957050856E-7</v>
      </c>
      <c r="GO174" s="21">
        <f t="shared" si="187"/>
        <v>69.974856211217613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533.95115397291886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252.08270526008477</v>
      </c>
      <c r="T175" s="59">
        <f t="shared" si="142"/>
        <v>239.77811108960179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41.487562911853722</v>
      </c>
      <c r="AA175" s="21">
        <f>EXP(-LN(2)/25)*AA174+(1-EXP(-LN(2)/25))/(LN(2)/25)*Calculateur!V175*Calculateur!X175*VLOOKUP('Données projet'!$B$9,Paramètres!$A$1:$I$89,3,0)*0.475*44/12</f>
        <v>7.4217194248043645</v>
      </c>
      <c r="AB175" s="21">
        <f>EXP(-LN(2)/2)*AB174+(1-EXP(-LN(2)/2))/(LN(2)/2)*V175*Y175*VLOOKUP('Données projet'!$B$9,Paramètres!$A$1:$I$89,3,0)*0.475*44/12</f>
        <v>7.9580033771800674E-10</v>
      </c>
      <c r="AC175" s="22">
        <f t="shared" si="163"/>
        <v>48.909282337453888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251.64326096359997</v>
      </c>
      <c r="AO175" s="59">
        <f t="shared" si="144"/>
        <v>256.72142151189894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15.111572624283802</v>
      </c>
      <c r="AV175" s="21">
        <f>EXP(-LN(2)/25)*AV174+(1-EXP(-LN(2)/25))/(LN(2)/25)*Calculateur!AQ175*Calculateur!AS175*VLOOKUP('Données projet'!$B$10,Paramètres!$A$1:$I$89,3,0)*0.475*44/12</f>
        <v>2.1706729582524957</v>
      </c>
      <c r="AW175" s="21">
        <f>EXP(-LN(2)/2)*AW174+(1-EXP(-LN(2)/2))/(LN(2)/2)*AQ175*AT175*VLOOKUP('Données projet'!$B$10,Paramètres!$A$1:$I$89,3,0)*0.475*44/12</f>
        <v>8.3213218015289877E-16</v>
      </c>
      <c r="AX175" s="21">
        <f t="shared" si="166"/>
        <v>17.282245582536298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199.29783428981898</v>
      </c>
      <c r="BJ175" s="59">
        <f t="shared" si="146"/>
        <v>237.32002274562547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0.6273724506187689</v>
      </c>
      <c r="BQ175" s="21">
        <f>EXP(-LN(2)/25)*BQ174+(1-EXP(-LN(2)/25))/(LN(2)/25)*Calculateur!BL175*Calculateur!BN175*VLOOKUP('Données projet'!$B$11,Paramètres!$A$1:$I$89,3,0)*0.475*44/12</f>
        <v>1.3087596430369086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1.9361320936556776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2.5579538487363607E-13</v>
      </c>
      <c r="BZ175" s="13">
        <f>BY175*VLOOKUP('Données projet'!$B$12,Paramètres!$A$1:$I$89,3,0)*VLOOKUP('Données projet'!$B$12,Paramètres!$A$1:$I$89,5,0)</f>
        <v>2.1548203221755105E-13</v>
      </c>
      <c r="CA175" s="13">
        <f t="shared" si="170"/>
        <v>2.9604251148637229E-12</v>
      </c>
      <c r="CB175" s="20">
        <f t="shared" si="171"/>
        <v>5.5313716144998842E-12</v>
      </c>
      <c r="CC175" s="59">
        <f t="shared" si="119"/>
        <v>293.33333333333883</v>
      </c>
      <c r="CD175" s="59">
        <f ca="1">AVERAGE(OFFSET($CC$3,0,0,'Données projet'!$E$12+1,1))-AVERAGE(OFFSET($H$3,0,0,'Données projet'!$E$12+1,1))</f>
        <v>295.59075210589327</v>
      </c>
      <c r="CE175" s="59">
        <f t="shared" si="148"/>
        <v>210.41181542059576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45.78042849090312</v>
      </c>
      <c r="CL175" s="21">
        <f>EXP(-LN(2)/25)*CL174+(1-EXP(-LN(2)/25))/(LN(2)/25)*Calculateur!CG175*Calculateur!CI175*VLOOKUP('Données projet'!$B$12,Paramètres!$A$1:$I$89,3,0)*0.475*44/12</f>
        <v>6.8400747410766609</v>
      </c>
      <c r="CM175" s="21">
        <f>EXP(-LN(2)/2)*CM174+(1-EXP(-LN(2)/2))/(LN(2)/2)*CG175*CJ175*VLOOKUP('Données projet'!$B$12,Paramètres!$A$1:$I$89,3,0)*0.475*44/12</f>
        <v>3.0229754103032523E-6</v>
      </c>
      <c r="CN175" s="22">
        <f t="shared" si="172"/>
        <v>52.620506254955195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5.1727511163335289E-14</v>
      </c>
      <c r="CV175" s="13">
        <f t="shared" si="173"/>
        <v>8.3906664221915895E-13</v>
      </c>
      <c r="CW175" s="20">
        <f t="shared" si="174"/>
        <v>1.551466483807844E-12</v>
      </c>
      <c r="CX175" s="59">
        <f t="shared" si="122"/>
        <v>293.33333333333485</v>
      </c>
      <c r="CY175" s="59">
        <f ca="1">AVERAGE(OFFSET($CX$3,0,0,'Données projet'!$E$13+1,1))-AVERAGE(OFFSET($H$3,0,0,'Données projet'!$E$13+1,1))</f>
        <v>338.22448697444298</v>
      </c>
      <c r="CZ175" s="59">
        <f t="shared" si="150"/>
        <v>293.3872365640849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34.396265002479879</v>
      </c>
      <c r="DG175" s="21">
        <f>EXP(-LN(2)/25)*DG174+(1-EXP(-LN(2)/25))/(LN(2)/25)*Calculateur!DB175*Calculateur!DD175*VLOOKUP('Données projet'!$B$13,Paramètres!$A$1:$I$89,3,0)*0.475*44/12</f>
        <v>5.7743486676300284</v>
      </c>
      <c r="DH175" s="21">
        <f>EXP(-LN(2)/2)*DH174+(1-EXP(-LN(2)/2))/(LN(2)/2)*DB175*DE175*VLOOKUP('Données projet'!$B$13,Paramètres!$A$1:$I$89,3,0)*0.475*44/12</f>
        <v>1.149882256190934E-12</v>
      </c>
      <c r="DI175" s="22">
        <f t="shared" si="175"/>
        <v>40.170613670111059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5.6843418860808015E-13</v>
      </c>
      <c r="DP175" s="17">
        <f>DO175*VLOOKUP('Données projet'!$B$14,Paramètres!$A$1:$I$89,3,0)*VLOOKUP('Données projet'!$B$14,Paramètres!$A$1:$I$89,5,0)</f>
        <v>3.177547114319168E-13</v>
      </c>
      <c r="DQ175" s="13">
        <f t="shared" si="176"/>
        <v>4.1725404435445377E-12</v>
      </c>
      <c r="DR175" s="20">
        <f t="shared" si="177"/>
        <v>7.820597394917325E-12</v>
      </c>
      <c r="DS175" s="59">
        <f t="shared" si="125"/>
        <v>293.33333333334116</v>
      </c>
      <c r="DT175" s="59">
        <f ca="1">AVERAGE(OFFSET($DS$3,0,0,'Données projet'!$E$14+1,1))-AVERAGE(OFFSET($H$3,0,0,'Données projet'!$E$14+1,1))</f>
        <v>328.15217666639006</v>
      </c>
      <c r="DU175" s="59">
        <f t="shared" si="152"/>
        <v>305.59175773326308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30.609193047679423</v>
      </c>
      <c r="EB175" s="21">
        <f>EXP(-LN(2)/25)*EB174+(1-EXP(-LN(2)/25))/(LN(2)/25)*Calculateur!DW175*Calculateur!DY175*VLOOKUP('Données projet'!$B$14,Paramètres!$A$1:$I$89,3,0)*0.475*44/12</f>
        <v>4.5385545872895605</v>
      </c>
      <c r="EC175" s="21">
        <f>EXP(-LN(2)/2)*EC174+(1-EXP(-LN(2)/2))/(LN(2)/2)*DW175*DZ175*VLOOKUP('Données projet'!$B$14,Paramètres!$A$1:$I$89,3,0)*0.475*44/12</f>
        <v>3.3531188635835778E-14</v>
      </c>
      <c r="ED175" s="22">
        <f t="shared" si="178"/>
        <v>35.147747634969015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159.78276497127206</v>
      </c>
      <c r="EP175" s="59">
        <f t="shared" si="154"/>
        <v>190.72163407919857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0.72868949580490316</v>
      </c>
      <c r="EW175" s="21">
        <f>EXP(-LN(2)/25)*EW174+(1-EXP(-LN(2)/25))/(LN(2)/25)*Calculateur!ER175*Calculateur!ET175*VLOOKUP('Données projet'!$B$15,Paramètres!$A$1:$I$89,3,0)*0.475*44/12</f>
        <v>1.5201168037802255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2.2488062995851288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6.2527760746888816E-13</v>
      </c>
      <c r="FF175" s="17">
        <f>FE175*VLOOKUP('Données projet'!$B$16,Paramètres!$A$1:$I$89,3,0)*VLOOKUP('Données projet'!$B$16,Paramètres!$A$1:$I$89,5,0)</f>
        <v>5.3648818720830608E-13</v>
      </c>
      <c r="FG175" s="13">
        <f t="shared" si="182"/>
        <v>6.6281362235424649E-12</v>
      </c>
      <c r="FH175" s="20">
        <f t="shared" si="183"/>
        <v>1.2478387515390925E-11</v>
      </c>
      <c r="FI175" s="59">
        <f t="shared" si="131"/>
        <v>293.33333333334582</v>
      </c>
      <c r="FJ175" s="59">
        <f ca="1">AVERAGE(OFFSET($FI$3,0,0,'Données projet'!$E$16+1,1))-AVERAGE(OFFSET($H$3,0,0,'Données projet'!$E$16+1,1))</f>
        <v>337.15023592377008</v>
      </c>
      <c r="FK175" s="59">
        <f t="shared" si="156"/>
        <v>286.60608582587099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64.196595599331232</v>
      </c>
      <c r="FR175" s="21">
        <f>EXP(-LN(2)/25)*FR174+(1-EXP(-LN(2)/25))/(LN(2)/25)*Calculateur!FM175*Calculateur!FO175*VLOOKUP('Données projet'!$B$16,Paramètres!$A$1:$I$89,3,0)*0.475*44/12</f>
        <v>12.483703314638829</v>
      </c>
      <c r="FS175" s="21">
        <f>EXP(-LN(2)/2)*FS174+(1-EXP(-LN(2)/2))/(LN(2)/2)*FM175*FP175*VLOOKUP('Données projet'!$B$16,Paramètres!$A$1:$I$89,3,0)*0.475*44/12</f>
        <v>2.9680407498706946E-4</v>
      </c>
      <c r="FT175" s="22">
        <f t="shared" si="184"/>
        <v>76.680595718045055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9.6220000000000034</v>
      </c>
      <c r="FZ175" s="12">
        <f>IF('Données projet'!$A$244&gt;35,FZ174+FY175-GH174,IF(A175&lt;'Données projet'!$A$244,$FW$205^A175,IF(A175='Données projet'!$A$244,'Données projet'!$B$244,FZ174+FY175-GH174)))</f>
        <v>591.27600000000098</v>
      </c>
      <c r="GA175" s="17">
        <f>FZ175*VLOOKUP('Données projet'!$B$17,Paramètres!$A$1:$I$89,3,0)*VLOOKUP('Données projet'!$B$17,Paramètres!$A$1:$I$89,5,0)</f>
        <v>534.98652480000089</v>
      </c>
      <c r="GB175" s="13">
        <f t="shared" si="185"/>
        <v>118.66313040568902</v>
      </c>
      <c r="GC175" s="20">
        <f t="shared" si="186"/>
        <v>1138.4398161499098</v>
      </c>
      <c r="GD175" s="59">
        <f t="shared" si="134"/>
        <v>1431.7731494832431</v>
      </c>
      <c r="GE175" s="59">
        <f ca="1">AVERAGE(OFFSET($GD$3,0,0,'Données projet'!$E$17+1,1))-AVERAGE(OFFSET($H$3,0,0,'Données projet'!$E$17+1,1))</f>
        <v>486.55344536255876</v>
      </c>
      <c r="GF175" s="59">
        <f t="shared" si="158"/>
        <v>231.14794884432229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50.025032164230616</v>
      </c>
      <c r="GM175" s="21">
        <f>EXP(-LN(2)/25)*GM174+(1-EXP(-LN(2)/25))/(LN(2)/25)*Calculateur!GH175*Calculateur!GJ175*VLOOKUP('Données projet'!$B$17,Paramètres!$A$1:$I$89,3,0)*0.475*44/12</f>
        <v>18.431074430333723</v>
      </c>
      <c r="GN175" s="21">
        <f>EXP(-LN(2)/2)*GN174+(1-EXP(-LN(2)/2))/(LN(2)/2)*GH175*GK175*VLOOKUP('Données projet'!$B$17,Paramètres!$A$1:$I$89,3,0)*0.475*44/12</f>
        <v>3.0434014424828487E-7</v>
      </c>
      <c r="GO175" s="21">
        <f t="shared" si="187"/>
        <v>68.456106898904494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535.52416407384874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252.08270526008477</v>
      </c>
      <c r="T176" s="59">
        <f t="shared" si="142"/>
        <v>239.77811108960179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40.674017108066991</v>
      </c>
      <c r="AA176" s="21">
        <f>EXP(-LN(2)/25)*AA175+(1-EXP(-LN(2)/25))/(LN(2)/25)*Calculateur!V176*Calculateur!X176*VLOOKUP('Données projet'!$B$9,Paramètres!$A$1:$I$89,3,0)*0.475*44/12</f>
        <v>7.2187721168418273</v>
      </c>
      <c r="AB176" s="21">
        <f>EXP(-LN(2)/2)*AB175+(1-EXP(-LN(2)/2))/(LN(2)/2)*V176*Y176*VLOOKUP('Données projet'!$B$9,Paramètres!$A$1:$I$89,3,0)*0.475*44/12</f>
        <v>5.6271581527094721E-10</v>
      </c>
      <c r="AC176" s="22">
        <f t="shared" si="163"/>
        <v>47.892789225471532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251.64326096359997</v>
      </c>
      <c r="AO176" s="59">
        <f t="shared" si="144"/>
        <v>256.72142151189894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14.81524390227078</v>
      </c>
      <c r="AV176" s="21">
        <f>EXP(-LN(2)/25)*AV175+(1-EXP(-LN(2)/25))/(LN(2)/25)*Calculateur!AQ176*Calculateur!AS176*VLOOKUP('Données projet'!$B$10,Paramètres!$A$1:$I$89,3,0)*0.475*44/12</f>
        <v>2.1113157920583516</v>
      </c>
      <c r="AW176" s="21">
        <f>EXP(-LN(2)/2)*AW175+(1-EXP(-LN(2)/2))/(LN(2)/2)*AQ176*AT176*VLOOKUP('Données projet'!$B$10,Paramètres!$A$1:$I$89,3,0)*0.475*44/12</f>
        <v>5.8840630742966053E-16</v>
      </c>
      <c r="AX176" s="21">
        <f t="shared" si="166"/>
        <v>16.926559694329132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199.29783428981898</v>
      </c>
      <c r="BJ176" s="59">
        <f t="shared" si="146"/>
        <v>237.32002274562547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0.61507005952154525</v>
      </c>
      <c r="BQ176" s="21">
        <f>EXP(-LN(2)/25)*BQ175+(1-EXP(-LN(2)/25))/(LN(2)/25)*Calculateur!BL176*Calculateur!BN176*VLOOKUP('Données projet'!$B$11,Paramètres!$A$1:$I$89,3,0)*0.475*44/12</f>
        <v>1.272971541773386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1.8880416012949313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2.5579538487363607E-13</v>
      </c>
      <c r="BZ176" s="13">
        <f>BY176*VLOOKUP('Données projet'!$B$12,Paramètres!$A$1:$I$89,3,0)*VLOOKUP('Données projet'!$B$12,Paramètres!$A$1:$I$89,5,0)</f>
        <v>2.1548203221755105E-13</v>
      </c>
      <c r="CA176" s="13">
        <f t="shared" si="170"/>
        <v>2.9604251148637229E-12</v>
      </c>
      <c r="CB176" s="20">
        <f t="shared" si="171"/>
        <v>5.5313716144998842E-12</v>
      </c>
      <c r="CC176" s="59">
        <f t="shared" si="119"/>
        <v>293.33333333333883</v>
      </c>
      <c r="CD176" s="59">
        <f ca="1">AVERAGE(OFFSET($CC$3,0,0,'Données projet'!$E$12+1,1))-AVERAGE(OFFSET($H$3,0,0,'Données projet'!$E$12+1,1))</f>
        <v>295.59075210589327</v>
      </c>
      <c r="CE176" s="59">
        <f t="shared" si="148"/>
        <v>210.41181542059576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44.882702211500693</v>
      </c>
      <c r="CL176" s="21">
        <f>EXP(-LN(2)/25)*CL175+(1-EXP(-LN(2)/25))/(LN(2)/25)*Calculateur!CG176*Calculateur!CI176*VLOOKUP('Données projet'!$B$12,Paramètres!$A$1:$I$89,3,0)*0.475*44/12</f>
        <v>6.6530325375780226</v>
      </c>
      <c r="CM176" s="21">
        <f>EXP(-LN(2)/2)*CM175+(1-EXP(-LN(2)/2))/(LN(2)/2)*CG176*CJ176*VLOOKUP('Données projet'!$B$12,Paramètres!$A$1:$I$89,3,0)*0.475*44/12</f>
        <v>2.1375664119856155E-6</v>
      </c>
      <c r="CN176" s="22">
        <f t="shared" si="172"/>
        <v>51.535736886645125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5.1727511163335289E-14</v>
      </c>
      <c r="CV176" s="13">
        <f t="shared" si="173"/>
        <v>8.3906664221915895E-13</v>
      </c>
      <c r="CW176" s="20">
        <f t="shared" si="174"/>
        <v>1.551466483807844E-12</v>
      </c>
      <c r="CX176" s="59">
        <f t="shared" si="122"/>
        <v>293.33333333333485</v>
      </c>
      <c r="CY176" s="59">
        <f ca="1">AVERAGE(OFFSET($CX$3,0,0,'Données projet'!$E$13+1,1))-AVERAGE(OFFSET($H$3,0,0,'Données projet'!$E$13+1,1))</f>
        <v>338.22448697444298</v>
      </c>
      <c r="CZ176" s="59">
        <f t="shared" si="150"/>
        <v>293.3872365640849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33.72177522543133</v>
      </c>
      <c r="DG176" s="21">
        <f>EXP(-LN(2)/25)*DG175+(1-EXP(-LN(2)/25))/(LN(2)/25)*Calculateur!DB176*Calculateur!DD176*VLOOKUP('Données projet'!$B$13,Paramètres!$A$1:$I$89,3,0)*0.475*44/12</f>
        <v>5.6164487996538863</v>
      </c>
      <c r="DH176" s="21">
        <f>EXP(-LN(2)/2)*DH175+(1-EXP(-LN(2)/2))/(LN(2)/2)*DB176*DE176*VLOOKUP('Données projet'!$B$13,Paramètres!$A$1:$I$89,3,0)*0.475*44/12</f>
        <v>8.1308954091869633E-13</v>
      </c>
      <c r="DI176" s="22">
        <f t="shared" si="175"/>
        <v>39.338224025086028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5.6843418860808015E-13</v>
      </c>
      <c r="DP176" s="17">
        <f>DO176*VLOOKUP('Données projet'!$B$14,Paramètres!$A$1:$I$89,3,0)*VLOOKUP('Données projet'!$B$14,Paramètres!$A$1:$I$89,5,0)</f>
        <v>3.177547114319168E-13</v>
      </c>
      <c r="DQ176" s="13">
        <f t="shared" si="176"/>
        <v>4.1725404435445377E-12</v>
      </c>
      <c r="DR176" s="20">
        <f t="shared" si="177"/>
        <v>7.820597394917325E-12</v>
      </c>
      <c r="DS176" s="59">
        <f t="shared" si="125"/>
        <v>293.33333333334116</v>
      </c>
      <c r="DT176" s="59">
        <f ca="1">AVERAGE(OFFSET($DS$3,0,0,'Données projet'!$E$14+1,1))-AVERAGE(OFFSET($H$3,0,0,'Données projet'!$E$14+1,1))</f>
        <v>328.15217666639006</v>
      </c>
      <c r="DU176" s="59">
        <f t="shared" si="152"/>
        <v>305.59175773326308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30.008965441778702</v>
      </c>
      <c r="EB176" s="21">
        <f>EXP(-LN(2)/25)*EB175+(1-EXP(-LN(2)/25))/(LN(2)/25)*Calculateur!DW176*Calculateur!DY176*VLOOKUP('Données projet'!$B$14,Paramètres!$A$1:$I$89,3,0)*0.475*44/12</f>
        <v>4.4144475734279149</v>
      </c>
      <c r="EC176" s="21">
        <f>EXP(-LN(2)/2)*EC175+(1-EXP(-LN(2)/2))/(LN(2)/2)*DW176*DZ176*VLOOKUP('Données projet'!$B$14,Paramètres!$A$1:$I$89,3,0)*0.475*44/12</f>
        <v>2.3710130865644779E-14</v>
      </c>
      <c r="ED176" s="22">
        <f t="shared" si="178"/>
        <v>34.423413015206641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159.78276497127206</v>
      </c>
      <c r="EP176" s="59">
        <f t="shared" si="154"/>
        <v>190.72163407919857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0.71440033924887503</v>
      </c>
      <c r="EW176" s="21">
        <f>EXP(-LN(2)/25)*EW175+(1-EXP(-LN(2)/25))/(LN(2)/25)*Calculateur!ER176*Calculateur!ET176*VLOOKUP('Données projet'!$B$15,Paramètres!$A$1:$I$89,3,0)*0.475*44/12</f>
        <v>1.4785491298413869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2.1929494690902618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6.2527760746888816E-13</v>
      </c>
      <c r="FF176" s="17">
        <f>FE176*VLOOKUP('Données projet'!$B$16,Paramètres!$A$1:$I$89,3,0)*VLOOKUP('Données projet'!$B$16,Paramètres!$A$1:$I$89,5,0)</f>
        <v>5.3648818720830608E-13</v>
      </c>
      <c r="FG176" s="13">
        <f t="shared" si="182"/>
        <v>6.6281362235424649E-12</v>
      </c>
      <c r="FH176" s="20">
        <f t="shared" si="183"/>
        <v>1.2478387515390925E-11</v>
      </c>
      <c r="FI176" s="59">
        <f t="shared" si="131"/>
        <v>293.33333333334582</v>
      </c>
      <c r="FJ176" s="59">
        <f ca="1">AVERAGE(OFFSET($FI$3,0,0,'Données projet'!$E$16+1,1))-AVERAGE(OFFSET($H$3,0,0,'Données projet'!$E$16+1,1))</f>
        <v>337.15023592377008</v>
      </c>
      <c r="FK176" s="59">
        <f t="shared" si="156"/>
        <v>286.60608582587099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62.937739515685323</v>
      </c>
      <c r="FR176" s="21">
        <f>EXP(-LN(2)/25)*FR175+(1-EXP(-LN(2)/25))/(LN(2)/25)*Calculateur!FM176*Calculateur!FO176*VLOOKUP('Données projet'!$B$16,Paramètres!$A$1:$I$89,3,0)*0.475*44/12</f>
        <v>12.142335791010606</v>
      </c>
      <c r="FS176" s="21">
        <f>EXP(-LN(2)/2)*FS175+(1-EXP(-LN(2)/2))/(LN(2)/2)*FM176*FP176*VLOOKUP('Données projet'!$B$16,Paramètres!$A$1:$I$89,3,0)*0.475*44/12</f>
        <v>2.0987217410715737E-4</v>
      </c>
      <c r="FT176" s="22">
        <f t="shared" si="184"/>
        <v>75.080285178870042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9.6220000000000034</v>
      </c>
      <c r="FZ176" s="12">
        <f>IF('Données projet'!$A$244&gt;35,FZ175+FY176-GH175,IF(A176&lt;'Données projet'!$A$244,$FW$205^A176,IF(A176='Données projet'!$A$244,'Données projet'!$B$244,FZ175+FY176-GH175)))</f>
        <v>600.89800000000093</v>
      </c>
      <c r="GA176" s="17">
        <f>FZ176*VLOOKUP('Données projet'!$B$17,Paramètres!$A$1:$I$89,3,0)*VLOOKUP('Données projet'!$B$17,Paramètres!$A$1:$I$89,5,0)</f>
        <v>543.69251040000086</v>
      </c>
      <c r="GB176" s="13">
        <f t="shared" si="185"/>
        <v>120.36778959614513</v>
      </c>
      <c r="GC176" s="20">
        <f t="shared" si="186"/>
        <v>1156.5716891599543</v>
      </c>
      <c r="GD176" s="59">
        <f t="shared" si="134"/>
        <v>1449.9050224932876</v>
      </c>
      <c r="GE176" s="59">
        <f ca="1">AVERAGE(OFFSET($GD$3,0,0,'Données projet'!$E$17+1,1))-AVERAGE(OFFSET($H$3,0,0,'Données projet'!$E$17+1,1))</f>
        <v>486.55344536255876</v>
      </c>
      <c r="GF176" s="59">
        <f t="shared" si="158"/>
        <v>231.14794884432229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49.044071795746838</v>
      </c>
      <c r="GM176" s="21">
        <f>EXP(-LN(2)/25)*GM175+(1-EXP(-LN(2)/25))/(LN(2)/25)*Calculateur!GH176*Calculateur!GJ176*VLOOKUP('Données projet'!$B$17,Paramètres!$A$1:$I$89,3,0)*0.475*44/12</f>
        <v>17.927075730788168</v>
      </c>
      <c r="GN176" s="21">
        <f>EXP(-LN(2)/2)*GN175+(1-EXP(-LN(2)/2))/(LN(2)/2)*GH176*GK176*VLOOKUP('Données projet'!$B$17,Paramètres!$A$1:$I$89,3,0)*0.475*44/12</f>
        <v>2.1520097978525428E-7</v>
      </c>
      <c r="GO176" s="21">
        <f t="shared" si="187"/>
        <v>66.97114774173599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537.0969750686894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252.08270526008477</v>
      </c>
      <c r="T177" s="59">
        <f t="shared" si="142"/>
        <v>239.77811108960179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39.87642444127858</v>
      </c>
      <c r="AA177" s="21">
        <f>EXP(-LN(2)/25)*AA176+(1-EXP(-LN(2)/25))/(LN(2)/25)*Calculateur!V177*Calculateur!X177*VLOOKUP('Données projet'!$B$9,Paramètres!$A$1:$I$89,3,0)*0.475*44/12</f>
        <v>7.0213744136880605</v>
      </c>
      <c r="AB177" s="21">
        <f>EXP(-LN(2)/2)*AB176+(1-EXP(-LN(2)/2))/(LN(2)/2)*V177*Y177*VLOOKUP('Données projet'!$B$9,Paramètres!$A$1:$I$89,3,0)*0.475*44/12</f>
        <v>3.9790016885900337E-10</v>
      </c>
      <c r="AC177" s="22">
        <f t="shared" si="163"/>
        <v>46.897798855364535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251.64326096359997</v>
      </c>
      <c r="AO177" s="59">
        <f t="shared" si="144"/>
        <v>256.72142151189894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14.524726005753759</v>
      </c>
      <c r="AV177" s="21">
        <f>EXP(-LN(2)/25)*AV176+(1-EXP(-LN(2)/25))/(LN(2)/25)*Calculateur!AQ177*Calculateur!AS177*VLOOKUP('Données projet'!$B$10,Paramètres!$A$1:$I$89,3,0)*0.475*44/12</f>
        <v>2.0535817506952441</v>
      </c>
      <c r="AW177" s="21">
        <f>EXP(-LN(2)/2)*AW176+(1-EXP(-LN(2)/2))/(LN(2)/2)*AQ177*AT177*VLOOKUP('Données projet'!$B$10,Paramètres!$A$1:$I$89,3,0)*0.475*44/12</f>
        <v>4.1606609007644939E-16</v>
      </c>
      <c r="AX177" s="21">
        <f t="shared" si="166"/>
        <v>16.578307756449004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199.29783428981898</v>
      </c>
      <c r="BJ177" s="59">
        <f t="shared" si="146"/>
        <v>237.32002274562547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0.6030089108100205</v>
      </c>
      <c r="BQ177" s="21">
        <f>EXP(-LN(2)/25)*BQ176+(1-EXP(-LN(2)/25))/(LN(2)/25)*Calculateur!BL177*Calculateur!BN177*VLOOKUP('Données projet'!$B$11,Paramètres!$A$1:$I$89,3,0)*0.475*44/12</f>
        <v>1.2381620680209289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1.8411709788309494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2.5579538487363607E-13</v>
      </c>
      <c r="BZ177" s="13">
        <f>BY177*VLOOKUP('Données projet'!$B$12,Paramètres!$A$1:$I$89,3,0)*VLOOKUP('Données projet'!$B$12,Paramètres!$A$1:$I$89,5,0)</f>
        <v>2.1548203221755105E-13</v>
      </c>
      <c r="CA177" s="13">
        <f t="shared" si="170"/>
        <v>2.9604251148637229E-12</v>
      </c>
      <c r="CB177" s="20">
        <f t="shared" si="171"/>
        <v>5.5313716144998842E-12</v>
      </c>
      <c r="CC177" s="59">
        <f t="shared" si="119"/>
        <v>293.33333333333883</v>
      </c>
      <c r="CD177" s="59">
        <f ca="1">AVERAGE(OFFSET($CC$3,0,0,'Données projet'!$E$12+1,1))-AVERAGE(OFFSET($H$3,0,0,'Données projet'!$E$12+1,1))</f>
        <v>295.59075210589327</v>
      </c>
      <c r="CE177" s="59">
        <f t="shared" si="148"/>
        <v>210.41181542059576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44.002579796878379</v>
      </c>
      <c r="CL177" s="21">
        <f>EXP(-LN(2)/25)*CL176+(1-EXP(-LN(2)/25))/(LN(2)/25)*Calculateur!CG177*Calculateur!CI177*VLOOKUP('Données projet'!$B$12,Paramètres!$A$1:$I$89,3,0)*0.475*44/12</f>
        <v>6.4711050129701757</v>
      </c>
      <c r="CM177" s="21">
        <f>EXP(-LN(2)/2)*CM176+(1-EXP(-LN(2)/2))/(LN(2)/2)*CG177*CJ177*VLOOKUP('Données projet'!$B$12,Paramètres!$A$1:$I$89,3,0)*0.475*44/12</f>
        <v>1.5114877051516261E-6</v>
      </c>
      <c r="CN177" s="22">
        <f t="shared" si="172"/>
        <v>50.47368632133626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5.1727511163335289E-14</v>
      </c>
      <c r="CV177" s="13">
        <f t="shared" si="173"/>
        <v>8.3906664221915895E-13</v>
      </c>
      <c r="CW177" s="20">
        <f t="shared" si="174"/>
        <v>1.551466483807844E-12</v>
      </c>
      <c r="CX177" s="59">
        <f t="shared" si="122"/>
        <v>293.33333333333485</v>
      </c>
      <c r="CY177" s="59">
        <f ca="1">AVERAGE(OFFSET($CX$3,0,0,'Données projet'!$E$13+1,1))-AVERAGE(OFFSET($H$3,0,0,'Données projet'!$E$13+1,1))</f>
        <v>338.22448697444298</v>
      </c>
      <c r="CZ177" s="59">
        <f t="shared" si="150"/>
        <v>293.3872365640849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33.06051178151256</v>
      </c>
      <c r="DG177" s="21">
        <f>EXP(-LN(2)/25)*DG176+(1-EXP(-LN(2)/25))/(LN(2)/25)*Calculateur!DB177*Calculateur!DD177*VLOOKUP('Données projet'!$B$13,Paramètres!$A$1:$I$89,3,0)*0.475*44/12</f>
        <v>5.4628667118711451</v>
      </c>
      <c r="DH177" s="21">
        <f>EXP(-LN(2)/2)*DH176+(1-EXP(-LN(2)/2))/(LN(2)/2)*DB177*DE177*VLOOKUP('Données projet'!$B$13,Paramètres!$A$1:$I$89,3,0)*0.475*44/12</f>
        <v>5.7494112809546698E-13</v>
      </c>
      <c r="DI177" s="22">
        <f t="shared" si="175"/>
        <v>38.523378493384278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5.6843418860808015E-13</v>
      </c>
      <c r="DP177" s="17">
        <f>DO177*VLOOKUP('Données projet'!$B$14,Paramètres!$A$1:$I$89,3,0)*VLOOKUP('Données projet'!$B$14,Paramètres!$A$1:$I$89,5,0)</f>
        <v>3.177547114319168E-13</v>
      </c>
      <c r="DQ177" s="13">
        <f t="shared" si="176"/>
        <v>4.1725404435445377E-12</v>
      </c>
      <c r="DR177" s="20">
        <f t="shared" si="177"/>
        <v>7.820597394917325E-12</v>
      </c>
      <c r="DS177" s="59">
        <f t="shared" si="125"/>
        <v>293.33333333334116</v>
      </c>
      <c r="DT177" s="59">
        <f ca="1">AVERAGE(OFFSET($DS$3,0,0,'Données projet'!$E$14+1,1))-AVERAGE(OFFSET($H$3,0,0,'Données projet'!$E$14+1,1))</f>
        <v>328.15217666639006</v>
      </c>
      <c r="DU177" s="59">
        <f t="shared" si="152"/>
        <v>305.59175773326308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29.420507933127006</v>
      </c>
      <c r="EB177" s="21">
        <f>EXP(-LN(2)/25)*EB176+(1-EXP(-LN(2)/25))/(LN(2)/25)*Calculateur!DW177*Calculateur!DY177*VLOOKUP('Données projet'!$B$14,Paramètres!$A$1:$I$89,3,0)*0.475*44/12</f>
        <v>4.2937342723868204</v>
      </c>
      <c r="EC177" s="21">
        <f>EXP(-LN(2)/2)*EC176+(1-EXP(-LN(2)/2))/(LN(2)/2)*DW177*DZ177*VLOOKUP('Données projet'!$B$14,Paramètres!$A$1:$I$89,3,0)*0.475*44/12</f>
        <v>1.6765594317917889E-14</v>
      </c>
      <c r="ED177" s="22">
        <f t="shared" si="178"/>
        <v>33.714242205513841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159.78276497127206</v>
      </c>
      <c r="EP177" s="59">
        <f t="shared" si="154"/>
        <v>190.72163407919857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0.70039138433738568</v>
      </c>
      <c r="EW177" s="21">
        <f>EXP(-LN(2)/25)*EW176+(1-EXP(-LN(2)/25))/(LN(2)/25)*Calculateur!ER177*Calculateur!ET177*VLOOKUP('Données projet'!$B$15,Paramètres!$A$1:$I$89,3,0)*0.475*44/12</f>
        <v>1.4381181261323546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2.1385095104697402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6.2527760746888816E-13</v>
      </c>
      <c r="FF177" s="17">
        <f>FE177*VLOOKUP('Données projet'!$B$16,Paramètres!$A$1:$I$89,3,0)*VLOOKUP('Données projet'!$B$16,Paramètres!$A$1:$I$89,5,0)</f>
        <v>5.3648818720830608E-13</v>
      </c>
      <c r="FG177" s="13">
        <f t="shared" si="182"/>
        <v>6.6281362235424649E-12</v>
      </c>
      <c r="FH177" s="20">
        <f t="shared" si="183"/>
        <v>1.2478387515390925E-11</v>
      </c>
      <c r="FI177" s="59">
        <f t="shared" si="131"/>
        <v>293.33333333334582</v>
      </c>
      <c r="FJ177" s="59">
        <f ca="1">AVERAGE(OFFSET($FI$3,0,0,'Données projet'!$E$16+1,1))-AVERAGE(OFFSET($H$3,0,0,'Données projet'!$E$16+1,1))</f>
        <v>337.15023592377008</v>
      </c>
      <c r="FK177" s="59">
        <f t="shared" si="156"/>
        <v>286.60608582587099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61.703568832013318</v>
      </c>
      <c r="FR177" s="21">
        <f>EXP(-LN(2)/25)*FR176+(1-EXP(-LN(2)/25))/(LN(2)/25)*Calculateur!FM177*Calculateur!FO177*VLOOKUP('Données projet'!$B$16,Paramètres!$A$1:$I$89,3,0)*0.475*44/12</f>
        <v>11.810302980267734</v>
      </c>
      <c r="FS177" s="21">
        <f>EXP(-LN(2)/2)*FS176+(1-EXP(-LN(2)/2))/(LN(2)/2)*FM177*FP177*VLOOKUP('Données projet'!$B$16,Paramètres!$A$1:$I$89,3,0)*0.475*44/12</f>
        <v>1.4840203749353473E-4</v>
      </c>
      <c r="FT177" s="22">
        <f t="shared" si="184"/>
        <v>73.514020214318549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>
        <f>VLOOKUP(A177,'Données projet'!$A$243:$I$263,2,0)</f>
        <v>610.52</v>
      </c>
      <c r="FX177" s="12">
        <f>VLOOKUP(A177,'Données projet'!$A$243:$I$263,9,0)</f>
        <v>9.6220000000000034</v>
      </c>
      <c r="FY177" s="12">
        <f t="array" ref="FY177">INDEX(FX:FX,MIN(IF(ISNUMBER(FX177:FX373),ROW(FX177:FX373),"")))</f>
        <v>9.6220000000000034</v>
      </c>
      <c r="FZ177" s="12">
        <f>IF('Données projet'!$A$244&gt;35,FZ176+FY177-GH176,IF(A177&lt;'Données projet'!$A$244,$FW$205^A177,IF(A177='Données projet'!$A$244,'Données projet'!$B$244,FZ176+FY177-GH176)))</f>
        <v>610.52000000000089</v>
      </c>
      <c r="GA177" s="17">
        <f>FZ177*VLOOKUP('Données projet'!$B$17,Paramètres!$A$1:$I$89,3,0)*VLOOKUP('Données projet'!$B$17,Paramètres!$A$1:$I$89,5,0)</f>
        <v>552.3984960000007</v>
      </c>
      <c r="GB177" s="13">
        <f t="shared" si="185"/>
        <v>122.06927432492597</v>
      </c>
      <c r="GC177" s="20">
        <f t="shared" si="186"/>
        <v>1174.698033315914</v>
      </c>
      <c r="GD177" s="59">
        <f t="shared" si="134"/>
        <v>1468.0313666492473</v>
      </c>
      <c r="GE177" s="59">
        <f ca="1">AVERAGE(OFFSET($GD$3,0,0,'Données projet'!$E$17+1,1))-AVERAGE(OFFSET($H$3,0,0,'Données projet'!$E$17+1,1))</f>
        <v>486.55344536255876</v>
      </c>
      <c r="GF177" s="59">
        <f t="shared" si="158"/>
        <v>231.14794884432229</v>
      </c>
      <c r="GG177" s="15">
        <f>IF(ISNA(VLOOKUP(A177,'Données projet'!$A$243:$I$263,3,0)),0,VLOOKUP(A177,'Données projet'!$A$243:$I$263,3,0))</f>
        <v>15</v>
      </c>
      <c r="GH177" s="15">
        <f>IF(ISNA(VLOOKUP(A177,'Données projet'!$A$243:$I$263,4,0)),0,VLOOKUP(A177,'Données projet'!$A$243:$I$263,4,0))</f>
        <v>240</v>
      </c>
      <c r="GI177" s="16">
        <f>IF(ISNA(VLOOKUP(A177,'Données projet'!$A$243:$I$263,5,0)),0%,VLOOKUP(A177,'Données projet'!$A$243:$I$263,5,0)*VLOOKUP('Données projet'!$B$17,Paramètres!$A$1:$I$89,7,0))</f>
        <v>0.19350000000000001</v>
      </c>
      <c r="GJ177" s="16">
        <f>IF(ISNA(VLOOKUP(A177,'Données projet'!$A$243:$I$263,6,0)),0%,VLOOKUP(A177,'Données projet'!$A$243:$I$263,6,0)*VLOOKUP('Données projet'!$B$17,Paramètres!$A$1:$I$89,7,0))</f>
        <v>2.1500000000000002E-2</v>
      </c>
      <c r="GK177" s="16">
        <f>IF(ISNA(VLOOKUP(A177,'Données projet'!$A$243:$I$263,7,0)),0%,VLOOKUP(A177,'Données projet'!$A$243:$I$263,7,0))</f>
        <v>0.05</v>
      </c>
      <c r="GL177" s="21">
        <f>EXP(-LN(2)/35)*GL176+(1-EXP(-LN(2)/35))/(LN(2)/35)*GH177*GI177*VLOOKUP('Données projet'!$B$17,Paramètres!$A$1:$I$89,3,0)*0.475*44/12</f>
        <v>94.533010057963907</v>
      </c>
      <c r="GM177" s="21">
        <f>EXP(-LN(2)/25)*GM176+(1-EXP(-LN(2)/25))/(LN(2)/25)*Calculateur!GH177*Calculateur!GJ177*VLOOKUP('Données projet'!$B$17,Paramètres!$A$1:$I$89,3,0)*0.475*44/12</f>
        <v>22.577722084238086</v>
      </c>
      <c r="GN177" s="21">
        <f>EXP(-LN(2)/2)*GN176+(1-EXP(-LN(2)/2))/(LN(2)/2)*GH177*GK177*VLOOKUP('Données projet'!$B$17,Paramètres!$A$1:$I$89,3,0)*0.475*44/12</f>
        <v>10.244437980189536</v>
      </c>
      <c r="GO177" s="21">
        <f t="shared" si="187"/>
        <v>127.35517012239153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538.66958823451057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252.08270526008477</v>
      </c>
      <c r="T178" s="59">
        <f t="shared" si="142"/>
        <v>239.77811108960179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39.094472080202394</v>
      </c>
      <c r="AA178" s="21">
        <f>EXP(-LN(2)/25)*AA177+(1-EXP(-LN(2)/25))/(LN(2)/25)*Calculateur!V178*Calculateur!X178*VLOOKUP('Données projet'!$B$9,Paramètres!$A$1:$I$89,3,0)*0.475*44/12</f>
        <v>6.8293745611077279</v>
      </c>
      <c r="AB178" s="21">
        <f>EXP(-LN(2)/2)*AB177+(1-EXP(-LN(2)/2))/(LN(2)/2)*V178*Y178*VLOOKUP('Données projet'!$B$9,Paramètres!$A$1:$I$89,3,0)*0.475*44/12</f>
        <v>2.8135790763547361E-10</v>
      </c>
      <c r="AC178" s="22">
        <f t="shared" si="163"/>
        <v>45.923846641591481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251.64326096359997</v>
      </c>
      <c r="AO178" s="59">
        <f t="shared" si="144"/>
        <v>256.72142151189894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14.239904987989018</v>
      </c>
      <c r="AV178" s="21">
        <f>EXP(-LN(2)/25)*AV177+(1-EXP(-LN(2)/25))/(LN(2)/25)*Calculateur!AQ178*Calculateur!AS178*VLOOKUP('Données projet'!$B$10,Paramètres!$A$1:$I$89,3,0)*0.475*44/12</f>
        <v>1.9974264497293119</v>
      </c>
      <c r="AW178" s="21">
        <f>EXP(-LN(2)/2)*AW177+(1-EXP(-LN(2)/2))/(LN(2)/2)*AQ178*AT178*VLOOKUP('Données projet'!$B$10,Paramètres!$A$1:$I$89,3,0)*0.475*44/12</f>
        <v>2.9420315371483027E-16</v>
      </c>
      <c r="AX178" s="21">
        <f t="shared" si="166"/>
        <v>16.237331437718328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199.29783428981898</v>
      </c>
      <c r="BJ178" s="59">
        <f t="shared" si="146"/>
        <v>237.32002274562547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0.59118427386815442</v>
      </c>
      <c r="BQ178" s="21">
        <f>EXP(-LN(2)/25)*BQ177+(1-EXP(-LN(2)/25))/(LN(2)/25)*Calculateur!BL178*Calculateur!BN178*VLOOKUP('Données projet'!$B$11,Paramètres!$A$1:$I$89,3,0)*0.475*44/12</f>
        <v>1.2043044611587832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1.7954887350269377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2.5579538487363607E-13</v>
      </c>
      <c r="BZ178" s="13">
        <f>BY178*VLOOKUP('Données projet'!$B$12,Paramètres!$A$1:$I$89,3,0)*VLOOKUP('Données projet'!$B$12,Paramètres!$A$1:$I$89,5,0)</f>
        <v>2.1548203221755105E-13</v>
      </c>
      <c r="CA178" s="13">
        <f t="shared" si="170"/>
        <v>2.9604251148637229E-12</v>
      </c>
      <c r="CB178" s="20">
        <f t="shared" si="171"/>
        <v>5.5313716144998842E-12</v>
      </c>
      <c r="CC178" s="59">
        <f t="shared" si="119"/>
        <v>293.33333333333883</v>
      </c>
      <c r="CD178" s="59">
        <f ca="1">AVERAGE(OFFSET($CC$3,0,0,'Données projet'!$E$12+1,1))-AVERAGE(OFFSET($H$3,0,0,'Données projet'!$E$12+1,1))</f>
        <v>295.59075210589327</v>
      </c>
      <c r="CE178" s="59">
        <f t="shared" si="148"/>
        <v>210.41181542059576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43.139716045985146</v>
      </c>
      <c r="CL178" s="21">
        <f>EXP(-LN(2)/25)*CL177+(1-EXP(-LN(2)/25))/(LN(2)/25)*Calculateur!CG178*Calculateur!CI178*VLOOKUP('Données projet'!$B$12,Paramètres!$A$1:$I$89,3,0)*0.475*44/12</f>
        <v>6.2941523060898836</v>
      </c>
      <c r="CM178" s="21">
        <f>EXP(-LN(2)/2)*CM177+(1-EXP(-LN(2)/2))/(LN(2)/2)*CG178*CJ178*VLOOKUP('Données projet'!$B$12,Paramètres!$A$1:$I$89,3,0)*0.475*44/12</f>
        <v>1.0687832059928077E-6</v>
      </c>
      <c r="CN178" s="22">
        <f t="shared" si="172"/>
        <v>49.433869420858237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5.1727511163335289E-14</v>
      </c>
      <c r="CV178" s="13">
        <f t="shared" si="173"/>
        <v>8.3906664221915895E-13</v>
      </c>
      <c r="CW178" s="20">
        <f t="shared" si="174"/>
        <v>1.551466483807844E-12</v>
      </c>
      <c r="CX178" s="59">
        <f t="shared" si="122"/>
        <v>293.33333333333485</v>
      </c>
      <c r="CY178" s="59">
        <f ca="1">AVERAGE(OFFSET($CX$3,0,0,'Données projet'!$E$13+1,1))-AVERAGE(OFFSET($H$3,0,0,'Données projet'!$E$13+1,1))</f>
        <v>338.22448697444298</v>
      </c>
      <c r="CZ178" s="59">
        <f t="shared" si="150"/>
        <v>293.3872365640849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32.412215310398167</v>
      </c>
      <c r="DG178" s="21">
        <f>EXP(-LN(2)/25)*DG177+(1-EXP(-LN(2)/25))/(LN(2)/25)*Calculateur!DB178*Calculateur!DD178*VLOOKUP('Données projet'!$B$13,Paramètres!$A$1:$I$89,3,0)*0.475*44/12</f>
        <v>5.3134843343553539</v>
      </c>
      <c r="DH178" s="21">
        <f>EXP(-LN(2)/2)*DH177+(1-EXP(-LN(2)/2))/(LN(2)/2)*DB178*DE178*VLOOKUP('Données projet'!$B$13,Paramètres!$A$1:$I$89,3,0)*0.475*44/12</f>
        <v>4.0654477045934817E-13</v>
      </c>
      <c r="DI178" s="22">
        <f t="shared" si="175"/>
        <v>37.725699644753924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5.6843418860808015E-13</v>
      </c>
      <c r="DP178" s="17">
        <f>DO178*VLOOKUP('Données projet'!$B$14,Paramètres!$A$1:$I$89,3,0)*VLOOKUP('Données projet'!$B$14,Paramètres!$A$1:$I$89,5,0)</f>
        <v>3.177547114319168E-13</v>
      </c>
      <c r="DQ178" s="13">
        <f t="shared" si="176"/>
        <v>4.1725404435445377E-12</v>
      </c>
      <c r="DR178" s="20">
        <f t="shared" si="177"/>
        <v>7.820597394917325E-12</v>
      </c>
      <c r="DS178" s="59">
        <f t="shared" si="125"/>
        <v>293.33333333334116</v>
      </c>
      <c r="DT178" s="59">
        <f ca="1">AVERAGE(OFFSET($DS$3,0,0,'Données projet'!$E$14+1,1))-AVERAGE(OFFSET($H$3,0,0,'Données projet'!$E$14+1,1))</f>
        <v>328.15217666639006</v>
      </c>
      <c r="DU178" s="59">
        <f t="shared" si="152"/>
        <v>305.59175773326308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28.843589717296329</v>
      </c>
      <c r="EB178" s="21">
        <f>EXP(-LN(2)/25)*EB177+(1-EXP(-LN(2)/25))/(LN(2)/25)*Calculateur!DW178*Calculateur!DY178*VLOOKUP('Données projet'!$B$14,Paramètres!$A$1:$I$89,3,0)*0.475*44/12</f>
        <v>4.1763218829107309</v>
      </c>
      <c r="EC178" s="21">
        <f>EXP(-LN(2)/2)*EC177+(1-EXP(-LN(2)/2))/(LN(2)/2)*DW178*DZ178*VLOOKUP('Données projet'!$B$14,Paramètres!$A$1:$I$89,3,0)*0.475*44/12</f>
        <v>1.1855065432822389E-14</v>
      </c>
      <c r="ED178" s="22">
        <f t="shared" si="178"/>
        <v>33.019911600207074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159.78276497127206</v>
      </c>
      <c r="EP178" s="59">
        <f t="shared" si="154"/>
        <v>190.72163407919857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0.68665713648709181</v>
      </c>
      <c r="EW178" s="21">
        <f>EXP(-LN(2)/25)*EW177+(1-EXP(-LN(2)/25))/(LN(2)/25)*Calculateur!ER178*Calculateur!ET178*VLOOKUP('Données projet'!$B$15,Paramètres!$A$1:$I$89,3,0)*0.475*44/12</f>
        <v>1.3987927103459199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2.0854498468330118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6.2527760746888816E-13</v>
      </c>
      <c r="FF178" s="17">
        <f>FE178*VLOOKUP('Données projet'!$B$16,Paramètres!$A$1:$I$89,3,0)*VLOOKUP('Données projet'!$B$16,Paramètres!$A$1:$I$89,5,0)</f>
        <v>5.3648818720830608E-13</v>
      </c>
      <c r="FG178" s="13">
        <f t="shared" si="182"/>
        <v>6.6281362235424649E-12</v>
      </c>
      <c r="FH178" s="20">
        <f t="shared" si="183"/>
        <v>1.2478387515390925E-11</v>
      </c>
      <c r="FI178" s="59">
        <f t="shared" si="131"/>
        <v>293.33333333334582</v>
      </c>
      <c r="FJ178" s="59">
        <f ca="1">AVERAGE(OFFSET($FI$3,0,0,'Données projet'!$E$16+1,1))-AVERAGE(OFFSET($H$3,0,0,'Données projet'!$E$16+1,1))</f>
        <v>337.15023592377008</v>
      </c>
      <c r="FK178" s="59">
        <f t="shared" si="156"/>
        <v>286.60608582587099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60.493599482678334</v>
      </c>
      <c r="FR178" s="21">
        <f>EXP(-LN(2)/25)*FR177+(1-EXP(-LN(2)/25))/(LN(2)/25)*Calculateur!FM178*Calculateur!FO178*VLOOKUP('Données projet'!$B$16,Paramètres!$A$1:$I$89,3,0)*0.475*44/12</f>
        <v>11.487349624195472</v>
      </c>
      <c r="FS178" s="21">
        <f>EXP(-LN(2)/2)*FS177+(1-EXP(-LN(2)/2))/(LN(2)/2)*FM178*FP178*VLOOKUP('Données projet'!$B$16,Paramètres!$A$1:$I$89,3,0)*0.475*44/12</f>
        <v>1.0493608705357869E-4</v>
      </c>
      <c r="FT178" s="22">
        <f t="shared" si="184"/>
        <v>71.981054042960864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6.140000000000005</v>
      </c>
      <c r="FZ178" s="12">
        <f>IF('Données projet'!$A$244&gt;35,FZ177+FY178-GH177,IF(A178&lt;'Données projet'!$A$244,$FW$205^A178,IF(A178='Données projet'!$A$244,'Données projet'!$B$244,FZ177+FY178-GH177)))</f>
        <v>376.66000000000088</v>
      </c>
      <c r="GA178" s="17">
        <f>FZ178*VLOOKUP('Données projet'!$B$17,Paramètres!$A$1:$I$89,3,0)*VLOOKUP('Données projet'!$B$17,Paramètres!$A$1:$I$89,5,0)</f>
        <v>340.80196800000078</v>
      </c>
      <c r="GB178" s="13">
        <f t="shared" si="185"/>
        <v>79.665615362245418</v>
      </c>
      <c r="GC178" s="20">
        <f t="shared" si="186"/>
        <v>732.31437435591215</v>
      </c>
      <c r="GD178" s="59">
        <f t="shared" si="134"/>
        <v>1025.6477076892454</v>
      </c>
      <c r="GE178" s="59">
        <f ca="1">AVERAGE(OFFSET($GD$3,0,0,'Données projet'!$E$17+1,1))-AVERAGE(OFFSET($H$3,0,0,'Données projet'!$E$17+1,1))</f>
        <v>486.55344536255876</v>
      </c>
      <c r="GF178" s="59">
        <f t="shared" si="158"/>
        <v>231.14794884432229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92.679275390169977</v>
      </c>
      <c r="GM178" s="21">
        <f>EXP(-LN(2)/25)*GM177+(1-EXP(-LN(2)/25))/(LN(2)/25)*Calculateur!GH178*Calculateur!GJ178*VLOOKUP('Données projet'!$B$17,Paramètres!$A$1:$I$89,3,0)*0.475*44/12</f>
        <v>21.960333086533794</v>
      </c>
      <c r="GN178" s="21">
        <f>EXP(-LN(2)/2)*GN177+(1-EXP(-LN(2)/2))/(LN(2)/2)*GH178*GK178*VLOOKUP('Données projet'!$B$17,Paramètres!$A$1:$I$89,3,0)*0.475*44/12</f>
        <v>7.2439115652370401</v>
      </c>
      <c r="GO178" s="21">
        <f t="shared" si="187"/>
        <v>121.88352004194081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540.24200483294248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252.08270526008477</v>
      </c>
      <c r="T179" s="59">
        <f t="shared" si="142"/>
        <v>239.77811108960179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38.327853327983071</v>
      </c>
      <c r="AA179" s="21">
        <f>EXP(-LN(2)/25)*AA178+(1-EXP(-LN(2)/25))/(LN(2)/25)*Calculateur!V179*Calculateur!X179*VLOOKUP('Données projet'!$B$9,Paramètres!$A$1:$I$89,3,0)*0.475*44/12</f>
        <v>6.642624954593038</v>
      </c>
      <c r="AB179" s="21">
        <f>EXP(-LN(2)/2)*AB178+(1-EXP(-LN(2)/2))/(LN(2)/2)*V179*Y179*VLOOKUP('Données projet'!$B$9,Paramètres!$A$1:$I$89,3,0)*0.475*44/12</f>
        <v>1.9895008442950169E-10</v>
      </c>
      <c r="AC179" s="22">
        <f t="shared" si="163"/>
        <v>44.970478282775062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251.64326096359997</v>
      </c>
      <c r="AO179" s="59">
        <f t="shared" si="144"/>
        <v>256.72142151189894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13.960669136658975</v>
      </c>
      <c r="AV179" s="21">
        <f>EXP(-LN(2)/25)*AV178+(1-EXP(-LN(2)/25))/(LN(2)/25)*Calculateur!AQ179*Calculateur!AS179*VLOOKUP('Données projet'!$B$10,Paramètres!$A$1:$I$89,3,0)*0.475*44/12</f>
        <v>1.942806718421372</v>
      </c>
      <c r="AW179" s="21">
        <f>EXP(-LN(2)/2)*AW178+(1-EXP(-LN(2)/2))/(LN(2)/2)*AQ179*AT179*VLOOKUP('Données projet'!$B$10,Paramètres!$A$1:$I$89,3,0)*0.475*44/12</f>
        <v>2.0803304503822469E-16</v>
      </c>
      <c r="AX179" s="21">
        <f t="shared" si="166"/>
        <v>15.903475855080346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199.29783428981898</v>
      </c>
      <c r="BJ179" s="59">
        <f t="shared" si="146"/>
        <v>237.32002274562547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0.57959151084440197</v>
      </c>
      <c r="BQ179" s="21">
        <f>EXP(-LN(2)/25)*BQ178+(1-EXP(-LN(2)/25))/(LN(2)/25)*Calculateur!BL179*Calculateur!BN179*VLOOKUP('Données projet'!$B$11,Paramètres!$A$1:$I$89,3,0)*0.475*44/12</f>
        <v>1.1713726923367771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1.7509642031811792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2.5579538487363607E-13</v>
      </c>
      <c r="BZ179" s="13">
        <f>BY179*VLOOKUP('Données projet'!$B$12,Paramètres!$A$1:$I$89,3,0)*VLOOKUP('Données projet'!$B$12,Paramètres!$A$1:$I$89,5,0)</f>
        <v>2.1548203221755105E-13</v>
      </c>
      <c r="CA179" s="13">
        <f t="shared" si="170"/>
        <v>2.9604251148637229E-12</v>
      </c>
      <c r="CB179" s="20">
        <f t="shared" si="171"/>
        <v>5.5313716144998842E-12</v>
      </c>
      <c r="CC179" s="59">
        <f t="shared" si="119"/>
        <v>293.33333333333883</v>
      </c>
      <c r="CD179" s="59">
        <f ca="1">AVERAGE(OFFSET($CC$3,0,0,'Données projet'!$E$12+1,1))-AVERAGE(OFFSET($H$3,0,0,'Données projet'!$E$12+1,1))</f>
        <v>295.59075210589327</v>
      </c>
      <c r="CE179" s="59">
        <f t="shared" si="148"/>
        <v>210.41181542059576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42.293772526952012</v>
      </c>
      <c r="CL179" s="21">
        <f>EXP(-LN(2)/25)*CL178+(1-EXP(-LN(2)/25))/(LN(2)/25)*Calculateur!CG179*Calculateur!CI179*VLOOKUP('Données projet'!$B$12,Paramètres!$A$1:$I$89,3,0)*0.475*44/12</f>
        <v>6.1220383802847715</v>
      </c>
      <c r="CM179" s="21">
        <f>EXP(-LN(2)/2)*CM178+(1-EXP(-LN(2)/2))/(LN(2)/2)*CG179*CJ179*VLOOKUP('Données projet'!$B$12,Paramètres!$A$1:$I$89,3,0)*0.475*44/12</f>
        <v>7.5574385257581306E-7</v>
      </c>
      <c r="CN179" s="22">
        <f t="shared" si="172"/>
        <v>48.415811662980637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5.1727511163335289E-14</v>
      </c>
      <c r="CV179" s="13">
        <f t="shared" si="173"/>
        <v>8.3906664221915895E-13</v>
      </c>
      <c r="CW179" s="20">
        <f t="shared" si="174"/>
        <v>1.551466483807844E-12</v>
      </c>
      <c r="CX179" s="59">
        <f t="shared" si="122"/>
        <v>293.33333333333485</v>
      </c>
      <c r="CY179" s="59">
        <f ca="1">AVERAGE(OFFSET($CX$3,0,0,'Données projet'!$E$13+1,1))-AVERAGE(OFFSET($H$3,0,0,'Données projet'!$E$13+1,1))</f>
        <v>338.22448697444298</v>
      </c>
      <c r="CZ179" s="59">
        <f t="shared" si="150"/>
        <v>293.3872365640849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31.776631537660524</v>
      </c>
      <c r="DG179" s="21">
        <f>EXP(-LN(2)/25)*DG178+(1-EXP(-LN(2)/25))/(LN(2)/25)*Calculateur!DB179*Calculateur!DD179*VLOOKUP('Données projet'!$B$13,Paramètres!$A$1:$I$89,3,0)*0.475*44/12</f>
        <v>5.1681868258084096</v>
      </c>
      <c r="DH179" s="21">
        <f>EXP(-LN(2)/2)*DH178+(1-EXP(-LN(2)/2))/(LN(2)/2)*DB179*DE179*VLOOKUP('Données projet'!$B$13,Paramètres!$A$1:$I$89,3,0)*0.475*44/12</f>
        <v>2.8747056404773349E-13</v>
      </c>
      <c r="DI179" s="22">
        <f t="shared" si="175"/>
        <v>36.944818363469217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5.6843418860808015E-13</v>
      </c>
      <c r="DP179" s="17">
        <f>DO179*VLOOKUP('Données projet'!$B$14,Paramètres!$A$1:$I$89,3,0)*VLOOKUP('Données projet'!$B$14,Paramètres!$A$1:$I$89,5,0)</f>
        <v>3.177547114319168E-13</v>
      </c>
      <c r="DQ179" s="13">
        <f t="shared" si="176"/>
        <v>4.1725404435445377E-12</v>
      </c>
      <c r="DR179" s="20">
        <f t="shared" si="177"/>
        <v>7.820597394917325E-12</v>
      </c>
      <c r="DS179" s="59">
        <f t="shared" si="125"/>
        <v>293.33333333334116</v>
      </c>
      <c r="DT179" s="59">
        <f ca="1">AVERAGE(OFFSET($DS$3,0,0,'Données projet'!$E$14+1,1))-AVERAGE(OFFSET($H$3,0,0,'Données projet'!$E$14+1,1))</f>
        <v>328.15217666639006</v>
      </c>
      <c r="DU179" s="59">
        <f t="shared" si="152"/>
        <v>305.59175773326308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28.277984515792724</v>
      </c>
      <c r="EB179" s="21">
        <f>EXP(-LN(2)/25)*EB178+(1-EXP(-LN(2)/25))/(LN(2)/25)*Calculateur!DW179*Calculateur!DY179*VLOOKUP('Données projet'!$B$14,Paramètres!$A$1:$I$89,3,0)*0.475*44/12</f>
        <v>4.0621201413993147</v>
      </c>
      <c r="EC179" s="21">
        <f>EXP(-LN(2)/2)*EC178+(1-EXP(-LN(2)/2))/(LN(2)/2)*DW179*DZ179*VLOOKUP('Données projet'!$B$14,Paramètres!$A$1:$I$89,3,0)*0.475*44/12</f>
        <v>8.3827971589589444E-15</v>
      </c>
      <c r="ED179" s="22">
        <f t="shared" si="178"/>
        <v>32.340104657192043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159.78276497127206</v>
      </c>
      <c r="EP179" s="59">
        <f t="shared" si="154"/>
        <v>190.72163407919857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0.67319220886007825</v>
      </c>
      <c r="EW179" s="21">
        <f>EXP(-LN(2)/25)*EW178+(1-EXP(-LN(2)/25))/(LN(2)/25)*Calculateur!ER179*Calculateur!ET179*VLOOKUP('Données projet'!$B$15,Paramètres!$A$1:$I$89,3,0)*0.475*44/12</f>
        <v>1.3605426501221991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2.0337348589822772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6.2527760746888816E-13</v>
      </c>
      <c r="FF179" s="17">
        <f>FE179*VLOOKUP('Données projet'!$B$16,Paramètres!$A$1:$I$89,3,0)*VLOOKUP('Données projet'!$B$16,Paramètres!$A$1:$I$89,5,0)</f>
        <v>5.3648818720830608E-13</v>
      </c>
      <c r="FG179" s="13">
        <f t="shared" si="182"/>
        <v>6.6281362235424649E-12</v>
      </c>
      <c r="FH179" s="20">
        <f t="shared" si="183"/>
        <v>1.2478387515390925E-11</v>
      </c>
      <c r="FI179" s="59">
        <f t="shared" si="131"/>
        <v>293.33333333334582</v>
      </c>
      <c r="FJ179" s="59">
        <f ca="1">AVERAGE(OFFSET($FI$3,0,0,'Données projet'!$E$16+1,1))-AVERAGE(OFFSET($H$3,0,0,'Données projet'!$E$16+1,1))</f>
        <v>337.15023592377008</v>
      </c>
      <c r="FK179" s="59">
        <f t="shared" si="156"/>
        <v>286.60608582587099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59.307356894275372</v>
      </c>
      <c r="FR179" s="21">
        <f>EXP(-LN(2)/25)*FR178+(1-EXP(-LN(2)/25))/(LN(2)/25)*Calculateur!FM179*Calculateur!FO179*VLOOKUP('Données projet'!$B$16,Paramètres!$A$1:$I$89,3,0)*0.475*44/12</f>
        <v>11.173227444628385</v>
      </c>
      <c r="FS179" s="21">
        <f>EXP(-LN(2)/2)*FS178+(1-EXP(-LN(2)/2))/(LN(2)/2)*FM179*FP179*VLOOKUP('Données projet'!$B$16,Paramètres!$A$1:$I$89,3,0)*0.475*44/12</f>
        <v>7.4201018746767366E-5</v>
      </c>
      <c r="FT179" s="22">
        <f t="shared" si="184"/>
        <v>70.480658539922501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6.140000000000005</v>
      </c>
      <c r="FZ179" s="12">
        <f>IF('Données projet'!$A$244&gt;35,FZ178+FY179-GH178,IF(A179&lt;'Données projet'!$A$244,$FW$205^A179,IF(A179='Données projet'!$A$244,'Données projet'!$B$244,FZ178+FY179-GH178)))</f>
        <v>382.80000000000086</v>
      </c>
      <c r="GA179" s="17">
        <f>FZ179*VLOOKUP('Données projet'!$B$17,Paramètres!$A$1:$I$89,3,0)*VLOOKUP('Données projet'!$B$17,Paramètres!$A$1:$I$89,5,0)</f>
        <v>346.35744000000079</v>
      </c>
      <c r="GB179" s="13">
        <f t="shared" si="185"/>
        <v>80.812014230904367</v>
      </c>
      <c r="GC179" s="20">
        <f t="shared" si="186"/>
        <v>743.98679945215974</v>
      </c>
      <c r="GD179" s="59">
        <f t="shared" si="134"/>
        <v>1037.3201327854931</v>
      </c>
      <c r="GE179" s="59">
        <f ca="1">AVERAGE(OFFSET($GD$3,0,0,'Données projet'!$E$17+1,1))-AVERAGE(OFFSET($H$3,0,0,'Données projet'!$E$17+1,1))</f>
        <v>486.55344536255876</v>
      </c>
      <c r="GF179" s="59">
        <f t="shared" si="158"/>
        <v>231.14794884432229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90.861891328544985</v>
      </c>
      <c r="GM179" s="21">
        <f>EXP(-LN(2)/25)*GM178+(1-EXP(-LN(2)/25))/(LN(2)/25)*Calculateur!GH179*Calculateur!GJ179*VLOOKUP('Données projet'!$B$17,Paramètres!$A$1:$I$89,3,0)*0.475*44/12</f>
        <v>21.359826623438803</v>
      </c>
      <c r="GN179" s="21">
        <f>EXP(-LN(2)/2)*GN178+(1-EXP(-LN(2)/2))/(LN(2)/2)*GH179*GK179*VLOOKUP('Données projet'!$B$17,Paramètres!$A$1:$I$89,3,0)*0.475*44/12</f>
        <v>5.122218990094769</v>
      </c>
      <c r="GO179" s="21">
        <f t="shared" si="187"/>
        <v>117.34393694207856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541.81422611044923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252.08270526008477</v>
      </c>
      <c r="T180" s="59">
        <f t="shared" si="142"/>
        <v>239.77811108960179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37.576267501903502</v>
      </c>
      <c r="AA180" s="21">
        <f>EXP(-LN(2)/25)*AA179+(1-EXP(-LN(2)/25))/(LN(2)/25)*Calculateur!V180*Calculateur!X180*VLOOKUP('Données projet'!$B$9,Paramètres!$A$1:$I$89,3,0)*0.475*44/12</f>
        <v>6.4609820258892272</v>
      </c>
      <c r="AB180" s="21">
        <f>EXP(-LN(2)/2)*AB179+(1-EXP(-LN(2)/2))/(LN(2)/2)*V180*Y180*VLOOKUP('Données projet'!$B$9,Paramètres!$A$1:$I$89,3,0)*0.475*44/12</f>
        <v>1.406789538177368E-10</v>
      </c>
      <c r="AC180" s="22">
        <f t="shared" si="163"/>
        <v>44.037249527933412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251.64326096359997</v>
      </c>
      <c r="AO180" s="59">
        <f t="shared" si="144"/>
        <v>256.72142151189894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13.686908930056463</v>
      </c>
      <c r="AV180" s="21">
        <f>EXP(-LN(2)/25)*AV179+(1-EXP(-LN(2)/25))/(LN(2)/25)*Calculateur!AQ180*Calculateur!AS180*VLOOKUP('Données projet'!$B$10,Paramètres!$A$1:$I$89,3,0)*0.475*44/12</f>
        <v>1.8896805665383747</v>
      </c>
      <c r="AW180" s="21">
        <f>EXP(-LN(2)/2)*AW179+(1-EXP(-LN(2)/2))/(LN(2)/2)*AQ180*AT180*VLOOKUP('Données projet'!$B$10,Paramètres!$A$1:$I$89,3,0)*0.475*44/12</f>
        <v>1.4710157685741513E-16</v>
      </c>
      <c r="AX180" s="21">
        <f t="shared" si="166"/>
        <v>15.576589496594838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199.29783428981898</v>
      </c>
      <c r="BJ180" s="59">
        <f t="shared" si="146"/>
        <v>237.32002274562547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0.56822607483265808</v>
      </c>
      <c r="BQ180" s="21">
        <f>EXP(-LN(2)/25)*BQ179+(1-EXP(-LN(2)/25))/(LN(2)/25)*Calculateur!BL180*Calculateur!BN180*VLOOKUP('Données projet'!$B$11,Paramètres!$A$1:$I$89,3,0)*0.475*44/12</f>
        <v>1.1393414444650152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1.7075675192976734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2.5579538487363607E-13</v>
      </c>
      <c r="BZ180" s="13">
        <f>BY180*VLOOKUP('Données projet'!$B$12,Paramètres!$A$1:$I$89,3,0)*VLOOKUP('Données projet'!$B$12,Paramètres!$A$1:$I$89,5,0)</f>
        <v>2.1548203221755105E-13</v>
      </c>
      <c r="CA180" s="13">
        <f t="shared" si="170"/>
        <v>2.9604251148637229E-12</v>
      </c>
      <c r="CB180" s="20">
        <f t="shared" si="171"/>
        <v>5.5313716144998842E-12</v>
      </c>
      <c r="CC180" s="59">
        <f t="shared" si="119"/>
        <v>293.33333333333883</v>
      </c>
      <c r="CD180" s="59">
        <f ca="1">AVERAGE(OFFSET($CC$3,0,0,'Données projet'!$E$12+1,1))-AVERAGE(OFFSET($H$3,0,0,'Données projet'!$E$12+1,1))</f>
        <v>295.59075210589327</v>
      </c>
      <c r="CE180" s="59">
        <f t="shared" si="148"/>
        <v>210.41181542059576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41.464417444352513</v>
      </c>
      <c r="CL180" s="21">
        <f>EXP(-LN(2)/25)*CL179+(1-EXP(-LN(2)/25))/(LN(2)/25)*Calculateur!CG180*Calculateur!CI180*VLOOKUP('Données projet'!$B$12,Paramètres!$A$1:$I$89,3,0)*0.475*44/12</f>
        <v>5.954630918831878</v>
      </c>
      <c r="CM180" s="21">
        <f>EXP(-LN(2)/2)*CM179+(1-EXP(-LN(2)/2))/(LN(2)/2)*CG180*CJ180*VLOOKUP('Données projet'!$B$12,Paramètres!$A$1:$I$89,3,0)*0.475*44/12</f>
        <v>5.3439160299640387E-7</v>
      </c>
      <c r="CN180" s="22">
        <f t="shared" si="172"/>
        <v>47.419048897575991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5.1727511163335289E-14</v>
      </c>
      <c r="CV180" s="13">
        <f t="shared" si="173"/>
        <v>8.3906664221915895E-13</v>
      </c>
      <c r="CW180" s="20">
        <f t="shared" si="174"/>
        <v>1.551466483807844E-12</v>
      </c>
      <c r="CX180" s="59">
        <f t="shared" si="122"/>
        <v>293.33333333333485</v>
      </c>
      <c r="CY180" s="59">
        <f ca="1">AVERAGE(OFFSET($CX$3,0,0,'Données projet'!$E$13+1,1))-AVERAGE(OFFSET($H$3,0,0,'Données projet'!$E$13+1,1))</f>
        <v>338.22448697444298</v>
      </c>
      <c r="CZ180" s="59">
        <f t="shared" si="150"/>
        <v>293.3872365640849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31.153511175038442</v>
      </c>
      <c r="DG180" s="21">
        <f>EXP(-LN(2)/25)*DG179+(1-EXP(-LN(2)/25))/(LN(2)/25)*Calculateur!DB180*Calculateur!DD180*VLOOKUP('Données projet'!$B$13,Paramètres!$A$1:$I$89,3,0)*0.475*44/12</f>
        <v>5.0268624852735453</v>
      </c>
      <c r="DH180" s="21">
        <f>EXP(-LN(2)/2)*DH179+(1-EXP(-LN(2)/2))/(LN(2)/2)*DB180*DE180*VLOOKUP('Données projet'!$B$13,Paramètres!$A$1:$I$89,3,0)*0.475*44/12</f>
        <v>2.0327238522967408E-13</v>
      </c>
      <c r="DI180" s="22">
        <f t="shared" si="175"/>
        <v>36.180373660312192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5.6843418860808015E-13</v>
      </c>
      <c r="DP180" s="17">
        <f>DO180*VLOOKUP('Données projet'!$B$14,Paramètres!$A$1:$I$89,3,0)*VLOOKUP('Données projet'!$B$14,Paramètres!$A$1:$I$89,5,0)</f>
        <v>3.177547114319168E-13</v>
      </c>
      <c r="DQ180" s="13">
        <f t="shared" si="176"/>
        <v>4.1725404435445377E-12</v>
      </c>
      <c r="DR180" s="20">
        <f t="shared" si="177"/>
        <v>7.820597394917325E-12</v>
      </c>
      <c r="DS180" s="59">
        <f t="shared" si="125"/>
        <v>293.33333333334116</v>
      </c>
      <c r="DT180" s="59">
        <f ca="1">AVERAGE(OFFSET($DS$3,0,0,'Données projet'!$E$14+1,1))-AVERAGE(OFFSET($H$3,0,0,'Données projet'!$E$14+1,1))</f>
        <v>328.15217666639006</v>
      </c>
      <c r="DU180" s="59">
        <f t="shared" si="152"/>
        <v>305.59175773326308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27.723470487305498</v>
      </c>
      <c r="EB180" s="21">
        <f>EXP(-LN(2)/25)*EB179+(1-EXP(-LN(2)/25))/(LN(2)/25)*Calculateur!DW180*Calculateur!DY180*VLOOKUP('Données projet'!$B$14,Paramètres!$A$1:$I$89,3,0)*0.475*44/12</f>
        <v>3.9510412525151364</v>
      </c>
      <c r="EC180" s="21">
        <f>EXP(-LN(2)/2)*EC179+(1-EXP(-LN(2)/2))/(LN(2)/2)*DW180*DZ180*VLOOKUP('Données projet'!$B$14,Paramètres!$A$1:$I$89,3,0)*0.475*44/12</f>
        <v>5.9275327164111947E-15</v>
      </c>
      <c r="ED180" s="22">
        <f t="shared" si="178"/>
        <v>31.674511739820641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159.78276497127206</v>
      </c>
      <c r="EP180" s="59">
        <f t="shared" si="154"/>
        <v>190.72163407919857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0.65999132025103546</v>
      </c>
      <c r="EW180" s="21">
        <f>EXP(-LN(2)/25)*EW179+(1-EXP(-LN(2)/25))/(LN(2)/25)*Calculateur!ER180*Calculateur!ET180*VLOOKUP('Données projet'!$B$15,Paramètres!$A$1:$I$89,3,0)*0.475*44/12</f>
        <v>1.3233385398067792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1.9833298600578146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6.2527760746888816E-13</v>
      </c>
      <c r="FF180" s="17">
        <f>FE180*VLOOKUP('Données projet'!$B$16,Paramètres!$A$1:$I$89,3,0)*VLOOKUP('Données projet'!$B$16,Paramètres!$A$1:$I$89,5,0)</f>
        <v>5.3648818720830608E-13</v>
      </c>
      <c r="FG180" s="13">
        <f t="shared" si="182"/>
        <v>6.6281362235424649E-12</v>
      </c>
      <c r="FH180" s="20">
        <f t="shared" si="183"/>
        <v>1.2478387515390925E-11</v>
      </c>
      <c r="FI180" s="59">
        <f t="shared" si="131"/>
        <v>293.33333333334582</v>
      </c>
      <c r="FJ180" s="59">
        <f ca="1">AVERAGE(OFFSET($FI$3,0,0,'Données projet'!$E$16+1,1))-AVERAGE(OFFSET($H$3,0,0,'Données projet'!$E$16+1,1))</f>
        <v>337.15023592377008</v>
      </c>
      <c r="FK180" s="59">
        <f t="shared" si="156"/>
        <v>286.60608582587099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58.144375799494462</v>
      </c>
      <c r="FR180" s="21">
        <f>EXP(-LN(2)/25)*FR179+(1-EXP(-LN(2)/25))/(LN(2)/25)*Calculateur!FM180*Calculateur!FO180*VLOOKUP('Données projet'!$B$16,Paramètres!$A$1:$I$89,3,0)*0.475*44/12</f>
        <v>10.867694952580527</v>
      </c>
      <c r="FS180" s="21">
        <f>EXP(-LN(2)/2)*FS179+(1-EXP(-LN(2)/2))/(LN(2)/2)*FM180*FP180*VLOOKUP('Données projet'!$B$16,Paramètres!$A$1:$I$89,3,0)*0.475*44/12</f>
        <v>5.2468043526789344E-5</v>
      </c>
      <c r="FT180" s="22">
        <f t="shared" si="184"/>
        <v>69.012123220118511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>
        <f>VLOOKUP(A180,'Données projet'!$A$243:$I$263,2,0)</f>
        <v>388.94</v>
      </c>
      <c r="FX180" s="12">
        <f>VLOOKUP(A180,'Données projet'!$A$243:$I$263,9,0)</f>
        <v>6.140000000000005</v>
      </c>
      <c r="FY180" s="12">
        <f t="array" ref="FY180">INDEX(FX:FX,MIN(IF(ISNUMBER(FX180:FX376),ROW(FX180:FX376),"")))</f>
        <v>6.140000000000005</v>
      </c>
      <c r="FZ180" s="12">
        <f>IF('Données projet'!$A$244&gt;35,FZ179+FY180-GH179,IF(A180&lt;'Données projet'!$A$244,$FW$205^A180,IF(A180='Données projet'!$A$244,'Données projet'!$B$244,FZ179+FY180-GH179)))</f>
        <v>388.94000000000085</v>
      </c>
      <c r="GA180" s="17">
        <f>FZ180*VLOOKUP('Données projet'!$B$17,Paramètres!$A$1:$I$89,3,0)*VLOOKUP('Données projet'!$B$17,Paramètres!$A$1:$I$89,5,0)</f>
        <v>351.91291200000074</v>
      </c>
      <c r="GB180" s="13">
        <f t="shared" si="185"/>
        <v>81.956274647572329</v>
      </c>
      <c r="GC180" s="20">
        <f t="shared" si="186"/>
        <v>755.65550007785635</v>
      </c>
      <c r="GD180" s="59">
        <f t="shared" si="134"/>
        <v>1048.9888334111897</v>
      </c>
      <c r="GE180" s="59">
        <f ca="1">AVERAGE(OFFSET($GD$3,0,0,'Données projet'!$E$17+1,1))-AVERAGE(OFFSET($H$3,0,0,'Données projet'!$E$17+1,1))</f>
        <v>486.55344536255876</v>
      </c>
      <c r="GF180" s="59">
        <f t="shared" si="158"/>
        <v>231.14794884432229</v>
      </c>
      <c r="GG180" s="15">
        <f>IF(ISNA(VLOOKUP(A180,'Données projet'!$A$243:$I$263,3,0)),0,VLOOKUP(A180,'Données projet'!$A$243:$I$263,3,0))</f>
        <v>16</v>
      </c>
      <c r="GH180" s="15">
        <f>IF(ISNA(VLOOKUP(A180,'Données projet'!$A$243:$I$263,4,0)),0,VLOOKUP(A180,'Données projet'!$A$243:$I$263,4,0))</f>
        <v>128.66000000000003</v>
      </c>
      <c r="GI180" s="16">
        <f>IF(ISNA(VLOOKUP(A180,'Données projet'!$A$243:$I$263,5,0)),0%,VLOOKUP(A180,'Données projet'!$A$243:$I$263,5,0)*VLOOKUP('Données projet'!$B$17,Paramètres!$A$1:$I$89,7,0))</f>
        <v>0.19350000000000001</v>
      </c>
      <c r="GJ180" s="16">
        <f>IF(ISNA(VLOOKUP(A180,'Données projet'!$A$243:$I$263,6,0)),0%,VLOOKUP(A180,'Données projet'!$A$243:$I$263,6,0)*VLOOKUP('Données projet'!$B$17,Paramètres!$A$1:$I$89,7,0))</f>
        <v>2.1500000000000002E-2</v>
      </c>
      <c r="GK180" s="16">
        <f>IF(ISNA(VLOOKUP(A180,'Données projet'!$A$243:$I$263,7,0)),0%,VLOOKUP(A180,'Données projet'!$A$243:$I$263,7,0))</f>
        <v>0.05</v>
      </c>
      <c r="GL180" s="21">
        <f>EXP(-LN(2)/35)*GL179+(1-EXP(-LN(2)/35))/(LN(2)/35)*GH180*GI180*VLOOKUP('Données projet'!$B$17,Paramètres!$A$1:$I$89,3,0)*0.475*44/12</f>
        <v>113.98157109998739</v>
      </c>
      <c r="GM180" s="21">
        <f>EXP(-LN(2)/25)*GM179+(1-EXP(-LN(2)/25))/(LN(2)/25)*Calculateur!GH180*Calculateur!GJ180*VLOOKUP('Données projet'!$B$17,Paramètres!$A$1:$I$89,3,0)*0.475*44/12</f>
        <v>23.531672112001587</v>
      </c>
      <c r="GN180" s="21">
        <f>EXP(-LN(2)/2)*GN179+(1-EXP(-LN(2)/2))/(LN(2)/2)*GH180*GK180*VLOOKUP('Données projet'!$B$17,Paramètres!$A$1:$I$89,3,0)*0.475*44/12</f>
        <v>9.1138281615892875</v>
      </c>
      <c r="GO180" s="21">
        <f t="shared" si="187"/>
        <v>146.62707137357827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543.38625329859508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252.08270526008477</v>
      </c>
      <c r="T181" s="59">
        <f t="shared" si="142"/>
        <v>239.77811108960179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36.839419815451258</v>
      </c>
      <c r="AA181" s="21">
        <f>EXP(-LN(2)/25)*AA180+(1-EXP(-LN(2)/25))/(LN(2)/25)*Calculateur!V181*Calculateur!X181*VLOOKUP('Données projet'!$B$9,Paramètres!$A$1:$I$89,3,0)*0.475*44/12</f>
        <v>6.2843061326230085</v>
      </c>
      <c r="AB181" s="21">
        <f>EXP(-LN(2)/2)*AB180+(1-EXP(-LN(2)/2))/(LN(2)/2)*V181*Y181*VLOOKUP('Données projet'!$B$9,Paramètres!$A$1:$I$89,3,0)*0.475*44/12</f>
        <v>9.9475042214750843E-11</v>
      </c>
      <c r="AC181" s="22">
        <f t="shared" si="163"/>
        <v>43.123725948173742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251.64326096359997</v>
      </c>
      <c r="AO181" s="59">
        <f t="shared" si="144"/>
        <v>256.72142151189894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13.418516994128188</v>
      </c>
      <c r="AV181" s="21">
        <f>EXP(-LN(2)/25)*AV180+(1-EXP(-LN(2)/25))/(LN(2)/25)*Calculateur!AQ181*Calculateur!AS181*VLOOKUP('Données projet'!$B$10,Paramètres!$A$1:$I$89,3,0)*0.475*44/12</f>
        <v>1.8380071520724008</v>
      </c>
      <c r="AW181" s="21">
        <f>EXP(-LN(2)/2)*AW180+(1-EXP(-LN(2)/2))/(LN(2)/2)*AQ181*AT181*VLOOKUP('Données projet'!$B$10,Paramètres!$A$1:$I$89,3,0)*0.475*44/12</f>
        <v>1.0401652251911235E-16</v>
      </c>
      <c r="AX181" s="21">
        <f t="shared" si="166"/>
        <v>15.256524146200588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199.29783428981898</v>
      </c>
      <c r="BJ181" s="59">
        <f t="shared" si="146"/>
        <v>237.32002274562547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0.55708350808887297</v>
      </c>
      <c r="BQ181" s="21">
        <f>EXP(-LN(2)/25)*BQ180+(1-EXP(-LN(2)/25))/(LN(2)/25)*Calculateur!BL181*Calculateur!BN181*VLOOKUP('Données projet'!$B$11,Paramètres!$A$1:$I$89,3,0)*0.475*44/12</f>
        <v>1.1081860927507567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1.6652696008396297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2.5579538487363607E-13</v>
      </c>
      <c r="BZ181" s="13">
        <f>BY181*VLOOKUP('Données projet'!$B$12,Paramètres!$A$1:$I$89,3,0)*VLOOKUP('Données projet'!$B$12,Paramètres!$A$1:$I$89,5,0)</f>
        <v>2.1548203221755105E-13</v>
      </c>
      <c r="CA181" s="13">
        <f t="shared" si="170"/>
        <v>2.9604251148637229E-12</v>
      </c>
      <c r="CB181" s="20">
        <f t="shared" si="171"/>
        <v>5.5313716144998842E-12</v>
      </c>
      <c r="CC181" s="59">
        <f t="shared" si="119"/>
        <v>293.33333333333883</v>
      </c>
      <c r="CD181" s="59">
        <f ca="1">AVERAGE(OFFSET($CC$3,0,0,'Données projet'!$E$12+1,1))-AVERAGE(OFFSET($H$3,0,0,'Données projet'!$E$12+1,1))</f>
        <v>295.59075210589327</v>
      </c>
      <c r="CE181" s="59">
        <f t="shared" si="148"/>
        <v>210.41181542059576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40.65132550906614</v>
      </c>
      <c r="CL181" s="21">
        <f>EXP(-LN(2)/25)*CL180+(1-EXP(-LN(2)/25))/(LN(2)/25)*Calculateur!CG181*Calculateur!CI181*VLOOKUP('Données projet'!$B$12,Paramètres!$A$1:$I$89,3,0)*0.475*44/12</f>
        <v>5.7918012232159901</v>
      </c>
      <c r="CM181" s="21">
        <f>EXP(-LN(2)/2)*CM180+(1-EXP(-LN(2)/2))/(LN(2)/2)*CG181*CJ181*VLOOKUP('Données projet'!$B$12,Paramètres!$A$1:$I$89,3,0)*0.475*44/12</f>
        <v>3.7787192628790653E-7</v>
      </c>
      <c r="CN181" s="22">
        <f t="shared" si="172"/>
        <v>46.443127110154059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5.1727511163335289E-14</v>
      </c>
      <c r="CV181" s="13">
        <f t="shared" si="173"/>
        <v>8.3906664221915895E-13</v>
      </c>
      <c r="CW181" s="20">
        <f t="shared" si="174"/>
        <v>1.551466483807844E-12</v>
      </c>
      <c r="CX181" s="59">
        <f t="shared" si="122"/>
        <v>293.33333333333485</v>
      </c>
      <c r="CY181" s="59">
        <f ca="1">AVERAGE(OFFSET($CX$3,0,0,'Données projet'!$E$13+1,1))-AVERAGE(OFFSET($H$3,0,0,'Données projet'!$E$13+1,1))</f>
        <v>338.22448697444298</v>
      </c>
      <c r="CZ181" s="59">
        <f t="shared" si="150"/>
        <v>293.3872365640849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30.542609822661486</v>
      </c>
      <c r="DG181" s="21">
        <f>EXP(-LN(2)/25)*DG180+(1-EXP(-LN(2)/25))/(LN(2)/25)*Calculateur!DB181*Calculateur!DD181*VLOOKUP('Données projet'!$B$13,Paramètres!$A$1:$I$89,3,0)*0.475*44/12</f>
        <v>4.8894026662625309</v>
      </c>
      <c r="DH181" s="21">
        <f>EXP(-LN(2)/2)*DH180+(1-EXP(-LN(2)/2))/(LN(2)/2)*DB181*DE181*VLOOKUP('Données projet'!$B$13,Paramètres!$A$1:$I$89,3,0)*0.475*44/12</f>
        <v>1.4373528202386675E-13</v>
      </c>
      <c r="DI181" s="22">
        <f t="shared" si="175"/>
        <v>35.432012488924158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5.6843418860808015E-13</v>
      </c>
      <c r="DP181" s="17">
        <f>DO181*VLOOKUP('Données projet'!$B$14,Paramètres!$A$1:$I$89,3,0)*VLOOKUP('Données projet'!$B$14,Paramètres!$A$1:$I$89,5,0)</f>
        <v>3.177547114319168E-13</v>
      </c>
      <c r="DQ181" s="13">
        <f t="shared" si="176"/>
        <v>4.1725404435445377E-12</v>
      </c>
      <c r="DR181" s="20">
        <f t="shared" si="177"/>
        <v>7.820597394917325E-12</v>
      </c>
      <c r="DS181" s="59">
        <f t="shared" si="125"/>
        <v>293.33333333334116</v>
      </c>
      <c r="DT181" s="59">
        <f ca="1">AVERAGE(OFFSET($DS$3,0,0,'Données projet'!$E$14+1,1))-AVERAGE(OFFSET($H$3,0,0,'Données projet'!$E$14+1,1))</f>
        <v>328.15217666639006</v>
      </c>
      <c r="DU181" s="59">
        <f t="shared" si="152"/>
        <v>305.59175773326308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27.179830140696744</v>
      </c>
      <c r="EB181" s="21">
        <f>EXP(-LN(2)/25)*EB180+(1-EXP(-LN(2)/25))/(LN(2)/25)*Calculateur!DW181*Calculateur!DY181*VLOOKUP('Données projet'!$B$14,Paramètres!$A$1:$I$89,3,0)*0.475*44/12</f>
        <v>3.8429998216888808</v>
      </c>
      <c r="EC181" s="21">
        <f>EXP(-LN(2)/2)*EC180+(1-EXP(-LN(2)/2))/(LN(2)/2)*DW181*DZ181*VLOOKUP('Données projet'!$B$14,Paramètres!$A$1:$I$89,3,0)*0.475*44/12</f>
        <v>4.1913985794794722E-15</v>
      </c>
      <c r="ED181" s="22">
        <f t="shared" si="178"/>
        <v>31.022829962385629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159.78276497127206</v>
      </c>
      <c r="EP181" s="59">
        <f t="shared" si="154"/>
        <v>190.72163407919857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0.647049293015869</v>
      </c>
      <c r="EW181" s="21">
        <f>EXP(-LN(2)/25)*EW180+(1-EXP(-LN(2)/25))/(LN(2)/25)*Calculateur!ER181*Calculateur!ET181*VLOOKUP('Données projet'!$B$15,Paramètres!$A$1:$I$89,3,0)*0.475*44/12</f>
        <v>1.2871517778444135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1.9342010708602824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6.2527760746888816E-13</v>
      </c>
      <c r="FF181" s="17">
        <f>FE181*VLOOKUP('Données projet'!$B$16,Paramètres!$A$1:$I$89,3,0)*VLOOKUP('Données projet'!$B$16,Paramètres!$A$1:$I$89,5,0)</f>
        <v>5.3648818720830608E-13</v>
      </c>
      <c r="FG181" s="13">
        <f t="shared" si="182"/>
        <v>6.6281362235424649E-12</v>
      </c>
      <c r="FH181" s="20">
        <f t="shared" si="183"/>
        <v>1.2478387515390925E-11</v>
      </c>
      <c r="FI181" s="59">
        <f t="shared" si="131"/>
        <v>293.33333333334582</v>
      </c>
      <c r="FJ181" s="59">
        <f ca="1">AVERAGE(OFFSET($FI$3,0,0,'Données projet'!$E$16+1,1))-AVERAGE(OFFSET($H$3,0,0,'Données projet'!$E$16+1,1))</f>
        <v>337.15023592377008</v>
      </c>
      <c r="FK181" s="59">
        <f t="shared" si="156"/>
        <v>286.60608582587099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57.004200054633777</v>
      </c>
      <c r="FR181" s="21">
        <f>EXP(-LN(2)/25)*FR180+(1-EXP(-LN(2)/25))/(LN(2)/25)*Calculateur!FM181*Calculateur!FO181*VLOOKUP('Données projet'!$B$16,Paramètres!$A$1:$I$89,3,0)*0.475*44/12</f>
        <v>10.570517262594974</v>
      </c>
      <c r="FS181" s="21">
        <f>EXP(-LN(2)/2)*FS180+(1-EXP(-LN(2)/2))/(LN(2)/2)*FM181*FP181*VLOOKUP('Données projet'!$B$16,Paramètres!$A$1:$I$89,3,0)*0.475*44/12</f>
        <v>3.7100509373383683E-5</v>
      </c>
      <c r="FT181" s="22">
        <f t="shared" si="184"/>
        <v>67.57475441773812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3.76000000000001</v>
      </c>
      <c r="FZ181" s="12">
        <f>IF('Données projet'!$A$244&gt;35,FZ180+FY181-GH180,IF(A181&lt;'Données projet'!$A$244,$FW$205^A181,IF(A181='Données projet'!$A$244,'Données projet'!$B$244,FZ180+FY181-GH180)))</f>
        <v>264.04000000000082</v>
      </c>
      <c r="GA181" s="17">
        <f>FZ181*VLOOKUP('Données projet'!$B$17,Paramètres!$A$1:$I$89,3,0)*VLOOKUP('Données projet'!$B$17,Paramètres!$A$1:$I$89,5,0)</f>
        <v>238.90339200000074</v>
      </c>
      <c r="GB181" s="13">
        <f t="shared" si="185"/>
        <v>58.203527078995975</v>
      </c>
      <c r="GC181" s="20">
        <f t="shared" si="186"/>
        <v>517.46121739591933</v>
      </c>
      <c r="GD181" s="59">
        <f t="shared" si="134"/>
        <v>810.79455072925271</v>
      </c>
      <c r="GE181" s="59">
        <f ca="1">AVERAGE(OFFSET($GD$3,0,0,'Données projet'!$E$17+1,1))-AVERAGE(OFFSET($H$3,0,0,'Données projet'!$E$17+1,1))</f>
        <v>486.55344536255876</v>
      </c>
      <c r="GF181" s="59">
        <f t="shared" si="158"/>
        <v>231.14794884432229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111.74646201261029</v>
      </c>
      <c r="GM181" s="21">
        <f>EXP(-LN(2)/25)*GM180+(1-EXP(-LN(2)/25))/(LN(2)/25)*Calculateur!GH181*Calculateur!GJ181*VLOOKUP('Données projet'!$B$17,Paramètres!$A$1:$I$89,3,0)*0.475*44/12</f>
        <v>22.88819730062205</v>
      </c>
      <c r="GN181" s="21">
        <f>EXP(-LN(2)/2)*GN180+(1-EXP(-LN(2)/2))/(LN(2)/2)*GH181*GK181*VLOOKUP('Données projet'!$B$17,Paramètres!$A$1:$I$89,3,0)*0.475*44/12</f>
        <v>6.4444496956287116</v>
      </c>
      <c r="GO181" s="21">
        <f t="shared" si="187"/>
        <v>141.07910900886105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544.9580876143059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252.08270526008477</v>
      </c>
      <c r="T182" s="59">
        <f t="shared" si="142"/>
        <v>239.77811108960179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36.117021262697634</v>
      </c>
      <c r="AA182" s="21">
        <f>EXP(-LN(2)/25)*AA181+(1-EXP(-LN(2)/25))/(LN(2)/25)*Calculateur!V182*Calculateur!X182*VLOOKUP('Données projet'!$B$9,Paramètres!$A$1:$I$89,3,0)*0.475*44/12</f>
        <v>6.1124614509491355</v>
      </c>
      <c r="AB182" s="21">
        <f>EXP(-LN(2)/2)*AB181+(1-EXP(-LN(2)/2))/(LN(2)/2)*V182*Y182*VLOOKUP('Données projet'!$B$9,Paramètres!$A$1:$I$89,3,0)*0.475*44/12</f>
        <v>7.0339476908868402E-11</v>
      </c>
      <c r="AC182" s="22">
        <f t="shared" si="163"/>
        <v>42.229482713717104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251.64326096359997</v>
      </c>
      <c r="AO182" s="59">
        <f t="shared" si="144"/>
        <v>256.72142151189894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13.155388060360551</v>
      </c>
      <c r="AV182" s="21">
        <f>EXP(-LN(2)/25)*AV181+(1-EXP(-LN(2)/25))/(LN(2)/25)*Calculateur!AQ182*Calculateur!AS182*VLOOKUP('Données projet'!$B$10,Paramètres!$A$1:$I$89,3,0)*0.475*44/12</f>
        <v>1.7877467498423858</v>
      </c>
      <c r="AW182" s="21">
        <f>EXP(-LN(2)/2)*AW181+(1-EXP(-LN(2)/2))/(LN(2)/2)*AQ182*AT182*VLOOKUP('Données projet'!$B$10,Paramètres!$A$1:$I$89,3,0)*0.475*44/12</f>
        <v>7.3550788428707566E-17</v>
      </c>
      <c r="AX182" s="21">
        <f t="shared" si="166"/>
        <v>14.943134810202936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199.29783428981898</v>
      </c>
      <c r="BJ182" s="59">
        <f t="shared" si="146"/>
        <v>237.32002274562547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0.54615944028263885</v>
      </c>
      <c r="BQ182" s="21">
        <f>EXP(-LN(2)/25)*BQ181+(1-EXP(-LN(2)/25))/(LN(2)/25)*Calculateur!BL182*Calculateur!BN182*VLOOKUP('Données projet'!$B$11,Paramètres!$A$1:$I$89,3,0)*0.475*44/12</f>
        <v>1.0778826857675134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1.6240421260501523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2.5579538487363607E-13</v>
      </c>
      <c r="BZ182" s="13">
        <f>BY182*VLOOKUP('Données projet'!$B$12,Paramètres!$A$1:$I$89,3,0)*VLOOKUP('Données projet'!$B$12,Paramètres!$A$1:$I$89,5,0)</f>
        <v>2.1548203221755105E-13</v>
      </c>
      <c r="CA182" s="13">
        <f t="shared" si="170"/>
        <v>2.9604251148637229E-12</v>
      </c>
      <c r="CB182" s="20">
        <f t="shared" si="171"/>
        <v>5.5313716144998842E-12</v>
      </c>
      <c r="CC182" s="59">
        <f t="shared" si="119"/>
        <v>293.33333333333883</v>
      </c>
      <c r="CD182" s="59">
        <f ca="1">AVERAGE(OFFSET($CC$3,0,0,'Données projet'!$E$12+1,1))-AVERAGE(OFFSET($H$3,0,0,'Données projet'!$E$12+1,1))</f>
        <v>295.59075210589327</v>
      </c>
      <c r="CE182" s="59">
        <f t="shared" si="148"/>
        <v>210.41181542059576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39.854177810693628</v>
      </c>
      <c r="CL182" s="21">
        <f>EXP(-LN(2)/25)*CL181+(1-EXP(-LN(2)/25))/(LN(2)/25)*Calculateur!CG182*Calculateur!CI182*VLOOKUP('Données projet'!$B$12,Paramètres!$A$1:$I$89,3,0)*0.475*44/12</f>
        <v>5.6334241141895598</v>
      </c>
      <c r="CM182" s="21">
        <f>EXP(-LN(2)/2)*CM181+(1-EXP(-LN(2)/2))/(LN(2)/2)*CG182*CJ182*VLOOKUP('Données projet'!$B$12,Paramètres!$A$1:$I$89,3,0)*0.475*44/12</f>
        <v>2.6719580149820193E-7</v>
      </c>
      <c r="CN182" s="22">
        <f t="shared" si="172"/>
        <v>45.487602192078988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5.1727511163335289E-14</v>
      </c>
      <c r="CV182" s="13">
        <f t="shared" si="173"/>
        <v>8.3906664221915895E-13</v>
      </c>
      <c r="CW182" s="20">
        <f t="shared" si="174"/>
        <v>1.551466483807844E-12</v>
      </c>
      <c r="CX182" s="59">
        <f t="shared" si="122"/>
        <v>293.33333333333485</v>
      </c>
      <c r="CY182" s="59">
        <f ca="1">AVERAGE(OFFSET($CX$3,0,0,'Données projet'!$E$13+1,1))-AVERAGE(OFFSET($H$3,0,0,'Données projet'!$E$13+1,1))</f>
        <v>338.22448697444298</v>
      </c>
      <c r="CZ182" s="59">
        <f t="shared" si="150"/>
        <v>293.3872365640849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29.94368787319161</v>
      </c>
      <c r="DG182" s="21">
        <f>EXP(-LN(2)/25)*DG181+(1-EXP(-LN(2)/25))/(LN(2)/25)*Calculateur!DB182*Calculateur!DD182*VLOOKUP('Données projet'!$B$13,Paramètres!$A$1:$I$89,3,0)*0.475*44/12</f>
        <v>4.7557016932310709</v>
      </c>
      <c r="DH182" s="21">
        <f>EXP(-LN(2)/2)*DH181+(1-EXP(-LN(2)/2))/(LN(2)/2)*DB182*DE182*VLOOKUP('Données projet'!$B$13,Paramètres!$A$1:$I$89,3,0)*0.475*44/12</f>
        <v>1.0163619261483704E-13</v>
      </c>
      <c r="DI182" s="22">
        <f t="shared" si="175"/>
        <v>34.699389566422781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5.6843418860808015E-13</v>
      </c>
      <c r="DP182" s="17">
        <f>DO182*VLOOKUP('Données projet'!$B$14,Paramètres!$A$1:$I$89,3,0)*VLOOKUP('Données projet'!$B$14,Paramètres!$A$1:$I$89,5,0)</f>
        <v>3.177547114319168E-13</v>
      </c>
      <c r="DQ182" s="13">
        <f t="shared" si="176"/>
        <v>4.1725404435445377E-12</v>
      </c>
      <c r="DR182" s="20">
        <f t="shared" si="177"/>
        <v>7.820597394917325E-12</v>
      </c>
      <c r="DS182" s="59">
        <f t="shared" si="125"/>
        <v>293.33333333334116</v>
      </c>
      <c r="DT182" s="59">
        <f ca="1">AVERAGE(OFFSET($DS$3,0,0,'Données projet'!$E$14+1,1))-AVERAGE(OFFSET($H$3,0,0,'Données projet'!$E$14+1,1))</f>
        <v>328.15217666639006</v>
      </c>
      <c r="DU182" s="59">
        <f t="shared" si="152"/>
        <v>305.59175773326308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26.64685024969712</v>
      </c>
      <c r="EB182" s="21">
        <f>EXP(-LN(2)/25)*EB181+(1-EXP(-LN(2)/25))/(LN(2)/25)*Calculateur!DW182*Calculateur!DY182*VLOOKUP('Données projet'!$B$14,Paramètres!$A$1:$I$89,3,0)*0.475*44/12</f>
        <v>3.7379127894702209</v>
      </c>
      <c r="EC182" s="21">
        <f>EXP(-LN(2)/2)*EC181+(1-EXP(-LN(2)/2))/(LN(2)/2)*DW182*DZ182*VLOOKUP('Données projet'!$B$14,Paramètres!$A$1:$I$89,3,0)*0.475*44/12</f>
        <v>2.9637663582055973E-15</v>
      </c>
      <c r="ED182" s="22">
        <f t="shared" si="178"/>
        <v>30.384763039167346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159.78276497127206</v>
      </c>
      <c r="EP182" s="59">
        <f t="shared" si="154"/>
        <v>190.72163407919857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0.63436105104092699</v>
      </c>
      <c r="EW182" s="21">
        <f>EXP(-LN(2)/25)*EW181+(1-EXP(-LN(2)/25))/(LN(2)/25)*Calculateur!ER182*Calculateur!ET182*VLOOKUP('Données projet'!$B$15,Paramètres!$A$1:$I$89,3,0)*0.475*44/12</f>
        <v>1.2519545447908877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1.8863155958318147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6.2527760746888816E-13</v>
      </c>
      <c r="FF182" s="17">
        <f>FE182*VLOOKUP('Données projet'!$B$16,Paramètres!$A$1:$I$89,3,0)*VLOOKUP('Données projet'!$B$16,Paramètres!$A$1:$I$89,5,0)</f>
        <v>5.3648818720830608E-13</v>
      </c>
      <c r="FG182" s="13">
        <f t="shared" si="182"/>
        <v>6.6281362235424649E-12</v>
      </c>
      <c r="FH182" s="20">
        <f t="shared" si="183"/>
        <v>1.2478387515390925E-11</v>
      </c>
      <c r="FI182" s="59">
        <f t="shared" si="131"/>
        <v>293.33333333334582</v>
      </c>
      <c r="FJ182" s="59">
        <f ca="1">AVERAGE(OFFSET($FI$3,0,0,'Données projet'!$E$16+1,1))-AVERAGE(OFFSET($H$3,0,0,'Données projet'!$E$16+1,1))</f>
        <v>337.15023592377008</v>
      </c>
      <c r="FK182" s="59">
        <f t="shared" si="156"/>
        <v>286.60608582587099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55.886382460691273</v>
      </c>
      <c r="FR182" s="21">
        <f>EXP(-LN(2)/25)*FR181+(1-EXP(-LN(2)/25))/(LN(2)/25)*Calculateur!FM182*Calculateur!FO182*VLOOKUP('Données projet'!$B$16,Paramètres!$A$1:$I$89,3,0)*0.475*44/12</f>
        <v>10.281465912169971</v>
      </c>
      <c r="FS182" s="21">
        <f>EXP(-LN(2)/2)*FS181+(1-EXP(-LN(2)/2))/(LN(2)/2)*FM182*FP182*VLOOKUP('Données projet'!$B$16,Paramètres!$A$1:$I$89,3,0)*0.475*44/12</f>
        <v>2.6234021763394672E-5</v>
      </c>
      <c r="FT182" s="22">
        <f t="shared" si="184"/>
        <v>66.167874606883004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3.76000000000001</v>
      </c>
      <c r="FZ182" s="12">
        <f>IF('Données projet'!$A$244&gt;35,FZ181+FY182-GH181,IF(A182&lt;'Données projet'!$A$244,$FW$205^A182,IF(A182='Données projet'!$A$244,'Données projet'!$B$244,FZ181+FY182-GH181)))</f>
        <v>267.80000000000081</v>
      </c>
      <c r="GA182" s="17">
        <f>FZ182*VLOOKUP('Données projet'!$B$17,Paramètres!$A$1:$I$89,3,0)*VLOOKUP('Données projet'!$B$17,Paramètres!$A$1:$I$89,5,0)</f>
        <v>242.30544000000074</v>
      </c>
      <c r="GB182" s="13">
        <f t="shared" si="185"/>
        <v>58.935280802002858</v>
      </c>
      <c r="GC182" s="20">
        <f t="shared" si="186"/>
        <v>524.66092206348958</v>
      </c>
      <c r="GD182" s="59">
        <f t="shared" si="134"/>
        <v>817.99425539682284</v>
      </c>
      <c r="GE182" s="59">
        <f ca="1">AVERAGE(OFFSET($GD$3,0,0,'Données projet'!$E$17+1,1))-AVERAGE(OFFSET($H$3,0,0,'Données projet'!$E$17+1,1))</f>
        <v>486.55344536255876</v>
      </c>
      <c r="GF182" s="59">
        <f t="shared" si="158"/>
        <v>231.14794884432229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109.55518205115473</v>
      </c>
      <c r="GM182" s="21">
        <f>EXP(-LN(2)/25)*GM181+(1-EXP(-LN(2)/25))/(LN(2)/25)*Calculateur!GH182*Calculateur!GJ182*VLOOKUP('Données projet'!$B$17,Paramètres!$A$1:$I$89,3,0)*0.475*44/12</f>
        <v>22.262318341798554</v>
      </c>
      <c r="GN182" s="21">
        <f>EXP(-LN(2)/2)*GN181+(1-EXP(-LN(2)/2))/(LN(2)/2)*GH182*GK182*VLOOKUP('Données projet'!$B$17,Paramètres!$A$1:$I$89,3,0)*0.475*44/12</f>
        <v>4.5569140807946447</v>
      </c>
      <c r="GO182" s="21">
        <f t="shared" si="187"/>
        <v>136.37441447374795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546.52973026012432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252.08270526008477</v>
      </c>
      <c r="T183" s="59">
        <f t="shared" si="142"/>
        <v>239.77811108960179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35.4087885049439</v>
      </c>
      <c r="AA183" s="21">
        <f>EXP(-LN(2)/25)*AA182+(1-EXP(-LN(2)/25))/(LN(2)/25)*Calculateur!V183*Calculateur!X183*VLOOKUP('Données projet'!$B$9,Paramètres!$A$1:$I$89,3,0)*0.475*44/12</f>
        <v>5.9453158711325536</v>
      </c>
      <c r="AB183" s="21">
        <f>EXP(-LN(2)/2)*AB182+(1-EXP(-LN(2)/2))/(LN(2)/2)*V183*Y183*VLOOKUP('Données projet'!$B$9,Paramètres!$A$1:$I$89,3,0)*0.475*44/12</f>
        <v>4.9737521107375422E-11</v>
      </c>
      <c r="AC183" s="22">
        <f t="shared" si="163"/>
        <v>41.354104376126188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251.64326096359997</v>
      </c>
      <c r="AO183" s="59">
        <f t="shared" si="144"/>
        <v>256.72142151189894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12.897418924491294</v>
      </c>
      <c r="AV183" s="21">
        <f>EXP(-LN(2)/25)*AV182+(1-EXP(-LN(2)/25))/(LN(2)/25)*Calculateur!AQ183*Calculateur!AS183*VLOOKUP('Données projet'!$B$10,Paramètres!$A$1:$I$89,3,0)*0.475*44/12</f>
        <v>1.7388607209544302</v>
      </c>
      <c r="AW183" s="21">
        <f>EXP(-LN(2)/2)*AW182+(1-EXP(-LN(2)/2))/(LN(2)/2)*AQ183*AT183*VLOOKUP('Données projet'!$B$10,Paramètres!$A$1:$I$89,3,0)*0.475*44/12</f>
        <v>5.2008261259556173E-17</v>
      </c>
      <c r="AX183" s="21">
        <f t="shared" si="166"/>
        <v>14.636279645445725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199.29783428981898</v>
      </c>
      <c r="BJ183" s="59">
        <f t="shared" si="146"/>
        <v>237.32002274562547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0.53544958678306154</v>
      </c>
      <c r="BQ183" s="21">
        <f>EXP(-LN(2)/25)*BQ182+(1-EXP(-LN(2)/25))/(LN(2)/25)*Calculateur!BL183*Calculateur!BN183*VLOOKUP('Données projet'!$B$11,Paramètres!$A$1:$I$89,3,0)*0.475*44/12</f>
        <v>1.0484079270418138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1.5838575138248754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2.5579538487363607E-13</v>
      </c>
      <c r="BZ183" s="13">
        <f>BY183*VLOOKUP('Données projet'!$B$12,Paramètres!$A$1:$I$89,3,0)*VLOOKUP('Données projet'!$B$12,Paramètres!$A$1:$I$89,5,0)</f>
        <v>2.1548203221755105E-13</v>
      </c>
      <c r="CA183" s="13">
        <f t="shared" si="170"/>
        <v>2.9604251148637229E-12</v>
      </c>
      <c r="CB183" s="20">
        <f t="shared" si="171"/>
        <v>5.5313716144998842E-12</v>
      </c>
      <c r="CC183" s="59">
        <f t="shared" si="119"/>
        <v>293.33333333333883</v>
      </c>
      <c r="CD183" s="59">
        <f ca="1">AVERAGE(OFFSET($CC$3,0,0,'Données projet'!$E$12+1,1))-AVERAGE(OFFSET($H$3,0,0,'Données projet'!$E$12+1,1))</f>
        <v>295.59075210589327</v>
      </c>
      <c r="CE183" s="59">
        <f t="shared" si="148"/>
        <v>210.41181542059576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39.072661692474114</v>
      </c>
      <c r="CL183" s="21">
        <f>EXP(-LN(2)/25)*CL182+(1-EXP(-LN(2)/25))/(LN(2)/25)*Calculateur!CG183*Calculateur!CI183*VLOOKUP('Données projet'!$B$12,Paramètres!$A$1:$I$89,3,0)*0.475*44/12</f>
        <v>5.4793778355381475</v>
      </c>
      <c r="CM183" s="21">
        <f>EXP(-LN(2)/2)*CM182+(1-EXP(-LN(2)/2))/(LN(2)/2)*CG183*CJ183*VLOOKUP('Données projet'!$B$12,Paramètres!$A$1:$I$89,3,0)*0.475*44/12</f>
        <v>1.8893596314395327E-7</v>
      </c>
      <c r="CN183" s="22">
        <f t="shared" si="172"/>
        <v>44.552039716948222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5.1727511163335289E-14</v>
      </c>
      <c r="CV183" s="13">
        <f t="shared" si="173"/>
        <v>8.3906664221915895E-13</v>
      </c>
      <c r="CW183" s="20">
        <f t="shared" si="174"/>
        <v>1.551466483807844E-12</v>
      </c>
      <c r="CX183" s="59">
        <f t="shared" si="122"/>
        <v>293.33333333333485</v>
      </c>
      <c r="CY183" s="59">
        <f ca="1">AVERAGE(OFFSET($CX$3,0,0,'Données projet'!$E$13+1,1))-AVERAGE(OFFSET($H$3,0,0,'Données projet'!$E$13+1,1))</f>
        <v>338.22448697444298</v>
      </c>
      <c r="CZ183" s="59">
        <f t="shared" si="150"/>
        <v>293.3872365640849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29.356510417844522</v>
      </c>
      <c r="DG183" s="21">
        <f>EXP(-LN(2)/25)*DG182+(1-EXP(-LN(2)/25))/(LN(2)/25)*Calculateur!DB183*Calculateur!DD183*VLOOKUP('Données projet'!$B$13,Paramètres!$A$1:$I$89,3,0)*0.475*44/12</f>
        <v>4.6256567803381845</v>
      </c>
      <c r="DH183" s="21">
        <f>EXP(-LN(2)/2)*DH182+(1-EXP(-LN(2)/2))/(LN(2)/2)*DB183*DE183*VLOOKUP('Données projet'!$B$13,Paramètres!$A$1:$I$89,3,0)*0.475*44/12</f>
        <v>7.1867641011933373E-14</v>
      </c>
      <c r="DI183" s="22">
        <f t="shared" si="175"/>
        <v>33.982167198182779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5.6843418860808015E-13</v>
      </c>
      <c r="DP183" s="17">
        <f>DO183*VLOOKUP('Données projet'!$B$14,Paramètres!$A$1:$I$89,3,0)*VLOOKUP('Données projet'!$B$14,Paramètres!$A$1:$I$89,5,0)</f>
        <v>3.177547114319168E-13</v>
      </c>
      <c r="DQ183" s="13">
        <f t="shared" si="176"/>
        <v>4.1725404435445377E-12</v>
      </c>
      <c r="DR183" s="20">
        <f t="shared" si="177"/>
        <v>7.820597394917325E-12</v>
      </c>
      <c r="DS183" s="59">
        <f t="shared" si="125"/>
        <v>293.33333333334116</v>
      </c>
      <c r="DT183" s="59">
        <f ca="1">AVERAGE(OFFSET($DS$3,0,0,'Données projet'!$E$14+1,1))-AVERAGE(OFFSET($H$3,0,0,'Données projet'!$E$14+1,1))</f>
        <v>328.15217666639006</v>
      </c>
      <c r="DU183" s="59">
        <f t="shared" si="152"/>
        <v>305.59175773326308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26.124321769274363</v>
      </c>
      <c r="EB183" s="21">
        <f>EXP(-LN(2)/25)*EB182+(1-EXP(-LN(2)/25))/(LN(2)/25)*Calculateur!DW183*Calculateur!DY183*VLOOKUP('Données projet'!$B$14,Paramètres!$A$1:$I$89,3,0)*0.475*44/12</f>
        <v>3.6356993676738671</v>
      </c>
      <c r="EC183" s="21">
        <f>EXP(-LN(2)/2)*EC182+(1-EXP(-LN(2)/2))/(LN(2)/2)*DW183*DZ183*VLOOKUP('Données projet'!$B$14,Paramètres!$A$1:$I$89,3,0)*0.475*44/12</f>
        <v>2.0956992897397361E-15</v>
      </c>
      <c r="ED183" s="22">
        <f t="shared" si="178"/>
        <v>29.760021136948236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159.78276497127206</v>
      </c>
      <c r="EP183" s="59">
        <f t="shared" si="154"/>
        <v>190.72163407919857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0.62192161775205013</v>
      </c>
      <c r="EW183" s="21">
        <f>EXP(-LN(2)/25)*EW182+(1-EXP(-LN(2)/25))/(LN(2)/25)*Calculateur!ER183*Calculateur!ET183*VLOOKUP('Données projet'!$B$15,Paramètres!$A$1:$I$89,3,0)*0.475*44/12</f>
        <v>1.2177197819261527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1.8396413996782028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6.2527760746888816E-13</v>
      </c>
      <c r="FF183" s="17">
        <f>FE183*VLOOKUP('Données projet'!$B$16,Paramètres!$A$1:$I$89,3,0)*VLOOKUP('Données projet'!$B$16,Paramètres!$A$1:$I$89,5,0)</f>
        <v>5.3648818720830608E-13</v>
      </c>
      <c r="FG183" s="13">
        <f t="shared" si="182"/>
        <v>6.6281362235424649E-12</v>
      </c>
      <c r="FH183" s="20">
        <f t="shared" si="183"/>
        <v>1.2478387515390925E-11</v>
      </c>
      <c r="FI183" s="59">
        <f t="shared" si="131"/>
        <v>293.33333333334582</v>
      </c>
      <c r="FJ183" s="59">
        <f ca="1">AVERAGE(OFFSET($FI$3,0,0,'Données projet'!$E$16+1,1))-AVERAGE(OFFSET($H$3,0,0,'Données projet'!$E$16+1,1))</f>
        <v>337.15023592377008</v>
      </c>
      <c r="FK183" s="59">
        <f t="shared" si="156"/>
        <v>286.60608582587099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54.790484587964571</v>
      </c>
      <c r="FR183" s="21">
        <f>EXP(-LN(2)/25)*FR182+(1-EXP(-LN(2)/25))/(LN(2)/25)*Calculateur!FM183*Calculateur!FO183*VLOOKUP('Données projet'!$B$16,Paramètres!$A$1:$I$89,3,0)*0.475*44/12</f>
        <v>10.000318686122888</v>
      </c>
      <c r="FS183" s="21">
        <f>EXP(-LN(2)/2)*FS182+(1-EXP(-LN(2)/2))/(LN(2)/2)*FM183*FP183*VLOOKUP('Données projet'!$B$16,Paramètres!$A$1:$I$89,3,0)*0.475*44/12</f>
        <v>1.8550254686691842E-5</v>
      </c>
      <c r="FT183" s="22">
        <f t="shared" si="184"/>
        <v>64.790821824342146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>
        <f>VLOOKUP(A183,'Données projet'!$A$243:$I$263,2,0)</f>
        <v>271.56</v>
      </c>
      <c r="FX183" s="12">
        <f>VLOOKUP(A183,'Données projet'!$A$243:$I$263,9,0)</f>
        <v>3.76000000000001</v>
      </c>
      <c r="FY183" s="12">
        <f t="array" ref="FY183">INDEX(FX:FX,MIN(IF(ISNUMBER(FX183:FX379),ROW(FX183:FX379),"")))</f>
        <v>3.76000000000001</v>
      </c>
      <c r="FZ183" s="12">
        <f>IF('Données projet'!$A$244&gt;35,FZ182+FY183-GH182,IF(A183&lt;'Données projet'!$A$244,$FW$205^A183,IF(A183='Données projet'!$A$244,'Données projet'!$B$244,FZ182+FY183-GH182)))</f>
        <v>271.5600000000008</v>
      </c>
      <c r="GA183" s="17">
        <f>FZ183*VLOOKUP('Données projet'!$B$17,Paramètres!$A$1:$I$89,3,0)*VLOOKUP('Données projet'!$B$17,Paramètres!$A$1:$I$89,5,0)</f>
        <v>245.70748800000069</v>
      </c>
      <c r="GB183" s="13">
        <f t="shared" si="185"/>
        <v>59.665839559289225</v>
      </c>
      <c r="GC183" s="20">
        <f t="shared" si="186"/>
        <v>531.85854549909652</v>
      </c>
      <c r="GD183" s="59">
        <f t="shared" si="134"/>
        <v>825.19187883242989</v>
      </c>
      <c r="GE183" s="59">
        <f ca="1">AVERAGE(OFFSET($GD$3,0,0,'Données projet'!$E$17+1,1))-AVERAGE(OFFSET($H$3,0,0,'Données projet'!$E$17+1,1))</f>
        <v>486.55344536255876</v>
      </c>
      <c r="GF183" s="59">
        <f t="shared" si="158"/>
        <v>231.14794884432229</v>
      </c>
      <c r="GG183" s="15">
        <f>IF(ISNA(VLOOKUP(A183,'Données projet'!$A$243:$I$263,3,0)),0,VLOOKUP(A183,'Données projet'!$A$243:$I$263,3,0))</f>
        <v>17</v>
      </c>
      <c r="GH183" s="15">
        <f>IF(ISNA(VLOOKUP(A183,'Données projet'!$A$243:$I$263,4,0)),0,VLOOKUP(A183,'Données projet'!$A$243:$I$263,4,0))</f>
        <v>86.97</v>
      </c>
      <c r="GI183" s="16">
        <f>IF(ISNA(VLOOKUP(A183,'Données projet'!$A$243:$I$263,5,0)),0%,VLOOKUP(A183,'Données projet'!$A$243:$I$263,5,0)*VLOOKUP('Données projet'!$B$17,Paramètres!$A$1:$I$89,7,0))</f>
        <v>0.19350000000000001</v>
      </c>
      <c r="GJ183" s="16">
        <f>IF(ISNA(VLOOKUP(A183,'Données projet'!$A$243:$I$263,6,0)),0%,VLOOKUP(A183,'Données projet'!$A$243:$I$263,6,0)*VLOOKUP('Données projet'!$B$17,Paramètres!$A$1:$I$89,7,0))</f>
        <v>2.1500000000000002E-2</v>
      </c>
      <c r="GK183" s="16">
        <f>IF(ISNA(VLOOKUP(A183,'Données projet'!$A$243:$I$263,7,0)),0%,VLOOKUP(A183,'Données projet'!$A$243:$I$263,7,0))</f>
        <v>0.05</v>
      </c>
      <c r="GL183" s="21">
        <f>EXP(-LN(2)/35)*GL182+(1-EXP(-LN(2)/35))/(LN(2)/35)*GH183*GI183*VLOOKUP('Données projet'!$B$17,Paramètres!$A$1:$I$89,3,0)*0.475*44/12</f>
        <v>124.23943061149308</v>
      </c>
      <c r="GM183" s="21">
        <f>EXP(-LN(2)/25)*GM182+(1-EXP(-LN(2)/25))/(LN(2)/25)*Calculateur!GH183*Calculateur!GJ183*VLOOKUP('Données projet'!$B$17,Paramètres!$A$1:$I$89,3,0)*0.475*44/12</f>
        <v>23.516474371613818</v>
      </c>
      <c r="GN183" s="21">
        <f>EXP(-LN(2)/2)*GN182+(1-EXP(-LN(2)/2))/(LN(2)/2)*GH183*GK183*VLOOKUP('Données projet'!$B$17,Paramètres!$A$1:$I$89,3,0)*0.475*44/12</f>
        <v>6.9345530057429094</v>
      </c>
      <c r="GO183" s="21">
        <f t="shared" si="187"/>
        <v>154.6904579888498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548.10118242445697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252.08270526008477</v>
      </c>
      <c r="T184" s="59">
        <f t="shared" si="142"/>
        <v>239.77811108960179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34.714443759590388</v>
      </c>
      <c r="AA184" s="21">
        <f>EXP(-LN(2)/25)*AA183+(1-EXP(-LN(2)/25))/(LN(2)/25)*Calculateur!V184*Calculateur!X184*VLOOKUP('Données projet'!$B$9,Paramètres!$A$1:$I$89,3,0)*0.475*44/12</f>
        <v>5.7827408959858602</v>
      </c>
      <c r="AB184" s="21">
        <f>EXP(-LN(2)/2)*AB183+(1-EXP(-LN(2)/2))/(LN(2)/2)*V184*Y184*VLOOKUP('Données projet'!$B$9,Paramètres!$A$1:$I$89,3,0)*0.475*44/12</f>
        <v>3.5169738454434201E-11</v>
      </c>
      <c r="AC184" s="22">
        <f t="shared" si="163"/>
        <v>40.49718465561142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251.64326096359997</v>
      </c>
      <c r="AO184" s="59">
        <f t="shared" si="144"/>
        <v>256.72142151189894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12.644508406030797</v>
      </c>
      <c r="AV184" s="21">
        <f>EXP(-LN(2)/25)*AV183+(1-EXP(-LN(2)/25))/(LN(2)/25)*Calculateur!AQ184*Calculateur!AS184*VLOOKUP('Données projet'!$B$10,Paramètres!$A$1:$I$89,3,0)*0.475*44/12</f>
        <v>1.6913114830972202</v>
      </c>
      <c r="AW184" s="21">
        <f>EXP(-LN(2)/2)*AW183+(1-EXP(-LN(2)/2))/(LN(2)/2)*AQ184*AT184*VLOOKUP('Données projet'!$B$10,Paramètres!$A$1:$I$89,3,0)*0.475*44/12</f>
        <v>3.6775394214353783E-17</v>
      </c>
      <c r="AX184" s="21">
        <f t="shared" si="166"/>
        <v>14.335819889128016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199.29783428981898</v>
      </c>
      <c r="BJ184" s="59">
        <f t="shared" si="146"/>
        <v>237.32002274562547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0.52494974697824537</v>
      </c>
      <c r="BQ184" s="21">
        <f>EXP(-LN(2)/25)*BQ183+(1-EXP(-LN(2)/25))/(LN(2)/25)*Calculateur!BL184*Calculateur!BN184*VLOOKUP('Données projet'!$B$11,Paramètres!$A$1:$I$89,3,0)*0.475*44/12</f>
        <v>1.0197391571434786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1.544688904121724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2.5579538487363607E-13</v>
      </c>
      <c r="BZ184" s="13">
        <f>BY184*VLOOKUP('Données projet'!$B$12,Paramètres!$A$1:$I$89,3,0)*VLOOKUP('Données projet'!$B$12,Paramètres!$A$1:$I$89,5,0)</f>
        <v>2.1548203221755105E-13</v>
      </c>
      <c r="CA184" s="13">
        <f t="shared" si="170"/>
        <v>2.9604251148637229E-12</v>
      </c>
      <c r="CB184" s="20">
        <f t="shared" si="171"/>
        <v>5.5313716144998842E-12</v>
      </c>
      <c r="CC184" s="59">
        <f t="shared" si="119"/>
        <v>293.33333333333883</v>
      </c>
      <c r="CD184" s="59">
        <f ca="1">AVERAGE(OFFSET($CC$3,0,0,'Données projet'!$E$12+1,1))-AVERAGE(OFFSET($H$3,0,0,'Données projet'!$E$12+1,1))</f>
        <v>295.59075210589327</v>
      </c>
      <c r="CE184" s="59">
        <f t="shared" si="148"/>
        <v>210.41181542059576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38.30647062865512</v>
      </c>
      <c r="CL184" s="21">
        <f>EXP(-LN(2)/25)*CL183+(1-EXP(-LN(2)/25))/(LN(2)/25)*Calculateur!CG184*Calculateur!CI184*VLOOKUP('Données projet'!$B$12,Paramètres!$A$1:$I$89,3,0)*0.475*44/12</f>
        <v>5.3295439604774</v>
      </c>
      <c r="CM184" s="21">
        <f>EXP(-LN(2)/2)*CM183+(1-EXP(-LN(2)/2))/(LN(2)/2)*CG184*CJ184*VLOOKUP('Données projet'!$B$12,Paramètres!$A$1:$I$89,3,0)*0.475*44/12</f>
        <v>1.3359790074910097E-7</v>
      </c>
      <c r="CN184" s="22">
        <f t="shared" si="172"/>
        <v>43.636014722730422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5.1727511163335289E-14</v>
      </c>
      <c r="CV184" s="13">
        <f t="shared" si="173"/>
        <v>8.3906664221915895E-13</v>
      </c>
      <c r="CW184" s="20">
        <f t="shared" si="174"/>
        <v>1.551466483807844E-12</v>
      </c>
      <c r="CX184" s="59">
        <f t="shared" si="122"/>
        <v>293.33333333333485</v>
      </c>
      <c r="CY184" s="59">
        <f ca="1">AVERAGE(OFFSET($CX$3,0,0,'Données projet'!$E$13+1,1))-AVERAGE(OFFSET($H$3,0,0,'Données projet'!$E$13+1,1))</f>
        <v>338.22448697444298</v>
      </c>
      <c r="CZ184" s="59">
        <f t="shared" si="150"/>
        <v>293.3872365640849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28.780847154253905</v>
      </c>
      <c r="DG184" s="21">
        <f>EXP(-LN(2)/25)*DG183+(1-EXP(-LN(2)/25))/(LN(2)/25)*Calculateur!DB184*Calculateur!DD184*VLOOKUP('Données projet'!$B$13,Paramètres!$A$1:$I$89,3,0)*0.475*44/12</f>
        <v>4.4991679524271184</v>
      </c>
      <c r="DH184" s="21">
        <f>EXP(-LN(2)/2)*DH183+(1-EXP(-LN(2)/2))/(LN(2)/2)*DB184*DE184*VLOOKUP('Données projet'!$B$13,Paramètres!$A$1:$I$89,3,0)*0.475*44/12</f>
        <v>5.0818096307418521E-14</v>
      </c>
      <c r="DI184" s="22">
        <f t="shared" si="175"/>
        <v>33.28001510668107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5.6843418860808015E-13</v>
      </c>
      <c r="DP184" s="17">
        <f>DO184*VLOOKUP('Données projet'!$B$14,Paramètres!$A$1:$I$89,3,0)*VLOOKUP('Données projet'!$B$14,Paramètres!$A$1:$I$89,5,0)</f>
        <v>3.177547114319168E-13</v>
      </c>
      <c r="DQ184" s="13">
        <f t="shared" si="176"/>
        <v>4.1725404435445377E-12</v>
      </c>
      <c r="DR184" s="20">
        <f t="shared" si="177"/>
        <v>7.820597394917325E-12</v>
      </c>
      <c r="DS184" s="59">
        <f t="shared" si="125"/>
        <v>293.33333333334116</v>
      </c>
      <c r="DT184" s="59">
        <f ca="1">AVERAGE(OFFSET($DS$3,0,0,'Données projet'!$E$14+1,1))-AVERAGE(OFFSET($H$3,0,0,'Données projet'!$E$14+1,1))</f>
        <v>328.15217666639006</v>
      </c>
      <c r="DU184" s="59">
        <f t="shared" si="152"/>
        <v>305.59175773326308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25.612039753641795</v>
      </c>
      <c r="EB184" s="21">
        <f>EXP(-LN(2)/25)*EB183+(1-EXP(-LN(2)/25))/(LN(2)/25)*Calculateur!DW184*Calculateur!DY184*VLOOKUP('Données projet'!$B$14,Paramètres!$A$1:$I$89,3,0)*0.475*44/12</f>
        <v>3.536280977271705</v>
      </c>
      <c r="EC184" s="21">
        <f>EXP(-LN(2)/2)*EC183+(1-EXP(-LN(2)/2))/(LN(2)/2)*DW184*DZ184*VLOOKUP('Données projet'!$B$14,Paramètres!$A$1:$I$89,3,0)*0.475*44/12</f>
        <v>1.4818831791027987E-15</v>
      </c>
      <c r="ED184" s="22">
        <f t="shared" si="178"/>
        <v>29.1483207309135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159.78276497127206</v>
      </c>
      <c r="EP184" s="59">
        <f t="shared" si="154"/>
        <v>190.72163407919857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0.60972611416266309</v>
      </c>
      <c r="EW184" s="21">
        <f>EXP(-LN(2)/25)*EW183+(1-EXP(-LN(2)/25))/(LN(2)/25)*Calculateur!ER184*Calculateur!ET184*VLOOKUP('Données projet'!$B$15,Paramètres!$A$1:$I$89,3,0)*0.475*44/12</f>
        <v>1.1844211704522818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1.7941472846149449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6.2527760746888816E-13</v>
      </c>
      <c r="FF184" s="17">
        <f>FE184*VLOOKUP('Données projet'!$B$16,Paramètres!$A$1:$I$89,3,0)*VLOOKUP('Données projet'!$B$16,Paramètres!$A$1:$I$89,5,0)</f>
        <v>5.3648818720830608E-13</v>
      </c>
      <c r="FG184" s="13">
        <f t="shared" si="182"/>
        <v>6.6281362235424649E-12</v>
      </c>
      <c r="FH184" s="20">
        <f t="shared" si="183"/>
        <v>1.2478387515390925E-11</v>
      </c>
      <c r="FI184" s="59">
        <f t="shared" si="131"/>
        <v>293.33333333334582</v>
      </c>
      <c r="FJ184" s="59">
        <f ca="1">AVERAGE(OFFSET($FI$3,0,0,'Données projet'!$E$16+1,1))-AVERAGE(OFFSET($H$3,0,0,'Données projet'!$E$16+1,1))</f>
        <v>337.15023592377008</v>
      </c>
      <c r="FK184" s="59">
        <f t="shared" si="156"/>
        <v>286.60608582587099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53.71607660409034</v>
      </c>
      <c r="FR184" s="21">
        <f>EXP(-LN(2)/25)*FR183+(1-EXP(-LN(2)/25))/(LN(2)/25)*Calculateur!FM184*Calculateur!FO184*VLOOKUP('Données projet'!$B$16,Paramètres!$A$1:$I$89,3,0)*0.475*44/12</f>
        <v>9.7268594457569542</v>
      </c>
      <c r="FS184" s="21">
        <f>EXP(-LN(2)/2)*FS183+(1-EXP(-LN(2)/2))/(LN(2)/2)*FM184*FP184*VLOOKUP('Données projet'!$B$16,Paramètres!$A$1:$I$89,3,0)*0.475*44/12</f>
        <v>1.3117010881697336E-5</v>
      </c>
      <c r="FT184" s="22">
        <f t="shared" si="184"/>
        <v>63.44294916685817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2.2933333333333317</v>
      </c>
      <c r="FZ184" s="12">
        <f>IF('Données projet'!$A$244&gt;35,FZ183+FY184-GH183,IF(A184&lt;'Données projet'!$A$244,$FW$205^A184,IF(A184='Données projet'!$A$244,'Données projet'!$B$244,FZ183+FY184-GH183)))</f>
        <v>186.88333333333415</v>
      </c>
      <c r="GA184" s="17">
        <f>FZ184*VLOOKUP('Données projet'!$B$17,Paramètres!$A$1:$I$89,3,0)*VLOOKUP('Données projet'!$B$17,Paramètres!$A$1:$I$89,5,0)</f>
        <v>169.09204000000074</v>
      </c>
      <c r="GB184" s="13">
        <f t="shared" si="185"/>
        <v>42.886607412438856</v>
      </c>
      <c r="GC184" s="20">
        <f t="shared" si="186"/>
        <v>369.1961442433323</v>
      </c>
      <c r="GD184" s="59">
        <f t="shared" si="134"/>
        <v>662.52947757666561</v>
      </c>
      <c r="GE184" s="59">
        <f ca="1">AVERAGE(OFFSET($GD$3,0,0,'Données projet'!$E$17+1,1))-AVERAGE(OFFSET($H$3,0,0,'Données projet'!$E$17+1,1))</f>
        <v>486.55344536255876</v>
      </c>
      <c r="GF184" s="59">
        <f t="shared" si="158"/>
        <v>231.14794884432229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121.80317115577186</v>
      </c>
      <c r="GM184" s="21">
        <f>EXP(-LN(2)/25)*GM183+(1-EXP(-LN(2)/25))/(LN(2)/25)*Calculateur!GH184*Calculateur!GJ184*VLOOKUP('Données projet'!$B$17,Paramètres!$A$1:$I$89,3,0)*0.475*44/12</f>
        <v>22.873415143244397</v>
      </c>
      <c r="GN184" s="21">
        <f>EXP(-LN(2)/2)*GN183+(1-EXP(-LN(2)/2))/(LN(2)/2)*GH184*GK184*VLOOKUP('Données projet'!$B$17,Paramètres!$A$1:$I$89,3,0)*0.475*44/12</f>
        <v>4.9034694548583673</v>
      </c>
      <c r="GO184" s="21">
        <f t="shared" si="187"/>
        <v>149.58005575387463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549.67244528181982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252.08270526008477</v>
      </c>
      <c r="T185" s="59">
        <f t="shared" si="142"/>
        <v>239.77811108960179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34.033714691184784</v>
      </c>
      <c r="AA185" s="21">
        <f>EXP(-LN(2)/25)*AA184+(1-EXP(-LN(2)/25))/(LN(2)/25)*Calculateur!V185*Calculateur!X185*VLOOKUP('Données projet'!$B$9,Paramètres!$A$1:$I$89,3,0)*0.475*44/12</f>
        <v>5.6246115420839997</v>
      </c>
      <c r="AB185" s="21">
        <f>EXP(-LN(2)/2)*AB184+(1-EXP(-LN(2)/2))/(LN(2)/2)*V185*Y185*VLOOKUP('Données projet'!$B$9,Paramètres!$A$1:$I$89,3,0)*0.475*44/12</f>
        <v>2.4868760553687711E-11</v>
      </c>
      <c r="AC185" s="22">
        <f t="shared" si="163"/>
        <v>39.65832623329365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251.64326096359997</v>
      </c>
      <c r="AO185" s="59">
        <f t="shared" si="144"/>
        <v>256.72142151189894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12.396557308577126</v>
      </c>
      <c r="AV185" s="21">
        <f>EXP(-LN(2)/25)*AV184+(1-EXP(-LN(2)/25))/(LN(2)/25)*Calculateur!AQ185*Calculateur!AS185*VLOOKUP('Données projet'!$B$10,Paramètres!$A$1:$I$89,3,0)*0.475*44/12</f>
        <v>1.6450624816497215</v>
      </c>
      <c r="AW185" s="21">
        <f>EXP(-LN(2)/2)*AW184+(1-EXP(-LN(2)/2))/(LN(2)/2)*AQ185*AT185*VLOOKUP('Données projet'!$B$10,Paramètres!$A$1:$I$89,3,0)*0.475*44/12</f>
        <v>2.6004130629778087E-17</v>
      </c>
      <c r="AX185" s="21">
        <f t="shared" si="166"/>
        <v>14.041619790226848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199.29783428981898</v>
      </c>
      <c r="BJ185" s="59">
        <f t="shared" si="146"/>
        <v>237.32002274562547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0.5146558026277317</v>
      </c>
      <c r="BQ185" s="21">
        <f>EXP(-LN(2)/25)*BQ184+(1-EXP(-LN(2)/25))/(LN(2)/25)*Calculateur!BL185*Calculateur!BN185*VLOOKUP('Données projet'!$B$11,Paramètres!$A$1:$I$89,3,0)*0.475*44/12</f>
        <v>0.99185433626563857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1.5065101388933702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2.5579538487363607E-13</v>
      </c>
      <c r="BZ185" s="13">
        <f>BY185*VLOOKUP('Données projet'!$B$12,Paramètres!$A$1:$I$89,3,0)*VLOOKUP('Données projet'!$B$12,Paramètres!$A$1:$I$89,5,0)</f>
        <v>2.1548203221755105E-13</v>
      </c>
      <c r="CA185" s="13">
        <f t="shared" si="170"/>
        <v>2.9604251148637229E-12</v>
      </c>
      <c r="CB185" s="20">
        <f t="shared" si="171"/>
        <v>5.5313716144998842E-12</v>
      </c>
      <c r="CC185" s="59">
        <f t="shared" si="119"/>
        <v>293.33333333333883</v>
      </c>
      <c r="CD185" s="59">
        <f ca="1">AVERAGE(OFFSET($CC$3,0,0,'Données projet'!$E$12+1,1))-AVERAGE(OFFSET($H$3,0,0,'Données projet'!$E$12+1,1))</f>
        <v>295.59075210589327</v>
      </c>
      <c r="CE185" s="59">
        <f t="shared" si="148"/>
        <v>210.41181542059576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37.555304104267208</v>
      </c>
      <c r="CL185" s="21">
        <f>EXP(-LN(2)/25)*CL184+(1-EXP(-LN(2)/25))/(LN(2)/25)*Calculateur!CG185*Calculateur!CI185*VLOOKUP('Données projet'!$B$12,Paramètres!$A$1:$I$89,3,0)*0.475*44/12</f>
        <v>5.183807300609609</v>
      </c>
      <c r="CM185" s="21">
        <f>EXP(-LN(2)/2)*CM184+(1-EXP(-LN(2)/2))/(LN(2)/2)*CG185*CJ185*VLOOKUP('Données projet'!$B$12,Paramètres!$A$1:$I$89,3,0)*0.475*44/12</f>
        <v>9.4467981571976633E-8</v>
      </c>
      <c r="CN185" s="22">
        <f t="shared" si="172"/>
        <v>42.739111499344794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5.1727511163335289E-14</v>
      </c>
      <c r="CV185" s="13">
        <f t="shared" si="173"/>
        <v>8.3906664221915895E-13</v>
      </c>
      <c r="CW185" s="20">
        <f t="shared" si="174"/>
        <v>1.551466483807844E-12</v>
      </c>
      <c r="CX185" s="59">
        <f t="shared" si="122"/>
        <v>293.33333333333485</v>
      </c>
      <c r="CY185" s="59">
        <f ca="1">AVERAGE(OFFSET($CX$3,0,0,'Données projet'!$E$13+1,1))-AVERAGE(OFFSET($H$3,0,0,'Données projet'!$E$13+1,1))</f>
        <v>338.22448697444298</v>
      </c>
      <c r="CZ185" s="59">
        <f t="shared" si="150"/>
        <v>293.3872365640849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28.216472296142378</v>
      </c>
      <c r="DG185" s="21">
        <f>EXP(-LN(2)/25)*DG184+(1-EXP(-LN(2)/25))/(LN(2)/25)*Calculateur!DB185*Calculateur!DD185*VLOOKUP('Données projet'!$B$13,Paramètres!$A$1:$I$89,3,0)*0.475*44/12</f>
        <v>4.3761379681670389</v>
      </c>
      <c r="DH185" s="21">
        <f>EXP(-LN(2)/2)*DH184+(1-EXP(-LN(2)/2))/(LN(2)/2)*DB185*DE185*VLOOKUP('Données projet'!$B$13,Paramètres!$A$1:$I$89,3,0)*0.475*44/12</f>
        <v>3.5933820505966686E-14</v>
      </c>
      <c r="DI185" s="22">
        <f t="shared" si="175"/>
        <v>32.59261026430945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5.6843418860808015E-13</v>
      </c>
      <c r="DP185" s="17">
        <f>DO185*VLOOKUP('Données projet'!$B$14,Paramètres!$A$1:$I$89,3,0)*VLOOKUP('Données projet'!$B$14,Paramètres!$A$1:$I$89,5,0)</f>
        <v>3.177547114319168E-13</v>
      </c>
      <c r="DQ185" s="13">
        <f t="shared" si="176"/>
        <v>4.1725404435445377E-12</v>
      </c>
      <c r="DR185" s="20">
        <f t="shared" si="177"/>
        <v>7.820597394917325E-12</v>
      </c>
      <c r="DS185" s="59">
        <f t="shared" si="125"/>
        <v>293.33333333334116</v>
      </c>
      <c r="DT185" s="59">
        <f ca="1">AVERAGE(OFFSET($DS$3,0,0,'Données projet'!$E$14+1,1))-AVERAGE(OFFSET($H$3,0,0,'Données projet'!$E$14+1,1))</f>
        <v>328.15217666639006</v>
      </c>
      <c r="DU185" s="59">
        <f t="shared" si="152"/>
        <v>305.59175773326308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25.109803275874604</v>
      </c>
      <c r="EB185" s="21">
        <f>EXP(-LN(2)/25)*EB184+(1-EXP(-LN(2)/25))/(LN(2)/25)*Calculateur!DW185*Calculateur!DY185*VLOOKUP('Données projet'!$B$14,Paramètres!$A$1:$I$89,3,0)*0.475*44/12</f>
        <v>3.4395811879832761</v>
      </c>
      <c r="EC185" s="21">
        <f>EXP(-LN(2)/2)*EC184+(1-EXP(-LN(2)/2))/(LN(2)/2)*DW185*DZ185*VLOOKUP('Données projet'!$B$14,Paramètres!$A$1:$I$89,3,0)*0.475*44/12</f>
        <v>1.047849644869868E-15</v>
      </c>
      <c r="ED185" s="22">
        <f t="shared" si="178"/>
        <v>28.54938446385788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159.78276497127206</v>
      </c>
      <c r="EP185" s="59">
        <f t="shared" si="154"/>
        <v>190.72163407919857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0.59776975696014123</v>
      </c>
      <c r="EW185" s="21">
        <f>EXP(-LN(2)/25)*EW184+(1-EXP(-LN(2)/25))/(LN(2)/25)*Calculateur!ER185*Calculateur!ET185*VLOOKUP('Données projet'!$B$15,Paramètres!$A$1:$I$89,3,0)*0.475*44/12</f>
        <v>1.1520331112602618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1.749802868220403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6.2527760746888816E-13</v>
      </c>
      <c r="FF185" s="17">
        <f>FE185*VLOOKUP('Données projet'!$B$16,Paramètres!$A$1:$I$89,3,0)*VLOOKUP('Données projet'!$B$16,Paramètres!$A$1:$I$89,5,0)</f>
        <v>5.3648818720830608E-13</v>
      </c>
      <c r="FG185" s="13">
        <f t="shared" si="182"/>
        <v>6.6281362235424649E-12</v>
      </c>
      <c r="FH185" s="20">
        <f t="shared" si="183"/>
        <v>1.2478387515390925E-11</v>
      </c>
      <c r="FI185" s="59">
        <f t="shared" si="131"/>
        <v>293.33333333334582</v>
      </c>
      <c r="FJ185" s="59">
        <f ca="1">AVERAGE(OFFSET($FI$3,0,0,'Données projet'!$E$16+1,1))-AVERAGE(OFFSET($H$3,0,0,'Données projet'!$E$16+1,1))</f>
        <v>337.15023592377008</v>
      </c>
      <c r="FK185" s="59">
        <f t="shared" si="156"/>
        <v>286.60608582587099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52.662737105455726</v>
      </c>
      <c r="FR185" s="21">
        <f>EXP(-LN(2)/25)*FR184+(1-EXP(-LN(2)/25))/(LN(2)/25)*Calculateur!FM185*Calculateur!FO185*VLOOKUP('Données projet'!$B$16,Paramètres!$A$1:$I$89,3,0)*0.475*44/12</f>
        <v>9.4608779626994224</v>
      </c>
      <c r="FS185" s="21">
        <f>EXP(-LN(2)/2)*FS184+(1-EXP(-LN(2)/2))/(LN(2)/2)*FM185*FP185*VLOOKUP('Données projet'!$B$16,Paramètres!$A$1:$I$89,3,0)*0.475*44/12</f>
        <v>9.2751273433459208E-6</v>
      </c>
      <c r="FT185" s="22">
        <f t="shared" si="184"/>
        <v>62.123624343282486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2.2933333333333317</v>
      </c>
      <c r="FZ185" s="12">
        <f>IF('Données projet'!$A$244&gt;35,FZ184+FY185-GH184,IF(A185&lt;'Données projet'!$A$244,$FW$205^A185,IF(A185='Données projet'!$A$244,'Données projet'!$B$244,FZ184+FY185-GH184)))</f>
        <v>189.17666666666747</v>
      </c>
      <c r="GA185" s="17">
        <f>FZ185*VLOOKUP('Données projet'!$B$17,Paramètres!$A$1:$I$89,3,0)*VLOOKUP('Données projet'!$B$17,Paramètres!$A$1:$I$89,5,0)</f>
        <v>171.16704800000073</v>
      </c>
      <c r="GB185" s="13">
        <f t="shared" si="185"/>
        <v>43.351299348190551</v>
      </c>
      <c r="GC185" s="20">
        <f t="shared" si="186"/>
        <v>373.61945496476648</v>
      </c>
      <c r="GD185" s="59">
        <f t="shared" si="134"/>
        <v>666.95278829809979</v>
      </c>
      <c r="GE185" s="59">
        <f ca="1">AVERAGE(OFFSET($GD$3,0,0,'Données projet'!$E$17+1,1))-AVERAGE(OFFSET($H$3,0,0,'Données projet'!$E$17+1,1))</f>
        <v>486.55344536255876</v>
      </c>
      <c r="GF185" s="59">
        <f t="shared" si="158"/>
        <v>231.14794884432229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119.4146852620058</v>
      </c>
      <c r="GM185" s="21">
        <f>EXP(-LN(2)/25)*GM184+(1-EXP(-LN(2)/25))/(LN(2)/25)*Calculateur!GH185*Calculateur!GJ185*VLOOKUP('Données projet'!$B$17,Paramètres!$A$1:$I$89,3,0)*0.475*44/12</f>
        <v>22.247940403291754</v>
      </c>
      <c r="GN185" s="21">
        <f>EXP(-LN(2)/2)*GN184+(1-EXP(-LN(2)/2))/(LN(2)/2)*GH185*GK185*VLOOKUP('Données projet'!$B$17,Paramètres!$A$1:$I$89,3,0)*0.475*44/12</f>
        <v>3.4672765028714552</v>
      </c>
      <c r="GO185" s="21">
        <f t="shared" si="187"/>
        <v>145.129902168169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551.24351999307464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252.08270526008477</v>
      </c>
      <c r="T186" s="59">
        <f t="shared" si="142"/>
        <v>239.77811108960179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33.36633430460688</v>
      </c>
      <c r="AA186" s="21">
        <f>EXP(-LN(2)/25)*AA185+(1-EXP(-LN(2)/25))/(LN(2)/25)*Calculateur!V186*Calculateur!X186*VLOOKUP('Données projet'!$B$9,Paramètres!$A$1:$I$89,3,0)*0.475*44/12</f>
        <v>5.4708062436802471</v>
      </c>
      <c r="AB186" s="21">
        <f>EXP(-LN(2)/2)*AB185+(1-EXP(-LN(2)/2))/(LN(2)/2)*V186*Y186*VLOOKUP('Données projet'!$B$9,Paramètres!$A$1:$I$89,3,0)*0.475*44/12</f>
        <v>1.75848692272171E-11</v>
      </c>
      <c r="AC186" s="22">
        <f t="shared" si="163"/>
        <v>38.83714054830471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251.64326096359997</v>
      </c>
      <c r="AO186" s="59">
        <f t="shared" si="144"/>
        <v>256.72142151189894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12.153468380909285</v>
      </c>
      <c r="AV186" s="21">
        <f>EXP(-LN(2)/25)*AV185+(1-EXP(-LN(2)/25))/(LN(2)/25)*Calculateur!AQ186*Calculateur!AS186*VLOOKUP('Données projet'!$B$10,Paramètres!$A$1:$I$89,3,0)*0.475*44/12</f>
        <v>1.6000781615789337</v>
      </c>
      <c r="AW186" s="21">
        <f>EXP(-LN(2)/2)*AW185+(1-EXP(-LN(2)/2))/(LN(2)/2)*AQ186*AT186*VLOOKUP('Données projet'!$B$10,Paramètres!$A$1:$I$89,3,0)*0.475*44/12</f>
        <v>1.8387697107176892E-17</v>
      </c>
      <c r="AX186" s="21">
        <f t="shared" si="166"/>
        <v>13.753546542488218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199.29783428981898</v>
      </c>
      <c r="BJ186" s="59">
        <f t="shared" si="146"/>
        <v>237.32002274562547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0.5045637162472455</v>
      </c>
      <c r="BQ186" s="21">
        <f>EXP(-LN(2)/25)*BQ185+(1-EXP(-LN(2)/25))/(LN(2)/25)*Calculateur!BL186*Calculateur!BN186*VLOOKUP('Données projet'!$B$11,Paramètres!$A$1:$I$89,3,0)*0.475*44/12</f>
        <v>0.96473202728110208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1.4692957435283476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2.5579538487363607E-13</v>
      </c>
      <c r="BZ186" s="13">
        <f>BY186*VLOOKUP('Données projet'!$B$12,Paramètres!$A$1:$I$89,3,0)*VLOOKUP('Données projet'!$B$12,Paramètres!$A$1:$I$89,5,0)</f>
        <v>2.1548203221755105E-13</v>
      </c>
      <c r="CA186" s="13">
        <f t="shared" si="170"/>
        <v>2.9604251148637229E-12</v>
      </c>
      <c r="CB186" s="20">
        <f t="shared" si="171"/>
        <v>5.5313716144998842E-12</v>
      </c>
      <c r="CC186" s="59">
        <f t="shared" si="119"/>
        <v>293.33333333333883</v>
      </c>
      <c r="CD186" s="59">
        <f ca="1">AVERAGE(OFFSET($CC$3,0,0,'Données projet'!$E$12+1,1))-AVERAGE(OFFSET($H$3,0,0,'Données projet'!$E$12+1,1))</f>
        <v>295.59075210589327</v>
      </c>
      <c r="CE186" s="59">
        <f t="shared" si="148"/>
        <v>210.41181542059576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36.818867497256207</v>
      </c>
      <c r="CL186" s="21">
        <f>EXP(-LN(2)/25)*CL185+(1-EXP(-LN(2)/25))/(LN(2)/25)*Calculateur!CG186*Calculateur!CI186*VLOOKUP('Données projet'!$B$12,Paramètres!$A$1:$I$89,3,0)*0.475*44/12</f>
        <v>5.0420558173698611</v>
      </c>
      <c r="CM186" s="21">
        <f>EXP(-LN(2)/2)*CM185+(1-EXP(-LN(2)/2))/(LN(2)/2)*CG186*CJ186*VLOOKUP('Données projet'!$B$12,Paramètres!$A$1:$I$89,3,0)*0.475*44/12</f>
        <v>6.6798950374550484E-8</v>
      </c>
      <c r="CN186" s="22">
        <f t="shared" si="172"/>
        <v>41.860923381425025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5.1727511163335289E-14</v>
      </c>
      <c r="CV186" s="13">
        <f t="shared" si="173"/>
        <v>8.3906664221915895E-13</v>
      </c>
      <c r="CW186" s="20">
        <f t="shared" si="174"/>
        <v>1.551466483807844E-12</v>
      </c>
      <c r="CX186" s="59">
        <f t="shared" si="122"/>
        <v>293.33333333333485</v>
      </c>
      <c r="CY186" s="59">
        <f ca="1">AVERAGE(OFFSET($CX$3,0,0,'Données projet'!$E$13+1,1))-AVERAGE(OFFSET($H$3,0,0,'Données projet'!$E$13+1,1))</f>
        <v>338.22448697444298</v>
      </c>
      <c r="CZ186" s="59">
        <f t="shared" si="150"/>
        <v>293.3872365640849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27.663164484763744</v>
      </c>
      <c r="DG186" s="21">
        <f>EXP(-LN(2)/25)*DG185+(1-EXP(-LN(2)/25))/(LN(2)/25)*Calculateur!DB186*Calculateur!DD186*VLOOKUP('Données projet'!$B$13,Paramètres!$A$1:$I$89,3,0)*0.475*44/12</f>
        <v>4.2564722452964174</v>
      </c>
      <c r="DH186" s="21">
        <f>EXP(-LN(2)/2)*DH185+(1-EXP(-LN(2)/2))/(LN(2)/2)*DB186*DE186*VLOOKUP('Données projet'!$B$13,Paramètres!$A$1:$I$89,3,0)*0.475*44/12</f>
        <v>2.540904815370926E-14</v>
      </c>
      <c r="DI186" s="22">
        <f t="shared" si="175"/>
        <v>31.919636730060187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5.6843418860808015E-13</v>
      </c>
      <c r="DP186" s="17">
        <f>DO186*VLOOKUP('Données projet'!$B$14,Paramètres!$A$1:$I$89,3,0)*VLOOKUP('Données projet'!$B$14,Paramètres!$A$1:$I$89,5,0)</f>
        <v>3.177547114319168E-13</v>
      </c>
      <c r="DQ186" s="13">
        <f t="shared" si="176"/>
        <v>4.1725404435445377E-12</v>
      </c>
      <c r="DR186" s="20">
        <f t="shared" si="177"/>
        <v>7.820597394917325E-12</v>
      </c>
      <c r="DS186" s="59">
        <f t="shared" si="125"/>
        <v>293.33333333334116</v>
      </c>
      <c r="DT186" s="59">
        <f ca="1">AVERAGE(OFFSET($DS$3,0,0,'Données projet'!$E$14+1,1))-AVERAGE(OFFSET($H$3,0,0,'Données projet'!$E$14+1,1))</f>
        <v>328.15217666639006</v>
      </c>
      <c r="DU186" s="59">
        <f t="shared" si="152"/>
        <v>305.59175773326308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24.617415349102426</v>
      </c>
      <c r="EB186" s="21">
        <f>EXP(-LN(2)/25)*EB185+(1-EXP(-LN(2)/25))/(LN(2)/25)*Calculateur!DW186*Calculateur!DY186*VLOOKUP('Données projet'!$B$14,Paramètres!$A$1:$I$89,3,0)*0.475*44/12</f>
        <v>3.3455256595181599</v>
      </c>
      <c r="EC186" s="21">
        <f>EXP(-LN(2)/2)*EC185+(1-EXP(-LN(2)/2))/(LN(2)/2)*DW186*DZ186*VLOOKUP('Données projet'!$B$14,Paramètres!$A$1:$I$89,3,0)*0.475*44/12</f>
        <v>7.4094158955139933E-16</v>
      </c>
      <c r="ED186" s="22">
        <f t="shared" si="178"/>
        <v>27.962941008620586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159.78276497127206</v>
      </c>
      <c r="EP186" s="59">
        <f t="shared" si="154"/>
        <v>190.72163407919857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0.58604785662970305</v>
      </c>
      <c r="EW186" s="21">
        <f>EXP(-LN(2)/25)*EW185+(1-EXP(-LN(2)/25))/(LN(2)/25)*Calculateur!ER186*Calculateur!ET186*VLOOKUP('Données projet'!$B$15,Paramètres!$A$1:$I$89,3,0)*0.475*44/12</f>
        <v>1.1205307052500615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1.7065785618797644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6.2527760746888816E-13</v>
      </c>
      <c r="FF186" s="17">
        <f>FE186*VLOOKUP('Données projet'!$B$16,Paramètres!$A$1:$I$89,3,0)*VLOOKUP('Données projet'!$B$16,Paramètres!$A$1:$I$89,5,0)</f>
        <v>5.3648818720830608E-13</v>
      </c>
      <c r="FG186" s="13">
        <f t="shared" si="182"/>
        <v>6.6281362235424649E-12</v>
      </c>
      <c r="FH186" s="20">
        <f t="shared" si="183"/>
        <v>1.2478387515390925E-11</v>
      </c>
      <c r="FI186" s="59">
        <f t="shared" si="131"/>
        <v>293.33333333334582</v>
      </c>
      <c r="FJ186" s="59">
        <f ca="1">AVERAGE(OFFSET($FI$3,0,0,'Données projet'!$E$16+1,1))-AVERAGE(OFFSET($H$3,0,0,'Données projet'!$E$16+1,1))</f>
        <v>337.15023592377008</v>
      </c>
      <c r="FK186" s="59">
        <f t="shared" si="156"/>
        <v>286.60608582587099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51.63005295191568</v>
      </c>
      <c r="FR186" s="21">
        <f>EXP(-LN(2)/25)*FR185+(1-EXP(-LN(2)/25))/(LN(2)/25)*Calculateur!FM186*Calculateur!FO186*VLOOKUP('Données projet'!$B$16,Paramètres!$A$1:$I$89,3,0)*0.475*44/12</f>
        <v>9.2021697572834569</v>
      </c>
      <c r="FS186" s="21">
        <f>EXP(-LN(2)/2)*FS185+(1-EXP(-LN(2)/2))/(LN(2)/2)*FM186*FP186*VLOOKUP('Données projet'!$B$16,Paramètres!$A$1:$I$89,3,0)*0.475*44/12</f>
        <v>6.5585054408486679E-6</v>
      </c>
      <c r="FT186" s="22">
        <f t="shared" si="184"/>
        <v>60.832229267704577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>
        <f>VLOOKUP(A186,'Données projet'!$A$243:$I$263,2,0)</f>
        <v>191.47</v>
      </c>
      <c r="FX186" s="12">
        <f>VLOOKUP(A186,'Données projet'!$A$243:$I$263,9,0)</f>
        <v>2.2933333333333317</v>
      </c>
      <c r="FY186" s="12">
        <f t="array" ref="FY186">INDEX(FX:FX,MIN(IF(ISNUMBER(FX186:FX382),ROW(FX186:FX382),"")))</f>
        <v>2.2933333333333317</v>
      </c>
      <c r="FZ186" s="12">
        <f>IF('Données projet'!$A$244&gt;35,FZ185+FY186-GH185,IF(A186&lt;'Données projet'!$A$244,$FW$205^A186,IF(A186='Données projet'!$A$244,'Données projet'!$B$244,FZ185+FY186-GH185)))</f>
        <v>191.47000000000079</v>
      </c>
      <c r="GA186" s="17">
        <f>FZ186*VLOOKUP('Données projet'!$B$17,Paramètres!$A$1:$I$89,3,0)*VLOOKUP('Données projet'!$B$17,Paramètres!$A$1:$I$89,5,0)</f>
        <v>173.2420560000007</v>
      </c>
      <c r="GB186" s="13">
        <f t="shared" si="185"/>
        <v>43.815336010445158</v>
      </c>
      <c r="GC186" s="20">
        <f t="shared" si="186"/>
        <v>378.04162441819318</v>
      </c>
      <c r="GD186" s="59">
        <f t="shared" si="134"/>
        <v>671.37495775152649</v>
      </c>
      <c r="GE186" s="59">
        <f ca="1">AVERAGE(OFFSET($GD$3,0,0,'Données projet'!$E$17+1,1))-AVERAGE(OFFSET($H$3,0,0,'Données projet'!$E$17+1,1))</f>
        <v>486.55344536255876</v>
      </c>
      <c r="GF186" s="59">
        <f t="shared" si="158"/>
        <v>231.14794884432229</v>
      </c>
      <c r="GG186" s="15">
        <f>IF(ISNA(VLOOKUP(A186,'Données projet'!$A$243:$I$263,3,0)),0,VLOOKUP(A186,'Données projet'!$A$243:$I$263,3,0))</f>
        <v>18</v>
      </c>
      <c r="GH186" s="15">
        <f>IF(ISNA(VLOOKUP(A186,'Données projet'!$A$243:$I$263,4,0)),0,VLOOKUP(A186,'Données projet'!$A$243:$I$263,4,0))</f>
        <v>191.47</v>
      </c>
      <c r="GI186" s="16">
        <f>IF(ISNA(VLOOKUP(A186,'Données projet'!$A$243:$I$263,5,0)),0%,VLOOKUP(A186,'Données projet'!$A$243:$I$263,5,0)*VLOOKUP('Données projet'!$B$17,Paramètres!$A$1:$I$89,7,0))</f>
        <v>0.19350000000000001</v>
      </c>
      <c r="GJ186" s="16">
        <f>IF(ISNA(VLOOKUP(A186,'Données projet'!$A$243:$I$263,6,0)),0%,VLOOKUP(A186,'Données projet'!$A$243:$I$263,6,0)*VLOOKUP('Données projet'!$B$17,Paramètres!$A$1:$I$89,7,0))</f>
        <v>2.1500000000000002E-2</v>
      </c>
      <c r="GK186" s="16">
        <f>IF(ISNA(VLOOKUP(A186,'Données projet'!$A$243:$I$263,7,0)),0%,VLOOKUP(A186,'Données projet'!$A$243:$I$263,7,0))</f>
        <v>0.05</v>
      </c>
      <c r="GL186" s="21">
        <f>EXP(-LN(2)/35)*GL185+(1-EXP(-LN(2)/35))/(LN(2)/35)*GH186*GI186*VLOOKUP('Données projet'!$B$17,Paramètres!$A$1:$I$89,3,0)*0.475*44/12</f>
        <v>154.13098765017864</v>
      </c>
      <c r="GM186" s="21">
        <f>EXP(-LN(2)/25)*GM185+(1-EXP(-LN(2)/25))/(LN(2)/25)*Calculateur!GH186*Calculateur!GJ186*VLOOKUP('Données projet'!$B$17,Paramètres!$A$1:$I$89,3,0)*0.475*44/12</f>
        <v>25.740907109110182</v>
      </c>
      <c r="GN186" s="21">
        <f>EXP(-LN(2)/2)*GN185+(1-EXP(-LN(2)/2))/(LN(2)/2)*GH186*GK186*VLOOKUP('Données projet'!$B$17,Paramètres!$A$1:$I$89,3,0)*0.475*44/12</f>
        <v>10.624661856307879</v>
      </c>
      <c r="GO186" s="21">
        <f t="shared" si="187"/>
        <v>190.49655661559669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552.81440770566223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252.08270526008477</v>
      </c>
      <c r="T187" s="59">
        <f t="shared" si="142"/>
        <v>239.77811108960179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32.712040840347925</v>
      </c>
      <c r="AA187" s="21">
        <f>EXP(-LN(2)/25)*AA186+(1-EXP(-LN(2)/25))/(LN(2)/25)*Calculateur!V187*Calculateur!X187*VLOOKUP('Données projet'!$B$9,Paramètres!$A$1:$I$89,3,0)*0.475*44/12</f>
        <v>5.3212067592496144</v>
      </c>
      <c r="AB187" s="21">
        <f>EXP(-LN(2)/2)*AB186+(1-EXP(-LN(2)/2))/(LN(2)/2)*V187*Y187*VLOOKUP('Données projet'!$B$9,Paramètres!$A$1:$I$89,3,0)*0.475*44/12</f>
        <v>1.2434380276843855E-11</v>
      </c>
      <c r="AC187" s="22">
        <f t="shared" si="163"/>
        <v>38.033247599609972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251.64326096359997</v>
      </c>
      <c r="AO187" s="59">
        <f t="shared" si="144"/>
        <v>256.72142151189894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11.915146278843405</v>
      </c>
      <c r="AV187" s="21">
        <f>EXP(-LN(2)/25)*AV186+(1-EXP(-LN(2)/25))/(LN(2)/25)*Calculateur!AQ187*Calculateur!AS187*VLOOKUP('Données projet'!$B$10,Paramètres!$A$1:$I$89,3,0)*0.475*44/12</f>
        <v>1.5563239401061042</v>
      </c>
      <c r="AW187" s="21">
        <f>EXP(-LN(2)/2)*AW186+(1-EXP(-LN(2)/2))/(LN(2)/2)*AQ187*AT187*VLOOKUP('Données projet'!$B$10,Paramètres!$A$1:$I$89,3,0)*0.475*44/12</f>
        <v>1.3002065314889043E-17</v>
      </c>
      <c r="AX187" s="21">
        <f t="shared" si="166"/>
        <v>13.471470218949509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199.29783428981898</v>
      </c>
      <c r="BJ187" s="59">
        <f t="shared" si="146"/>
        <v>237.32002274562547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0.49466952952511578</v>
      </c>
      <c r="BQ187" s="21">
        <f>EXP(-LN(2)/25)*BQ186+(1-EXP(-LN(2)/25))/(LN(2)/25)*Calculateur!BL187*Calculateur!BN187*VLOOKUP('Données projet'!$B$11,Paramètres!$A$1:$I$89,3,0)*0.475*44/12</f>
        <v>0.93835137926204792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1.4330209087871637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2.5579538487363607E-13</v>
      </c>
      <c r="BZ187" s="13">
        <f>BY187*VLOOKUP('Données projet'!$B$12,Paramètres!$A$1:$I$89,3,0)*VLOOKUP('Données projet'!$B$12,Paramètres!$A$1:$I$89,5,0)</f>
        <v>2.1548203221755105E-13</v>
      </c>
      <c r="CA187" s="13">
        <f t="shared" si="170"/>
        <v>2.9604251148637229E-12</v>
      </c>
      <c r="CB187" s="20">
        <f t="shared" si="171"/>
        <v>5.5313716144998842E-12</v>
      </c>
      <c r="CC187" s="59">
        <f t="shared" si="119"/>
        <v>293.33333333333883</v>
      </c>
      <c r="CD187" s="59">
        <f ca="1">AVERAGE(OFFSET($CC$3,0,0,'Données projet'!$E$12+1,1))-AVERAGE(OFFSET($H$3,0,0,'Données projet'!$E$12+1,1))</f>
        <v>295.59075210589327</v>
      </c>
      <c r="CE187" s="59">
        <f t="shared" si="148"/>
        <v>210.41181542059576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36.096871962926713</v>
      </c>
      <c r="CL187" s="21">
        <f>EXP(-LN(2)/25)*CL186+(1-EXP(-LN(2)/25))/(LN(2)/25)*Calculateur!CG187*Calculateur!CI187*VLOOKUP('Données projet'!$B$12,Paramètres!$A$1:$I$89,3,0)*0.475*44/12</f>
        <v>4.9041805358936905</v>
      </c>
      <c r="CM187" s="21">
        <f>EXP(-LN(2)/2)*CM186+(1-EXP(-LN(2)/2))/(LN(2)/2)*CG187*CJ187*VLOOKUP('Données projet'!$B$12,Paramètres!$A$1:$I$89,3,0)*0.475*44/12</f>
        <v>4.7233990785988316E-8</v>
      </c>
      <c r="CN187" s="22">
        <f t="shared" si="172"/>
        <v>41.001052546054389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5.1727511163335289E-14</v>
      </c>
      <c r="CV187" s="13">
        <f t="shared" si="173"/>
        <v>8.3906664221915895E-13</v>
      </c>
      <c r="CW187" s="20">
        <f t="shared" si="174"/>
        <v>1.551466483807844E-12</v>
      </c>
      <c r="CX187" s="59">
        <f t="shared" si="122"/>
        <v>293.33333333333485</v>
      </c>
      <c r="CY187" s="59">
        <f ca="1">AVERAGE(OFFSET($CX$3,0,0,'Données projet'!$E$13+1,1))-AVERAGE(OFFSET($H$3,0,0,'Données projet'!$E$13+1,1))</f>
        <v>338.22448697444298</v>
      </c>
      <c r="CZ187" s="59">
        <f t="shared" si="150"/>
        <v>293.3872365640849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27.120706702081804</v>
      </c>
      <c r="DG187" s="21">
        <f>EXP(-LN(2)/25)*DG186+(1-EXP(-LN(2)/25))/(LN(2)/25)*Calculateur!DB187*Calculateur!DD187*VLOOKUP('Données projet'!$B$13,Paramètres!$A$1:$I$89,3,0)*0.475*44/12</f>
        <v>4.1400787879106398</v>
      </c>
      <c r="DH187" s="21">
        <f>EXP(-LN(2)/2)*DH186+(1-EXP(-LN(2)/2))/(LN(2)/2)*DB187*DE187*VLOOKUP('Données projet'!$B$13,Paramètres!$A$1:$I$89,3,0)*0.475*44/12</f>
        <v>1.7966910252983343E-14</v>
      </c>
      <c r="DI187" s="22">
        <f t="shared" si="175"/>
        <v>31.260785489992461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5.6843418860808015E-13</v>
      </c>
      <c r="DP187" s="17">
        <f>DO187*VLOOKUP('Données projet'!$B$14,Paramètres!$A$1:$I$89,3,0)*VLOOKUP('Données projet'!$B$14,Paramètres!$A$1:$I$89,5,0)</f>
        <v>3.177547114319168E-13</v>
      </c>
      <c r="DQ187" s="13">
        <f t="shared" si="176"/>
        <v>4.1725404435445377E-12</v>
      </c>
      <c r="DR187" s="20">
        <f t="shared" si="177"/>
        <v>7.820597394917325E-12</v>
      </c>
      <c r="DS187" s="59">
        <f t="shared" si="125"/>
        <v>293.33333333334116</v>
      </c>
      <c r="DT187" s="59">
        <f ca="1">AVERAGE(OFFSET($DS$3,0,0,'Données projet'!$E$14+1,1))-AVERAGE(OFFSET($H$3,0,0,'Données projet'!$E$14+1,1))</f>
        <v>328.15217666639006</v>
      </c>
      <c r="DU187" s="59">
        <f t="shared" si="152"/>
        <v>305.59175773326308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24.13468284924727</v>
      </c>
      <c r="EB187" s="21">
        <f>EXP(-LN(2)/25)*EB186+(1-EXP(-LN(2)/25))/(LN(2)/25)*Calculateur!DW187*Calculateur!DY187*VLOOKUP('Données projet'!$B$14,Paramètres!$A$1:$I$89,3,0)*0.475*44/12</f>
        <v>3.2540420844250879</v>
      </c>
      <c r="EC187" s="21">
        <f>EXP(-LN(2)/2)*EC186+(1-EXP(-LN(2)/2))/(LN(2)/2)*DW187*DZ187*VLOOKUP('Données projet'!$B$14,Paramètres!$A$1:$I$89,3,0)*0.475*44/12</f>
        <v>5.2392482243493402E-16</v>
      </c>
      <c r="ED187" s="22">
        <f t="shared" si="178"/>
        <v>27.388724933672357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159.78276497127206</v>
      </c>
      <c r="EP187" s="59">
        <f t="shared" si="154"/>
        <v>190.72163407919857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0.5745558156150915</v>
      </c>
      <c r="EW187" s="21">
        <f>EXP(-LN(2)/25)*EW186+(1-EXP(-LN(2)/25))/(LN(2)/25)*Calculateur!ER187*Calculateur!ET187*VLOOKUP('Données projet'!$B$15,Paramètres!$A$1:$I$89,3,0)*0.475*44/12</f>
        <v>1.0898897341888498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1.6644455498039412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6.2527760746888816E-13</v>
      </c>
      <c r="FF187" s="17">
        <f>FE187*VLOOKUP('Données projet'!$B$16,Paramètres!$A$1:$I$89,3,0)*VLOOKUP('Données projet'!$B$16,Paramètres!$A$1:$I$89,5,0)</f>
        <v>5.3648818720830608E-13</v>
      </c>
      <c r="FG187" s="13">
        <f t="shared" si="182"/>
        <v>6.6281362235424649E-12</v>
      </c>
      <c r="FH187" s="20">
        <f t="shared" si="183"/>
        <v>1.2478387515390925E-11</v>
      </c>
      <c r="FI187" s="59">
        <f t="shared" si="131"/>
        <v>293.33333333334582</v>
      </c>
      <c r="FJ187" s="59">
        <f ca="1">AVERAGE(OFFSET($FI$3,0,0,'Données projet'!$E$16+1,1))-AVERAGE(OFFSET($H$3,0,0,'Données projet'!$E$16+1,1))</f>
        <v>337.15023592377008</v>
      </c>
      <c r="FK187" s="59">
        <f t="shared" si="156"/>
        <v>286.60608582587099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50.617619104751412</v>
      </c>
      <c r="FR187" s="21">
        <f>EXP(-LN(2)/25)*FR186+(1-EXP(-LN(2)/25))/(LN(2)/25)*Calculateur!FM187*Calculateur!FO187*VLOOKUP('Données projet'!$B$16,Paramètres!$A$1:$I$89,3,0)*0.475*44/12</f>
        <v>8.9505359413494645</v>
      </c>
      <c r="FS187" s="21">
        <f>EXP(-LN(2)/2)*FS186+(1-EXP(-LN(2)/2))/(LN(2)/2)*FM187*FP187*VLOOKUP('Données projet'!$B$16,Paramètres!$A$1:$I$89,3,0)*0.475*44/12</f>
        <v>4.6375636716729604E-6</v>
      </c>
      <c r="FT187" s="22">
        <f t="shared" si="184"/>
        <v>59.568159683664547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7.9580786405131221E-13</v>
      </c>
      <c r="GA187" s="17">
        <f>FZ187*VLOOKUP('Données projet'!$B$17,Paramètres!$A$1:$I$89,3,0)*VLOOKUP('Données projet'!$B$17,Paramètres!$A$1:$I$89,5,0)</f>
        <v>7.2004695539362725E-13</v>
      </c>
      <c r="GB187" s="13">
        <f t="shared" si="185"/>
        <v>8.5963894794935589E-12</v>
      </c>
      <c r="GC187" s="20">
        <f t="shared" si="186"/>
        <v>1.6226126790761848E-11</v>
      </c>
      <c r="GD187" s="59">
        <f t="shared" si="134"/>
        <v>293.33333333334951</v>
      </c>
      <c r="GE187" s="59">
        <f ca="1">AVERAGE(OFFSET($GD$3,0,0,'Données projet'!$E$17+1,1))-AVERAGE(OFFSET($H$3,0,0,'Données projet'!$E$17+1,1))</f>
        <v>486.55344536255876</v>
      </c>
      <c r="GF187" s="59">
        <f t="shared" si="158"/>
        <v>231.14794884432229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151.10857299297834</v>
      </c>
      <c r="GM187" s="21">
        <f>EXP(-LN(2)/25)*GM186+(1-EXP(-LN(2)/25))/(LN(2)/25)*Calculateur!GH187*Calculateur!GJ187*VLOOKUP('Données projet'!$B$17,Paramètres!$A$1:$I$89,3,0)*0.475*44/12</f>
        <v>25.037020650556091</v>
      </c>
      <c r="GN187" s="21">
        <f>EXP(-LN(2)/2)*GN186+(1-EXP(-LN(2)/2))/(LN(2)/2)*GH187*GK187*VLOOKUP('Données projet'!$B$17,Paramètres!$A$1:$I$89,3,0)*0.475*44/12</f>
        <v>7.5127704464093537</v>
      </c>
      <c r="GO187" s="21">
        <f t="shared" si="187"/>
        <v>183.65836408994377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554.38510955382867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252.08270526008477</v>
      </c>
      <c r="T188" s="59">
        <f t="shared" si="142"/>
        <v>239.77811108960179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32.070577671843481</v>
      </c>
      <c r="AA188" s="21">
        <f>EXP(-LN(2)/25)*AA187+(1-EXP(-LN(2)/25))/(LN(2)/25)*Calculateur!V188*Calculateur!X188*VLOOKUP('Données projet'!$B$9,Paramètres!$A$1:$I$89,3,0)*0.475*44/12</f>
        <v>5.1756980805878321</v>
      </c>
      <c r="AB188" s="21">
        <f>EXP(-LN(2)/2)*AB187+(1-EXP(-LN(2)/2))/(LN(2)/2)*V188*Y188*VLOOKUP('Données projet'!$B$9,Paramètres!$A$1:$I$89,3,0)*0.475*44/12</f>
        <v>8.7924346136085502E-12</v>
      </c>
      <c r="AC188" s="22">
        <f t="shared" si="163"/>
        <v>37.246275752440106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251.64326096359997</v>
      </c>
      <c r="AO188" s="59">
        <f t="shared" si="144"/>
        <v>256.72142151189894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11.681497527836909</v>
      </c>
      <c r="AV188" s="21">
        <f>EXP(-LN(2)/25)*AV187+(1-EXP(-LN(2)/25))/(LN(2)/25)*Calculateur!AQ188*Calculateur!AS188*VLOOKUP('Données projet'!$B$10,Paramètres!$A$1:$I$89,3,0)*0.475*44/12</f>
        <v>1.5137661801203839</v>
      </c>
      <c r="AW188" s="21">
        <f>EXP(-LN(2)/2)*AW187+(1-EXP(-LN(2)/2))/(LN(2)/2)*AQ188*AT188*VLOOKUP('Données projet'!$B$10,Paramètres!$A$1:$I$89,3,0)*0.475*44/12</f>
        <v>9.1938485535884458E-18</v>
      </c>
      <c r="AX188" s="21">
        <f t="shared" si="166"/>
        <v>13.195263707957292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199.29783428981898</v>
      </c>
      <c r="BJ188" s="59">
        <f t="shared" si="146"/>
        <v>237.32002274562547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0.48496936176974903</v>
      </c>
      <c r="BQ188" s="21">
        <f>EXP(-LN(2)/25)*BQ187+(1-EXP(-LN(2)/25))/(LN(2)/25)*Calculateur!BL188*Calculateur!BN188*VLOOKUP('Données projet'!$B$11,Paramètres!$A$1:$I$89,3,0)*0.475*44/12</f>
        <v>0.91269211145037277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1.3976614732201218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2.5579538487363607E-13</v>
      </c>
      <c r="BZ188" s="13">
        <f>BY188*VLOOKUP('Données projet'!$B$12,Paramètres!$A$1:$I$89,3,0)*VLOOKUP('Données projet'!$B$12,Paramètres!$A$1:$I$89,5,0)</f>
        <v>2.1548203221755105E-13</v>
      </c>
      <c r="CA188" s="13">
        <f t="shared" si="170"/>
        <v>2.9604251148637229E-12</v>
      </c>
      <c r="CB188" s="20">
        <f t="shared" si="171"/>
        <v>5.5313716144998842E-12</v>
      </c>
      <c r="CC188" s="59">
        <f t="shared" si="119"/>
        <v>293.33333333333883</v>
      </c>
      <c r="CD188" s="59">
        <f ca="1">AVERAGE(OFFSET($CC$3,0,0,'Données projet'!$E$12+1,1))-AVERAGE(OFFSET($H$3,0,0,'Données projet'!$E$12+1,1))</f>
        <v>295.59075210589327</v>
      </c>
      <c r="CE188" s="59">
        <f t="shared" si="148"/>
        <v>210.41181542059576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35.389034320651625</v>
      </c>
      <c r="CL188" s="21">
        <f>EXP(-LN(2)/25)*CL187+(1-EXP(-LN(2)/25))/(LN(2)/25)*Calculateur!CG188*Calculateur!CI188*VLOOKUP('Données projet'!$B$12,Paramètres!$A$1:$I$89,3,0)*0.475*44/12</f>
        <v>4.7700754612400322</v>
      </c>
      <c r="CM188" s="21">
        <f>EXP(-LN(2)/2)*CM187+(1-EXP(-LN(2)/2))/(LN(2)/2)*CG188*CJ188*VLOOKUP('Données projet'!$B$12,Paramètres!$A$1:$I$89,3,0)*0.475*44/12</f>
        <v>3.3399475187275242E-8</v>
      </c>
      <c r="CN188" s="22">
        <f t="shared" si="172"/>
        <v>40.159109815291131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5.1727511163335289E-14</v>
      </c>
      <c r="CV188" s="13">
        <f t="shared" si="173"/>
        <v>8.3906664221915895E-13</v>
      </c>
      <c r="CW188" s="20">
        <f t="shared" si="174"/>
        <v>1.551466483807844E-12</v>
      </c>
      <c r="CX188" s="59">
        <f t="shared" si="122"/>
        <v>293.33333333333485</v>
      </c>
      <c r="CY188" s="59">
        <f ca="1">AVERAGE(OFFSET($CX$3,0,0,'Données projet'!$E$13+1,1))-AVERAGE(OFFSET($H$3,0,0,'Données projet'!$E$13+1,1))</f>
        <v>338.22448697444298</v>
      </c>
      <c r="CZ188" s="59">
        <f t="shared" si="150"/>
        <v>293.3872365640849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26.588886185651681</v>
      </c>
      <c r="DG188" s="21">
        <f>EXP(-LN(2)/25)*DG187+(1-EXP(-LN(2)/25))/(LN(2)/25)*Calculateur!DB188*Calculateur!DD188*VLOOKUP('Données projet'!$B$13,Paramètres!$A$1:$I$89,3,0)*0.475*44/12</f>
        <v>4.0268681157379422</v>
      </c>
      <c r="DH188" s="21">
        <f>EXP(-LN(2)/2)*DH187+(1-EXP(-LN(2)/2))/(LN(2)/2)*DB188*DE188*VLOOKUP('Données projet'!$B$13,Paramètres!$A$1:$I$89,3,0)*0.475*44/12</f>
        <v>1.270452407685463E-14</v>
      </c>
      <c r="DI188" s="22">
        <f t="shared" si="175"/>
        <v>30.615754301389636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5.6843418860808015E-13</v>
      </c>
      <c r="DP188" s="17">
        <f>DO188*VLOOKUP('Données projet'!$B$14,Paramètres!$A$1:$I$89,3,0)*VLOOKUP('Données projet'!$B$14,Paramètres!$A$1:$I$89,5,0)</f>
        <v>3.177547114319168E-13</v>
      </c>
      <c r="DQ188" s="13">
        <f t="shared" si="176"/>
        <v>4.1725404435445377E-12</v>
      </c>
      <c r="DR188" s="20">
        <f t="shared" si="177"/>
        <v>7.820597394917325E-12</v>
      </c>
      <c r="DS188" s="59">
        <f t="shared" si="125"/>
        <v>293.33333333334116</v>
      </c>
      <c r="DT188" s="59">
        <f ca="1">AVERAGE(OFFSET($DS$3,0,0,'Données projet'!$E$14+1,1))-AVERAGE(OFFSET($H$3,0,0,'Données projet'!$E$14+1,1))</f>
        <v>328.15217666639006</v>
      </c>
      <c r="DU188" s="59">
        <f t="shared" si="152"/>
        <v>305.59175773326308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23.661416439276518</v>
      </c>
      <c r="EB188" s="21">
        <f>EXP(-LN(2)/25)*EB187+(1-EXP(-LN(2)/25))/(LN(2)/25)*Calculateur!DW188*Calculateur!DY188*VLOOKUP('Données projet'!$B$14,Paramètres!$A$1:$I$89,3,0)*0.475*44/12</f>
        <v>3.1650601325038479</v>
      </c>
      <c r="EC188" s="21">
        <f>EXP(-LN(2)/2)*EC187+(1-EXP(-LN(2)/2))/(LN(2)/2)*DW188*DZ188*VLOOKUP('Données projet'!$B$14,Paramètres!$A$1:$I$89,3,0)*0.475*44/12</f>
        <v>3.7047079477569967E-16</v>
      </c>
      <c r="ED188" s="22">
        <f t="shared" si="178"/>
        <v>26.826476571780365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159.78276497127206</v>
      </c>
      <c r="EP188" s="59">
        <f t="shared" si="154"/>
        <v>190.72163407919857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0.56328912651532359</v>
      </c>
      <c r="EW188" s="21">
        <f>EXP(-LN(2)/25)*EW187+(1-EXP(-LN(2)/25))/(LN(2)/25)*Calculateur!ER188*Calculateur!ET188*VLOOKUP('Données projet'!$B$15,Paramètres!$A$1:$I$89,3,0)*0.475*44/12</f>
        <v>1.0600866420926456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1.6233757686079691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6.2527760746888816E-13</v>
      </c>
      <c r="FF188" s="17">
        <f>FE188*VLOOKUP('Données projet'!$B$16,Paramètres!$A$1:$I$89,3,0)*VLOOKUP('Données projet'!$B$16,Paramètres!$A$1:$I$89,5,0)</f>
        <v>5.3648818720830608E-13</v>
      </c>
      <c r="FG188" s="13">
        <f t="shared" si="182"/>
        <v>6.6281362235424649E-12</v>
      </c>
      <c r="FH188" s="20">
        <f t="shared" si="183"/>
        <v>1.2478387515390925E-11</v>
      </c>
      <c r="FI188" s="59">
        <f t="shared" si="131"/>
        <v>293.33333333334582</v>
      </c>
      <c r="FJ188" s="59">
        <f ca="1">AVERAGE(OFFSET($FI$3,0,0,'Données projet'!$E$16+1,1))-AVERAGE(OFFSET($H$3,0,0,'Données projet'!$E$16+1,1))</f>
        <v>337.15023592377008</v>
      </c>
      <c r="FK188" s="59">
        <f t="shared" si="156"/>
        <v>286.60608582587099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49.62503846780637</v>
      </c>
      <c r="FR188" s="21">
        <f>EXP(-LN(2)/25)*FR187+(1-EXP(-LN(2)/25))/(LN(2)/25)*Calculateur!FM188*Calculateur!FO188*VLOOKUP('Données projet'!$B$16,Paramètres!$A$1:$I$89,3,0)*0.475*44/12</f>
        <v>8.7057830653450345</v>
      </c>
      <c r="FS188" s="21">
        <f>EXP(-LN(2)/2)*FS187+(1-EXP(-LN(2)/2))/(LN(2)/2)*FM188*FP188*VLOOKUP('Données projet'!$B$16,Paramètres!$A$1:$I$89,3,0)*0.475*44/12</f>
        <v>3.279252720424334E-6</v>
      </c>
      <c r="FT188" s="22">
        <f t="shared" si="184"/>
        <v>58.330824812404131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7.9580786405131221E-13</v>
      </c>
      <c r="GA188" s="17">
        <f>FZ188*VLOOKUP('Données projet'!$B$17,Paramètres!$A$1:$I$89,3,0)*VLOOKUP('Données projet'!$B$17,Paramètres!$A$1:$I$89,5,0)</f>
        <v>7.2004695539362725E-13</v>
      </c>
      <c r="GB188" s="13">
        <f t="shared" si="185"/>
        <v>8.5963894794935589E-12</v>
      </c>
      <c r="GC188" s="20">
        <f t="shared" si="186"/>
        <v>1.6226126790761848E-11</v>
      </c>
      <c r="GD188" s="59">
        <f t="shared" si="134"/>
        <v>293.33333333334951</v>
      </c>
      <c r="GE188" s="59">
        <f ca="1">AVERAGE(OFFSET($GD$3,0,0,'Données projet'!$E$17+1,1))-AVERAGE(OFFSET($H$3,0,0,'Données projet'!$E$17+1,1))</f>
        <v>486.55344536255876</v>
      </c>
      <c r="GF188" s="59">
        <f t="shared" si="158"/>
        <v>231.14794884432229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148.14542604371482</v>
      </c>
      <c r="GM188" s="21">
        <f>EXP(-LN(2)/25)*GM187+(1-EXP(-LN(2)/25))/(LN(2)/25)*Calculateur!GH188*Calculateur!GJ188*VLOOKUP('Données projet'!$B$17,Paramètres!$A$1:$I$89,3,0)*0.475*44/12</f>
        <v>24.352382004226943</v>
      </c>
      <c r="GN188" s="21">
        <f>EXP(-LN(2)/2)*GN187+(1-EXP(-LN(2)/2))/(LN(2)/2)*GH188*GK188*VLOOKUP('Données projet'!$B$17,Paramètres!$A$1:$I$89,3,0)*0.475*44/12</f>
        <v>5.3123309281539406</v>
      </c>
      <c r="GO188" s="21">
        <f t="shared" si="187"/>
        <v>177.81013897609569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555.95562665884893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252.08270526008477</v>
      </c>
      <c r="T189" s="59">
        <f t="shared" si="142"/>
        <v>239.77811108960179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31.441693204819508</v>
      </c>
      <c r="AA189" s="21">
        <f>EXP(-LN(2)/25)*AA188+(1-EXP(-LN(2)/25))/(LN(2)/25)*Calculateur!V189*Calculateur!X189*VLOOKUP('Données projet'!$B$9,Paramètres!$A$1:$I$89,3,0)*0.475*44/12</f>
        <v>5.0341683443960248</v>
      </c>
      <c r="AB189" s="21">
        <f>EXP(-LN(2)/2)*AB188+(1-EXP(-LN(2)/2))/(LN(2)/2)*V189*Y189*VLOOKUP('Données projet'!$B$9,Paramètres!$A$1:$I$89,3,0)*0.475*44/12</f>
        <v>6.2171901384219277E-12</v>
      </c>
      <c r="AC189" s="22">
        <f t="shared" si="163"/>
        <v>36.475861549221747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251.64326096359997</v>
      </c>
      <c r="AO189" s="59">
        <f t="shared" si="144"/>
        <v>256.72142151189894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11.452430486325982</v>
      </c>
      <c r="AV189" s="21">
        <f>EXP(-LN(2)/25)*AV188+(1-EXP(-LN(2)/25))/(LN(2)/25)*Calculateur!AQ189*Calculateur!AS189*VLOOKUP('Données projet'!$B$10,Paramètres!$A$1:$I$89,3,0)*0.475*44/12</f>
        <v>1.4723721643194883</v>
      </c>
      <c r="AW189" s="21">
        <f>EXP(-LN(2)/2)*AW188+(1-EXP(-LN(2)/2))/(LN(2)/2)*AQ189*AT189*VLOOKUP('Données projet'!$B$10,Paramètres!$A$1:$I$89,3,0)*0.475*44/12</f>
        <v>6.5010326574445217E-18</v>
      </c>
      <c r="AX189" s="21">
        <f t="shared" si="166"/>
        <v>12.92480265064547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199.29783428981898</v>
      </c>
      <c r="BJ189" s="59">
        <f t="shared" si="146"/>
        <v>237.32002274562547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0.47545940838754691</v>
      </c>
      <c r="BQ189" s="21">
        <f>EXP(-LN(2)/25)*BQ188+(1-EXP(-LN(2)/25))/(LN(2)/25)*Calculateur!BL189*Calculateur!BN189*VLOOKUP('Données projet'!$B$11,Paramètres!$A$1:$I$89,3,0)*0.475*44/12</f>
        <v>0.88773449766637014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1.3631939060539171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2.5579538487363607E-13</v>
      </c>
      <c r="BZ189" s="13">
        <f>BY189*VLOOKUP('Données projet'!$B$12,Paramètres!$A$1:$I$89,3,0)*VLOOKUP('Données projet'!$B$12,Paramètres!$A$1:$I$89,5,0)</f>
        <v>2.1548203221755105E-13</v>
      </c>
      <c r="CA189" s="13">
        <f t="shared" si="170"/>
        <v>2.9604251148637229E-12</v>
      </c>
      <c r="CB189" s="20">
        <f t="shared" si="171"/>
        <v>5.5313716144998842E-12</v>
      </c>
      <c r="CC189" s="59">
        <f t="shared" si="119"/>
        <v>293.33333333333883</v>
      </c>
      <c r="CD189" s="59">
        <f ca="1">AVERAGE(OFFSET($CC$3,0,0,'Données projet'!$E$12+1,1))-AVERAGE(OFFSET($H$3,0,0,'Données projet'!$E$12+1,1))</f>
        <v>295.59075210589327</v>
      </c>
      <c r="CE189" s="59">
        <f t="shared" si="148"/>
        <v>210.41181542059576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34.695076942803226</v>
      </c>
      <c r="CL189" s="21">
        <f>EXP(-LN(2)/25)*CL188+(1-EXP(-LN(2)/25))/(LN(2)/25)*Calculateur!CG189*Calculateur!CI189*VLOOKUP('Données projet'!$B$12,Paramètres!$A$1:$I$89,3,0)*0.475*44/12</f>
        <v>4.6396374969050571</v>
      </c>
      <c r="CM189" s="21">
        <f>EXP(-LN(2)/2)*CM188+(1-EXP(-LN(2)/2))/(LN(2)/2)*CG189*CJ189*VLOOKUP('Données projet'!$B$12,Paramètres!$A$1:$I$89,3,0)*0.475*44/12</f>
        <v>2.3616995392994158E-8</v>
      </c>
      <c r="CN189" s="22">
        <f t="shared" si="172"/>
        <v>39.334714463325284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5.1727511163335289E-14</v>
      </c>
      <c r="CV189" s="13">
        <f t="shared" si="173"/>
        <v>8.3906664221915895E-13</v>
      </c>
      <c r="CW189" s="20">
        <f t="shared" si="174"/>
        <v>1.551466483807844E-12</v>
      </c>
      <c r="CX189" s="59">
        <f t="shared" si="122"/>
        <v>293.33333333333485</v>
      </c>
      <c r="CY189" s="59">
        <f ca="1">AVERAGE(OFFSET($CX$3,0,0,'Données projet'!$E$13+1,1))-AVERAGE(OFFSET($H$3,0,0,'Données projet'!$E$13+1,1))</f>
        <v>338.22448697444298</v>
      </c>
      <c r="CZ189" s="59">
        <f t="shared" si="150"/>
        <v>293.3872365640849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26.067494345170267</v>
      </c>
      <c r="DG189" s="21">
        <f>EXP(-LN(2)/25)*DG188+(1-EXP(-LN(2)/25))/(LN(2)/25)*Calculateur!DB189*Calculateur!DD189*VLOOKUP('Données projet'!$B$13,Paramètres!$A$1:$I$89,3,0)*0.475*44/12</f>
        <v>3.9167531953492976</v>
      </c>
      <c r="DH189" s="21">
        <f>EXP(-LN(2)/2)*DH188+(1-EXP(-LN(2)/2))/(LN(2)/2)*DB189*DE189*VLOOKUP('Données projet'!$B$13,Paramètres!$A$1:$I$89,3,0)*0.475*44/12</f>
        <v>8.9834551264916716E-15</v>
      </c>
      <c r="DI189" s="22">
        <f t="shared" si="175"/>
        <v>29.984247540519576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5.6843418860808015E-13</v>
      </c>
      <c r="DP189" s="17">
        <f>DO189*VLOOKUP('Données projet'!$B$14,Paramètres!$A$1:$I$89,3,0)*VLOOKUP('Données projet'!$B$14,Paramètres!$A$1:$I$89,5,0)</f>
        <v>3.177547114319168E-13</v>
      </c>
      <c r="DQ189" s="13">
        <f t="shared" si="176"/>
        <v>4.1725404435445377E-12</v>
      </c>
      <c r="DR189" s="20">
        <f t="shared" si="177"/>
        <v>7.820597394917325E-12</v>
      </c>
      <c r="DS189" s="59">
        <f t="shared" si="125"/>
        <v>293.33333333334116</v>
      </c>
      <c r="DT189" s="59">
        <f ca="1">AVERAGE(OFFSET($DS$3,0,0,'Données projet'!$E$14+1,1))-AVERAGE(OFFSET($H$3,0,0,'Données projet'!$E$14+1,1))</f>
        <v>328.15217666639006</v>
      </c>
      <c r="DU189" s="59">
        <f t="shared" si="152"/>
        <v>305.59175773326308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23.197430494941287</v>
      </c>
      <c r="EB189" s="21">
        <f>EXP(-LN(2)/25)*EB188+(1-EXP(-LN(2)/25))/(LN(2)/25)*Calculateur!DW189*Calculateur!DY189*VLOOKUP('Données projet'!$B$14,Paramètres!$A$1:$I$89,3,0)*0.475*44/12</f>
        <v>3.0785113967372517</v>
      </c>
      <c r="EC189" s="21">
        <f>EXP(-LN(2)/2)*EC188+(1-EXP(-LN(2)/2))/(LN(2)/2)*DW189*DZ189*VLOOKUP('Données projet'!$B$14,Paramètres!$A$1:$I$89,3,0)*0.475*44/12</f>
        <v>2.6196241121746701E-16</v>
      </c>
      <c r="ED189" s="22">
        <f t="shared" si="178"/>
        <v>26.275941891678539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159.78276497127206</v>
      </c>
      <c r="EP189" s="59">
        <f t="shared" si="154"/>
        <v>190.72163407919857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0.55224337031680026</v>
      </c>
      <c r="EW189" s="21">
        <f>EXP(-LN(2)/25)*EW188+(1-EXP(-LN(2)/25))/(LN(2)/25)*Calculateur!ER189*Calculateur!ET189*VLOOKUP('Données projet'!$B$15,Paramètres!$A$1:$I$89,3,0)*0.475*44/12</f>
        <v>1.0310985171170886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1.5833418874338889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6.2527760746888816E-13</v>
      </c>
      <c r="FF189" s="17">
        <f>FE189*VLOOKUP('Données projet'!$B$16,Paramètres!$A$1:$I$89,3,0)*VLOOKUP('Données projet'!$B$16,Paramètres!$A$1:$I$89,5,0)</f>
        <v>5.3648818720830608E-13</v>
      </c>
      <c r="FG189" s="13">
        <f t="shared" si="182"/>
        <v>6.6281362235424649E-12</v>
      </c>
      <c r="FH189" s="20">
        <f t="shared" si="183"/>
        <v>1.2478387515390925E-11</v>
      </c>
      <c r="FI189" s="59">
        <f t="shared" si="131"/>
        <v>293.33333333334582</v>
      </c>
      <c r="FJ189" s="59">
        <f ca="1">AVERAGE(OFFSET($FI$3,0,0,'Données projet'!$E$16+1,1))-AVERAGE(OFFSET($H$3,0,0,'Données projet'!$E$16+1,1))</f>
        <v>337.15023592377008</v>
      </c>
      <c r="FK189" s="59">
        <f t="shared" si="156"/>
        <v>286.60608582587099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48.65192173173741</v>
      </c>
      <c r="FR189" s="21">
        <f>EXP(-LN(2)/25)*FR188+(1-EXP(-LN(2)/25))/(LN(2)/25)*Calculateur!FM189*Calculateur!FO189*VLOOKUP('Données projet'!$B$16,Paramètres!$A$1:$I$89,3,0)*0.475*44/12</f>
        <v>8.4677229696059406</v>
      </c>
      <c r="FS189" s="21">
        <f>EXP(-LN(2)/2)*FS188+(1-EXP(-LN(2)/2))/(LN(2)/2)*FM189*FP189*VLOOKUP('Données projet'!$B$16,Paramètres!$A$1:$I$89,3,0)*0.475*44/12</f>
        <v>2.3187818358364802E-6</v>
      </c>
      <c r="FT189" s="22">
        <f t="shared" si="184"/>
        <v>57.119647020125186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7.9580786405131221E-13</v>
      </c>
      <c r="GA189" s="17">
        <f>FZ189*VLOOKUP('Données projet'!$B$17,Paramètres!$A$1:$I$89,3,0)*VLOOKUP('Données projet'!$B$17,Paramètres!$A$1:$I$89,5,0)</f>
        <v>7.2004695539362725E-13</v>
      </c>
      <c r="GB189" s="13">
        <f t="shared" si="185"/>
        <v>8.5963894794935589E-12</v>
      </c>
      <c r="GC189" s="20">
        <f t="shared" si="186"/>
        <v>1.6226126790761848E-11</v>
      </c>
      <c r="GD189" s="59">
        <f t="shared" si="134"/>
        <v>293.33333333334951</v>
      </c>
      <c r="GE189" s="59">
        <f ca="1">AVERAGE(OFFSET($GD$3,0,0,'Données projet'!$E$17+1,1))-AVERAGE(OFFSET($H$3,0,0,'Données projet'!$E$17+1,1))</f>
        <v>486.55344536255876</v>
      </c>
      <c r="GF189" s="59">
        <f t="shared" si="158"/>
        <v>231.14794884432229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145.24038459878517</v>
      </c>
      <c r="GM189" s="21">
        <f>EXP(-LN(2)/25)*GM188+(1-EXP(-LN(2)/25))/(LN(2)/25)*Calculateur!GH189*Calculateur!GJ189*VLOOKUP('Données projet'!$B$17,Paramètres!$A$1:$I$89,3,0)*0.475*44/12</f>
        <v>23.686464837685246</v>
      </c>
      <c r="GN189" s="21">
        <f>EXP(-LN(2)/2)*GN188+(1-EXP(-LN(2)/2))/(LN(2)/2)*GH189*GK189*VLOOKUP('Données projet'!$B$17,Paramètres!$A$1:$I$89,3,0)*0.475*44/12</f>
        <v>3.7563852232046777</v>
      </c>
      <c r="GO189" s="21">
        <f t="shared" si="187"/>
        <v>172.68323465967509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557.52596012924278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252.08270526008477</v>
      </c>
      <c r="T190" s="59">
        <f t="shared" si="142"/>
        <v>239.77811108960179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30.825140778612226</v>
      </c>
      <c r="AA190" s="21">
        <f>EXP(-LN(2)/25)*AA189+(1-EXP(-LN(2)/25))/(LN(2)/25)*Calculateur!V190*Calculateur!X190*VLOOKUP('Données projet'!$B$9,Paramètres!$A$1:$I$89,3,0)*0.475*44/12</f>
        <v>4.8965087462831081</v>
      </c>
      <c r="AB190" s="21">
        <f>EXP(-LN(2)/2)*AB189+(1-EXP(-LN(2)/2))/(LN(2)/2)*V190*Y190*VLOOKUP('Données projet'!$B$9,Paramètres!$A$1:$I$89,3,0)*0.475*44/12</f>
        <v>4.3962173068042751E-12</v>
      </c>
      <c r="AC190" s="22">
        <f t="shared" si="163"/>
        <v>35.721649524899732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251.64326096359997</v>
      </c>
      <c r="AO190" s="59">
        <f t="shared" si="144"/>
        <v>256.72142151189894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11.227855309781985</v>
      </c>
      <c r="AV190" s="21">
        <f>EXP(-LN(2)/25)*AV189+(1-EXP(-LN(2)/25))/(LN(2)/25)*Calculateur!AQ190*Calculateur!AS190*VLOOKUP('Données projet'!$B$10,Paramètres!$A$1:$I$89,3,0)*0.475*44/12</f>
        <v>1.4321100700574849</v>
      </c>
      <c r="AW190" s="21">
        <f>EXP(-LN(2)/2)*AW189+(1-EXP(-LN(2)/2))/(LN(2)/2)*AQ190*AT190*VLOOKUP('Données projet'!$B$10,Paramètres!$A$1:$I$89,3,0)*0.475*44/12</f>
        <v>4.5969242767942229E-18</v>
      </c>
      <c r="AX190" s="21">
        <f t="shared" si="166"/>
        <v>12.65996537983947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199.29783428981898</v>
      </c>
      <c r="BJ190" s="59">
        <f t="shared" si="146"/>
        <v>237.32002274562547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0.46613593939067094</v>
      </c>
      <c r="BQ190" s="21">
        <f>EXP(-LN(2)/25)*BQ189+(1-EXP(-LN(2)/25))/(LN(2)/25)*Calculateur!BL190*Calculateur!BN190*VLOOKUP('Données projet'!$B$11,Paramètres!$A$1:$I$89,3,0)*0.475*44/12</f>
        <v>0.86345935114375494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1.3295952905344259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2.5579538487363607E-13</v>
      </c>
      <c r="BZ190" s="13">
        <f>BY190*VLOOKUP('Données projet'!$B$12,Paramètres!$A$1:$I$89,3,0)*VLOOKUP('Données projet'!$B$12,Paramètres!$A$1:$I$89,5,0)</f>
        <v>2.1548203221755105E-13</v>
      </c>
      <c r="CA190" s="13">
        <f t="shared" si="170"/>
        <v>2.9604251148637229E-12</v>
      </c>
      <c r="CB190" s="20">
        <f t="shared" si="171"/>
        <v>5.5313716144998842E-12</v>
      </c>
      <c r="CC190" s="59">
        <f t="shared" si="119"/>
        <v>293.33333333333883</v>
      </c>
      <c r="CD190" s="59">
        <f ca="1">AVERAGE(OFFSET($CC$3,0,0,'Données projet'!$E$12+1,1))-AVERAGE(OFFSET($H$3,0,0,'Données projet'!$E$12+1,1))</f>
        <v>295.59075210589327</v>
      </c>
      <c r="CE190" s="59">
        <f t="shared" si="148"/>
        <v>210.41181542059576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34.014727645862223</v>
      </c>
      <c r="CL190" s="21">
        <f>EXP(-LN(2)/25)*CL189+(1-EXP(-LN(2)/25))/(LN(2)/25)*Calculateur!CG190*Calculateur!CI190*VLOOKUP('Données projet'!$B$12,Paramètres!$A$1:$I$89,3,0)*0.475*44/12</f>
        <v>4.5127663655642563</v>
      </c>
      <c r="CM190" s="21">
        <f>EXP(-LN(2)/2)*CM189+(1-EXP(-LN(2)/2))/(LN(2)/2)*CG190*CJ190*VLOOKUP('Données projet'!$B$12,Paramètres!$A$1:$I$89,3,0)*0.475*44/12</f>
        <v>1.6699737593637621E-8</v>
      </c>
      <c r="CN190" s="22">
        <f t="shared" si="172"/>
        <v>38.527494028126213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5.1727511163335289E-14</v>
      </c>
      <c r="CV190" s="13">
        <f t="shared" si="173"/>
        <v>8.3906664221915895E-13</v>
      </c>
      <c r="CW190" s="20">
        <f t="shared" si="174"/>
        <v>1.551466483807844E-12</v>
      </c>
      <c r="CX190" s="59">
        <f t="shared" si="122"/>
        <v>293.33333333333485</v>
      </c>
      <c r="CY190" s="59">
        <f ca="1">AVERAGE(OFFSET($CX$3,0,0,'Données projet'!$E$13+1,1))-AVERAGE(OFFSET($H$3,0,0,'Données projet'!$E$13+1,1))</f>
        <v>338.22448697444298</v>
      </c>
      <c r="CZ190" s="59">
        <f t="shared" si="150"/>
        <v>293.3872365640849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25.556326680663073</v>
      </c>
      <c r="DG190" s="21">
        <f>EXP(-LN(2)/25)*DG189+(1-EXP(-LN(2)/25))/(LN(2)/25)*Calculateur!DB190*Calculateur!DD190*VLOOKUP('Données projet'!$B$13,Paramètres!$A$1:$I$89,3,0)*0.475*44/12</f>
        <v>3.8096493732493721</v>
      </c>
      <c r="DH190" s="21">
        <f>EXP(-LN(2)/2)*DH189+(1-EXP(-LN(2)/2))/(LN(2)/2)*DB190*DE190*VLOOKUP('Données projet'!$B$13,Paramètres!$A$1:$I$89,3,0)*0.475*44/12</f>
        <v>6.3522620384273151E-15</v>
      </c>
      <c r="DI190" s="22">
        <f t="shared" si="175"/>
        <v>29.365976053912451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5.6843418860808015E-13</v>
      </c>
      <c r="DP190" s="17">
        <f>DO190*VLOOKUP('Données projet'!$B$14,Paramètres!$A$1:$I$89,3,0)*VLOOKUP('Données projet'!$B$14,Paramètres!$A$1:$I$89,5,0)</f>
        <v>3.177547114319168E-13</v>
      </c>
      <c r="DQ190" s="13">
        <f t="shared" si="176"/>
        <v>4.1725404435445377E-12</v>
      </c>
      <c r="DR190" s="20">
        <f t="shared" si="177"/>
        <v>7.820597394917325E-12</v>
      </c>
      <c r="DS190" s="59">
        <f t="shared" si="125"/>
        <v>293.33333333334116</v>
      </c>
      <c r="DT190" s="59">
        <f ca="1">AVERAGE(OFFSET($DS$3,0,0,'Données projet'!$E$14+1,1))-AVERAGE(OFFSET($H$3,0,0,'Données projet'!$E$14+1,1))</f>
        <v>328.15217666639006</v>
      </c>
      <c r="DU190" s="59">
        <f t="shared" si="152"/>
        <v>305.59175773326308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22.742543031970989</v>
      </c>
      <c r="EB190" s="21">
        <f>EXP(-LN(2)/25)*EB189+(1-EXP(-LN(2)/25))/(LN(2)/25)*Calculateur!DW190*Calculateur!DY190*VLOOKUP('Données projet'!$B$14,Paramètres!$A$1:$I$89,3,0)*0.475*44/12</f>
        <v>2.9943293407015932</v>
      </c>
      <c r="EC190" s="21">
        <f>EXP(-LN(2)/2)*EC189+(1-EXP(-LN(2)/2))/(LN(2)/2)*DW190*DZ190*VLOOKUP('Données projet'!$B$14,Paramètres!$A$1:$I$89,3,0)*0.475*44/12</f>
        <v>1.8523539738784983E-16</v>
      </c>
      <c r="ED190" s="22">
        <f t="shared" si="178"/>
        <v>25.736872372672583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159.78276497127206</v>
      </c>
      <c r="EP190" s="59">
        <f t="shared" si="154"/>
        <v>190.72163407919857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0.54141421466008399</v>
      </c>
      <c r="EW190" s="21">
        <f>EXP(-LN(2)/25)*EW189+(1-EXP(-LN(2)/25))/(LN(2)/25)*Calculateur!ER190*Calculateur!ET190*VLOOKUP('Données projet'!$B$15,Paramètres!$A$1:$I$89,3,0)*0.475*44/12</f>
        <v>1.0029030739434073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1.5443172886034913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6.2527760746888816E-13</v>
      </c>
      <c r="FF190" s="17">
        <f>FE190*VLOOKUP('Données projet'!$B$16,Paramètres!$A$1:$I$89,3,0)*VLOOKUP('Données projet'!$B$16,Paramètres!$A$1:$I$89,5,0)</f>
        <v>5.3648818720830608E-13</v>
      </c>
      <c r="FG190" s="13">
        <f t="shared" si="182"/>
        <v>6.6281362235424649E-12</v>
      </c>
      <c r="FH190" s="20">
        <f t="shared" si="183"/>
        <v>1.2478387515390925E-11</v>
      </c>
      <c r="FI190" s="59">
        <f t="shared" si="131"/>
        <v>293.33333333334582</v>
      </c>
      <c r="FJ190" s="59">
        <f ca="1">AVERAGE(OFFSET($FI$3,0,0,'Données projet'!$E$16+1,1))-AVERAGE(OFFSET($H$3,0,0,'Données projet'!$E$16+1,1))</f>
        <v>337.15023592377008</v>
      </c>
      <c r="FK190" s="59">
        <f t="shared" si="156"/>
        <v>286.60608582587099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47.697887221320158</v>
      </c>
      <c r="FR190" s="21">
        <f>EXP(-LN(2)/25)*FR189+(1-EXP(-LN(2)/25))/(LN(2)/25)*Calculateur!FM190*Calculateur!FO190*VLOOKUP('Données projet'!$B$16,Paramètres!$A$1:$I$89,3,0)*0.475*44/12</f>
        <v>8.2361726397038684</v>
      </c>
      <c r="FS190" s="21">
        <f>EXP(-LN(2)/2)*FS189+(1-EXP(-LN(2)/2))/(LN(2)/2)*FM190*FP190*VLOOKUP('Données projet'!$B$16,Paramètres!$A$1:$I$89,3,0)*0.475*44/12</f>
        <v>1.639626360212167E-6</v>
      </c>
      <c r="FT190" s="22">
        <f t="shared" si="184"/>
        <v>55.934061500650387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7.9580786405131221E-13</v>
      </c>
      <c r="GA190" s="17">
        <f>FZ190*VLOOKUP('Données projet'!$B$17,Paramètres!$A$1:$I$89,3,0)*VLOOKUP('Données projet'!$B$17,Paramètres!$A$1:$I$89,5,0)</f>
        <v>7.2004695539362725E-13</v>
      </c>
      <c r="GB190" s="13">
        <f t="shared" si="185"/>
        <v>8.5963894794935589E-12</v>
      </c>
      <c r="GC190" s="20">
        <f t="shared" si="186"/>
        <v>1.6226126790761848E-11</v>
      </c>
      <c r="GD190" s="59">
        <f t="shared" si="134"/>
        <v>293.33333333334951</v>
      </c>
      <c r="GE190" s="59">
        <f ca="1">AVERAGE(OFFSET($GD$3,0,0,'Données projet'!$E$17+1,1))-AVERAGE(OFFSET($H$3,0,0,'Données projet'!$E$17+1,1))</f>
        <v>486.55344536255876</v>
      </c>
      <c r="GF190" s="59">
        <f t="shared" si="158"/>
        <v>231.14794884432229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142.39230924469027</v>
      </c>
      <c r="GM190" s="21">
        <f>EXP(-LN(2)/25)*GM189+(1-EXP(-LN(2)/25))/(LN(2)/25)*Calculateur!GH190*Calculateur!GJ190*VLOOKUP('Données projet'!$B$17,Paramètres!$A$1:$I$89,3,0)*0.475*44/12</f>
        <v>23.038757211081695</v>
      </c>
      <c r="GN190" s="21">
        <f>EXP(-LN(2)/2)*GN189+(1-EXP(-LN(2)/2))/(LN(2)/2)*GH190*GK190*VLOOKUP('Données projet'!$B$17,Paramètres!$A$1:$I$89,3,0)*0.475*44/12</f>
        <v>2.6561654640769707</v>
      </c>
      <c r="GO190" s="21">
        <f t="shared" si="187"/>
        <v>168.08723191984893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559.09611106098828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252.08270526008477</v>
      </c>
      <c r="T191" s="59">
        <f t="shared" si="142"/>
        <v>239.77811108960179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30.220678569423022</v>
      </c>
      <c r="AA191" s="21">
        <f>EXP(-LN(2)/25)*AA190+(1-EXP(-LN(2)/25))/(LN(2)/25)*Calculateur!V191*Calculateur!X191*VLOOKUP('Données projet'!$B$9,Paramètres!$A$1:$I$89,3,0)*0.475*44/12</f>
        <v>4.7626134571197927</v>
      </c>
      <c r="AB191" s="21">
        <f>EXP(-LN(2)/2)*AB190+(1-EXP(-LN(2)/2))/(LN(2)/2)*V191*Y191*VLOOKUP('Données projet'!$B$9,Paramètres!$A$1:$I$89,3,0)*0.475*44/12</f>
        <v>3.1085950692109638E-12</v>
      </c>
      <c r="AC191" s="22">
        <f t="shared" si="163"/>
        <v>34.983292026545918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251.64326096359997</v>
      </c>
      <c r="AO191" s="59">
        <f t="shared" si="144"/>
        <v>256.72142151189894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11.007683915472684</v>
      </c>
      <c r="AV191" s="21">
        <f>EXP(-LN(2)/25)*AV190+(1-EXP(-LN(2)/25))/(LN(2)/25)*Calculateur!AQ191*Calculateur!AS191*VLOOKUP('Données projet'!$B$10,Paramètres!$A$1:$I$89,3,0)*0.475*44/12</f>
        <v>1.3929489448803676</v>
      </c>
      <c r="AW191" s="21">
        <f>EXP(-LN(2)/2)*AW190+(1-EXP(-LN(2)/2))/(LN(2)/2)*AQ191*AT191*VLOOKUP('Données projet'!$B$10,Paramètres!$A$1:$I$89,3,0)*0.475*44/12</f>
        <v>3.2505163287222608E-18</v>
      </c>
      <c r="AX191" s="21">
        <f t="shared" si="166"/>
        <v>12.400632860353053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199.29783428981898</v>
      </c>
      <c r="BJ191" s="59">
        <f t="shared" si="146"/>
        <v>237.32002274562547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0.45699529793406918</v>
      </c>
      <c r="BQ191" s="21">
        <f>EXP(-LN(2)/25)*BQ190+(1-EXP(-LN(2)/25))/(LN(2)/25)*Calculateur!BL191*Calculateur!BN191*VLOOKUP('Données projet'!$B$11,Paramètres!$A$1:$I$89,3,0)*0.475*44/12</f>
        <v>0.83984800977937513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1.2968433077134442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2.5579538487363607E-13</v>
      </c>
      <c r="BZ191" s="13">
        <f>BY191*VLOOKUP('Données projet'!$B$12,Paramètres!$A$1:$I$89,3,0)*VLOOKUP('Données projet'!$B$12,Paramètres!$A$1:$I$89,5,0)</f>
        <v>2.1548203221755105E-13</v>
      </c>
      <c r="CA191" s="13">
        <f t="shared" si="170"/>
        <v>2.9604251148637229E-12</v>
      </c>
      <c r="CB191" s="20">
        <f t="shared" si="171"/>
        <v>5.5313716144998842E-12</v>
      </c>
      <c r="CC191" s="59">
        <f t="shared" si="119"/>
        <v>293.33333333333883</v>
      </c>
      <c r="CD191" s="59">
        <f ca="1">AVERAGE(OFFSET($CC$3,0,0,'Données projet'!$E$12+1,1))-AVERAGE(OFFSET($H$3,0,0,'Données projet'!$E$12+1,1))</f>
        <v>295.59075210589327</v>
      </c>
      <c r="CE191" s="59">
        <f t="shared" si="148"/>
        <v>210.41181542059576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33.347719583662141</v>
      </c>
      <c r="CL191" s="21">
        <f>EXP(-LN(2)/25)*CL190+(1-EXP(-LN(2)/25))/(LN(2)/25)*Calculateur!CG191*Calculateur!CI191*VLOOKUP('Données projet'!$B$12,Paramètres!$A$1:$I$89,3,0)*0.475*44/12</f>
        <v>4.3893645319818324</v>
      </c>
      <c r="CM191" s="21">
        <f>EXP(-LN(2)/2)*CM190+(1-EXP(-LN(2)/2))/(LN(2)/2)*CG191*CJ191*VLOOKUP('Données projet'!$B$12,Paramètres!$A$1:$I$89,3,0)*0.475*44/12</f>
        <v>1.1808497696497079E-8</v>
      </c>
      <c r="CN191" s="22">
        <f t="shared" si="172"/>
        <v>37.737084127452469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5.1727511163335289E-14</v>
      </c>
      <c r="CV191" s="13">
        <f t="shared" si="173"/>
        <v>8.3906664221915895E-13</v>
      </c>
      <c r="CW191" s="20">
        <f t="shared" si="174"/>
        <v>1.551466483807844E-12</v>
      </c>
      <c r="CX191" s="59">
        <f t="shared" si="122"/>
        <v>293.33333333333485</v>
      </c>
      <c r="CY191" s="59">
        <f ca="1">AVERAGE(OFFSET($CX$3,0,0,'Données projet'!$E$13+1,1))-AVERAGE(OFFSET($H$3,0,0,'Données projet'!$E$13+1,1))</f>
        <v>338.22448697444298</v>
      </c>
      <c r="CZ191" s="59">
        <f t="shared" si="150"/>
        <v>293.3872365640849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25.055182702275374</v>
      </c>
      <c r="DG191" s="21">
        <f>EXP(-LN(2)/25)*DG190+(1-EXP(-LN(2)/25))/(LN(2)/25)*Calculateur!DB191*Calculateur!DD191*VLOOKUP('Données projet'!$B$13,Paramètres!$A$1:$I$89,3,0)*0.475*44/12</f>
        <v>3.7054743107971144</v>
      </c>
      <c r="DH191" s="21">
        <f>EXP(-LN(2)/2)*DH190+(1-EXP(-LN(2)/2))/(LN(2)/2)*DB191*DE191*VLOOKUP('Données projet'!$B$13,Paramètres!$A$1:$I$89,3,0)*0.475*44/12</f>
        <v>4.4917275632458358E-15</v>
      </c>
      <c r="DI191" s="22">
        <f t="shared" si="175"/>
        <v>28.760657013072493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5.6843418860808015E-13</v>
      </c>
      <c r="DP191" s="17">
        <f>DO191*VLOOKUP('Données projet'!$B$14,Paramètres!$A$1:$I$89,3,0)*VLOOKUP('Données projet'!$B$14,Paramètres!$A$1:$I$89,5,0)</f>
        <v>3.177547114319168E-13</v>
      </c>
      <c r="DQ191" s="13">
        <f t="shared" si="176"/>
        <v>4.1725404435445377E-12</v>
      </c>
      <c r="DR191" s="20">
        <f t="shared" si="177"/>
        <v>7.820597394917325E-12</v>
      </c>
      <c r="DS191" s="59">
        <f t="shared" si="125"/>
        <v>293.33333333334116</v>
      </c>
      <c r="DT191" s="59">
        <f ca="1">AVERAGE(OFFSET($DS$3,0,0,'Données projet'!$E$14+1,1))-AVERAGE(OFFSET($H$3,0,0,'Données projet'!$E$14+1,1))</f>
        <v>328.15217666639006</v>
      </c>
      <c r="DU191" s="59">
        <f t="shared" si="152"/>
        <v>305.59175773326308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22.296575634695582</v>
      </c>
      <c r="EB191" s="21">
        <f>EXP(-LN(2)/25)*EB190+(1-EXP(-LN(2)/25))/(LN(2)/25)*Calculateur!DW191*Calculateur!DY191*VLOOKUP('Données projet'!$B$14,Paramètres!$A$1:$I$89,3,0)*0.475*44/12</f>
        <v>2.9124492474151715</v>
      </c>
      <c r="EC191" s="21">
        <f>EXP(-LN(2)/2)*EC190+(1-EXP(-LN(2)/2))/(LN(2)/2)*DW191*DZ191*VLOOKUP('Données projet'!$B$14,Paramètres!$A$1:$I$89,3,0)*0.475*44/12</f>
        <v>1.3098120560873351E-16</v>
      </c>
      <c r="ED191" s="22">
        <f t="shared" si="178"/>
        <v>25.209024882110754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159.78276497127206</v>
      </c>
      <c r="EP191" s="59">
        <f t="shared" si="154"/>
        <v>190.72163407919857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0.53079741214066323</v>
      </c>
      <c r="EW191" s="21">
        <f>EXP(-LN(2)/25)*EW190+(1-EXP(-LN(2)/25))/(LN(2)/25)*Calculateur!ER191*Calculateur!ET191*VLOOKUP('Données projet'!$B$15,Paramètres!$A$1:$I$89,3,0)*0.475*44/12</f>
        <v>0.97547863664604428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1.5062760487867075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6.2527760746888816E-13</v>
      </c>
      <c r="FF191" s="17">
        <f>FE191*VLOOKUP('Données projet'!$B$16,Paramètres!$A$1:$I$89,3,0)*VLOOKUP('Données projet'!$B$16,Paramètres!$A$1:$I$89,5,0)</f>
        <v>5.3648818720830608E-13</v>
      </c>
      <c r="FG191" s="13">
        <f t="shared" si="182"/>
        <v>6.6281362235424649E-12</v>
      </c>
      <c r="FH191" s="20">
        <f t="shared" si="183"/>
        <v>1.2478387515390925E-11</v>
      </c>
      <c r="FI191" s="59">
        <f t="shared" si="131"/>
        <v>293.33333333334582</v>
      </c>
      <c r="FJ191" s="59">
        <f ca="1">AVERAGE(OFFSET($FI$3,0,0,'Données projet'!$E$16+1,1))-AVERAGE(OFFSET($H$3,0,0,'Données projet'!$E$16+1,1))</f>
        <v>337.15023592377008</v>
      </c>
      <c r="FK191" s="59">
        <f t="shared" si="156"/>
        <v>286.60608582587099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46.762560745748594</v>
      </c>
      <c r="FR191" s="21">
        <f>EXP(-LN(2)/25)*FR190+(1-EXP(-LN(2)/25))/(LN(2)/25)*Calculateur!FM191*Calculateur!FO191*VLOOKUP('Données projet'!$B$16,Paramètres!$A$1:$I$89,3,0)*0.475*44/12</f>
        <v>8.0109540657496705</v>
      </c>
      <c r="FS191" s="21">
        <f>EXP(-LN(2)/2)*FS190+(1-EXP(-LN(2)/2))/(LN(2)/2)*FM191*FP191*VLOOKUP('Données projet'!$B$16,Paramètres!$A$1:$I$89,3,0)*0.475*44/12</f>
        <v>1.1593909179182401E-6</v>
      </c>
      <c r="FT191" s="22">
        <f t="shared" si="184"/>
        <v>54.773515970889186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7.9580786405131221E-13</v>
      </c>
      <c r="GA191" s="17">
        <f>FZ191*VLOOKUP('Données projet'!$B$17,Paramètres!$A$1:$I$89,3,0)*VLOOKUP('Données projet'!$B$17,Paramètres!$A$1:$I$89,5,0)</f>
        <v>7.2004695539362725E-13</v>
      </c>
      <c r="GB191" s="13">
        <f t="shared" si="185"/>
        <v>8.5963894794935589E-12</v>
      </c>
      <c r="GC191" s="20">
        <f t="shared" si="186"/>
        <v>1.6226126790761848E-11</v>
      </c>
      <c r="GD191" s="59">
        <f t="shared" si="134"/>
        <v>293.33333333334951</v>
      </c>
      <c r="GE191" s="59">
        <f ca="1">AVERAGE(OFFSET($GD$3,0,0,'Données projet'!$E$17+1,1))-AVERAGE(OFFSET($H$3,0,0,'Données projet'!$E$17+1,1))</f>
        <v>486.55344536255876</v>
      </c>
      <c r="GF191" s="59">
        <f t="shared" si="158"/>
        <v>231.14794884432229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139.60008291113473</v>
      </c>
      <c r="GM191" s="21">
        <f>EXP(-LN(2)/25)*GM190+(1-EXP(-LN(2)/25))/(LN(2)/25)*Calculateur!GH191*Calculateur!GJ191*VLOOKUP('Données projet'!$B$17,Paramètres!$A$1:$I$89,3,0)*0.475*44/12</f>
        <v>22.408761183589078</v>
      </c>
      <c r="GN191" s="21">
        <f>EXP(-LN(2)/2)*GN190+(1-EXP(-LN(2)/2))/(LN(2)/2)*GH191*GK191*VLOOKUP('Données projet'!$B$17,Paramètres!$A$1:$I$89,3,0)*0.475*44/12</f>
        <v>1.8781926116023391</v>
      </c>
      <c r="GO191" s="21">
        <f t="shared" si="187"/>
        <v>163.88703670632617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560.6660805377287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252.08270526008477</v>
      </c>
      <c r="T192" s="59">
        <f t="shared" si="142"/>
        <v>239.77811108960179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29.628069495470477</v>
      </c>
      <c r="AA192" s="21">
        <f>EXP(-LN(2)/25)*AA191+(1-EXP(-LN(2)/25))/(LN(2)/25)*Calculateur!V192*Calculateur!X192*VLOOKUP('Données projet'!$B$9,Paramètres!$A$1:$I$89,3,0)*0.475*44/12</f>
        <v>4.632379541679895</v>
      </c>
      <c r="AB192" s="21">
        <f>EXP(-LN(2)/2)*AB191+(1-EXP(-LN(2)/2))/(LN(2)/2)*V192*Y192*VLOOKUP('Données projet'!$B$9,Paramètres!$A$1:$I$89,3,0)*0.475*44/12</f>
        <v>2.1981086534021376E-12</v>
      </c>
      <c r="AC192" s="22">
        <f t="shared" si="163"/>
        <v>34.260449037152569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251.64326096359997</v>
      </c>
      <c r="AO192" s="59">
        <f t="shared" si="144"/>
        <v>256.72142151189894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10.791829947914499</v>
      </c>
      <c r="AV192" s="21">
        <f>EXP(-LN(2)/25)*AV191+(1-EXP(-LN(2)/25))/(LN(2)/25)*Calculateur!AQ192*Calculateur!AS192*VLOOKUP('Données projet'!$B$10,Paramètres!$A$1:$I$89,3,0)*0.475*44/12</f>
        <v>1.3548586827306126</v>
      </c>
      <c r="AW192" s="21">
        <f>EXP(-LN(2)/2)*AW191+(1-EXP(-LN(2)/2))/(LN(2)/2)*AQ192*AT192*VLOOKUP('Données projet'!$B$10,Paramètres!$A$1:$I$89,3,0)*0.475*44/12</f>
        <v>2.2984621383971115E-18</v>
      </c>
      <c r="AX192" s="21">
        <f t="shared" si="166"/>
        <v>12.146688630645112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199.29783428981898</v>
      </c>
      <c r="BJ192" s="59">
        <f t="shared" si="146"/>
        <v>237.32002274562547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0.44803389888119055</v>
      </c>
      <c r="BQ192" s="21">
        <f>EXP(-LN(2)/25)*BQ191+(1-EXP(-LN(2)/25))/(LN(2)/25)*Calculateur!BL192*Calculateur!BN192*VLOOKUP('Données projet'!$B$11,Paramètres!$A$1:$I$89,3,0)*0.475*44/12</f>
        <v>0.81688232178627074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1.2649162206674613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2.5579538487363607E-13</v>
      </c>
      <c r="BZ192" s="13">
        <f>BY192*VLOOKUP('Données projet'!$B$12,Paramètres!$A$1:$I$89,3,0)*VLOOKUP('Données projet'!$B$12,Paramètres!$A$1:$I$89,5,0)</f>
        <v>2.1548203221755105E-13</v>
      </c>
      <c r="CA192" s="13">
        <f t="shared" si="170"/>
        <v>2.9604251148637229E-12</v>
      </c>
      <c r="CB192" s="20">
        <f t="shared" si="171"/>
        <v>5.5313716144998842E-12</v>
      </c>
      <c r="CC192" s="59">
        <f t="shared" si="119"/>
        <v>293.33333333333883</v>
      </c>
      <c r="CD192" s="59">
        <f ca="1">AVERAGE(OFFSET($CC$3,0,0,'Données projet'!$E$12+1,1))-AVERAGE(OFFSET($H$3,0,0,'Données projet'!$E$12+1,1))</f>
        <v>295.59075210589327</v>
      </c>
      <c r="CE192" s="59">
        <f t="shared" si="148"/>
        <v>210.41181542059576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32.693791142727051</v>
      </c>
      <c r="CL192" s="21">
        <f>EXP(-LN(2)/25)*CL191+(1-EXP(-LN(2)/25))/(LN(2)/25)*Calculateur!CG192*Calculateur!CI192*VLOOKUP('Données projet'!$B$12,Paramètres!$A$1:$I$89,3,0)*0.475*44/12</f>
        <v>4.2693371280281402</v>
      </c>
      <c r="CM192" s="21">
        <f>EXP(-LN(2)/2)*CM191+(1-EXP(-LN(2)/2))/(LN(2)/2)*CG192*CJ192*VLOOKUP('Données projet'!$B$12,Paramètres!$A$1:$I$89,3,0)*0.475*44/12</f>
        <v>8.3498687968188105E-9</v>
      </c>
      <c r="CN192" s="22">
        <f t="shared" si="172"/>
        <v>36.963128279105064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5.1727511163335289E-14</v>
      </c>
      <c r="CV192" s="13">
        <f t="shared" si="173"/>
        <v>8.3906664221915895E-13</v>
      </c>
      <c r="CW192" s="20">
        <f t="shared" si="174"/>
        <v>1.551466483807844E-12</v>
      </c>
      <c r="CX192" s="59">
        <f t="shared" si="122"/>
        <v>293.33333333333485</v>
      </c>
      <c r="CY192" s="59">
        <f ca="1">AVERAGE(OFFSET($CX$3,0,0,'Données projet'!$E$13+1,1))-AVERAGE(OFFSET($H$3,0,0,'Données projet'!$E$13+1,1))</f>
        <v>338.22448697444298</v>
      </c>
      <c r="CZ192" s="59">
        <f t="shared" si="150"/>
        <v>293.3872365640849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24.563865851636216</v>
      </c>
      <c r="DG192" s="21">
        <f>EXP(-LN(2)/25)*DG191+(1-EXP(-LN(2)/25))/(LN(2)/25)*Calculateur!DB192*Calculateur!DD192*VLOOKUP('Données projet'!$B$13,Paramètres!$A$1:$I$89,3,0)*0.475*44/12</f>
        <v>3.6041479209059424</v>
      </c>
      <c r="DH192" s="21">
        <f>EXP(-LN(2)/2)*DH191+(1-EXP(-LN(2)/2))/(LN(2)/2)*DB192*DE192*VLOOKUP('Données projet'!$B$13,Paramètres!$A$1:$I$89,3,0)*0.475*44/12</f>
        <v>3.1761310192136575E-15</v>
      </c>
      <c r="DI192" s="22">
        <f t="shared" si="175"/>
        <v>28.16801377254216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5.6843418860808015E-13</v>
      </c>
      <c r="DP192" s="17">
        <f>DO192*VLOOKUP('Données projet'!$B$14,Paramètres!$A$1:$I$89,3,0)*VLOOKUP('Données projet'!$B$14,Paramètres!$A$1:$I$89,5,0)</f>
        <v>3.177547114319168E-13</v>
      </c>
      <c r="DQ192" s="13">
        <f t="shared" si="176"/>
        <v>4.1725404435445377E-12</v>
      </c>
      <c r="DR192" s="20">
        <f t="shared" si="177"/>
        <v>7.820597394917325E-12</v>
      </c>
      <c r="DS192" s="59">
        <f t="shared" si="125"/>
        <v>293.33333333334116</v>
      </c>
      <c r="DT192" s="59">
        <f ca="1">AVERAGE(OFFSET($DS$3,0,0,'Données projet'!$E$14+1,1))-AVERAGE(OFFSET($H$3,0,0,'Données projet'!$E$14+1,1))</f>
        <v>328.15217666639006</v>
      </c>
      <c r="DU192" s="59">
        <f t="shared" si="152"/>
        <v>305.59175773326308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21.859353386067493</v>
      </c>
      <c r="EB192" s="21">
        <f>EXP(-LN(2)/25)*EB191+(1-EXP(-LN(2)/25))/(LN(2)/25)*Calculateur!DW192*Calculateur!DY192*VLOOKUP('Données projet'!$B$14,Paramètres!$A$1:$I$89,3,0)*0.475*44/12</f>
        <v>2.832808169585554</v>
      </c>
      <c r="EC192" s="21">
        <f>EXP(-LN(2)/2)*EC191+(1-EXP(-LN(2)/2))/(LN(2)/2)*DW192*DZ192*VLOOKUP('Données projet'!$B$14,Paramètres!$A$1:$I$89,3,0)*0.475*44/12</f>
        <v>9.2617698693924917E-17</v>
      </c>
      <c r="ED192" s="22">
        <f t="shared" si="178"/>
        <v>24.692161555653048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159.78276497127206</v>
      </c>
      <c r="EP192" s="59">
        <f t="shared" si="154"/>
        <v>190.72163407919857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0.52038879864303811</v>
      </c>
      <c r="EW192" s="21">
        <f>EXP(-LN(2)/25)*EW191+(1-EXP(-LN(2)/25))/(LN(2)/25)*Calculateur!ER192*Calculateur!ET192*VLOOKUP('Données projet'!$B$15,Paramètres!$A$1:$I$89,3,0)*0.475*44/12</f>
        <v>0.94880412202876618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1.4691929206718042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6.2527760746888816E-13</v>
      </c>
      <c r="FF192" s="17">
        <f>FE192*VLOOKUP('Données projet'!$B$16,Paramètres!$A$1:$I$89,3,0)*VLOOKUP('Données projet'!$B$16,Paramètres!$A$1:$I$89,5,0)</f>
        <v>5.3648818720830608E-13</v>
      </c>
      <c r="FG192" s="13">
        <f t="shared" si="182"/>
        <v>6.6281362235424649E-12</v>
      </c>
      <c r="FH192" s="20">
        <f t="shared" si="183"/>
        <v>1.2478387515390925E-11</v>
      </c>
      <c r="FI192" s="59">
        <f t="shared" si="131"/>
        <v>293.33333333334582</v>
      </c>
      <c r="FJ192" s="59">
        <f ca="1">AVERAGE(OFFSET($FI$3,0,0,'Données projet'!$E$16+1,1))-AVERAGE(OFFSET($H$3,0,0,'Données projet'!$E$16+1,1))</f>
        <v>337.15023592377008</v>
      </c>
      <c r="FK192" s="59">
        <f t="shared" si="156"/>
        <v>286.60608582587099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45.845575451870168</v>
      </c>
      <c r="FR192" s="21">
        <f>EXP(-LN(2)/25)*FR191+(1-EXP(-LN(2)/25))/(LN(2)/25)*Calculateur!FM192*Calculateur!FO192*VLOOKUP('Données projet'!$B$16,Paramètres!$A$1:$I$89,3,0)*0.475*44/12</f>
        <v>7.7918941055439808</v>
      </c>
      <c r="FS192" s="21">
        <f>EXP(-LN(2)/2)*FS191+(1-EXP(-LN(2)/2))/(LN(2)/2)*FM192*FP192*VLOOKUP('Données projet'!$B$16,Paramètres!$A$1:$I$89,3,0)*0.475*44/12</f>
        <v>8.1981318010608349E-7</v>
      </c>
      <c r="FT192" s="22">
        <f t="shared" si="184"/>
        <v>53.637470377227331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7.9580786405131221E-13</v>
      </c>
      <c r="GA192" s="17">
        <f>FZ192*VLOOKUP('Données projet'!$B$17,Paramètres!$A$1:$I$89,3,0)*VLOOKUP('Données projet'!$B$17,Paramètres!$A$1:$I$89,5,0)</f>
        <v>7.2004695539362725E-13</v>
      </c>
      <c r="GB192" s="13">
        <f t="shared" si="185"/>
        <v>8.5963894794935589E-12</v>
      </c>
      <c r="GC192" s="20">
        <f t="shared" si="186"/>
        <v>1.6226126790761848E-11</v>
      </c>
      <c r="GD192" s="59">
        <f t="shared" si="134"/>
        <v>293.33333333334951</v>
      </c>
      <c r="GE192" s="59">
        <f ca="1">AVERAGE(OFFSET($GD$3,0,0,'Données projet'!$E$17+1,1))-AVERAGE(OFFSET($H$3,0,0,'Données projet'!$E$17+1,1))</f>
        <v>486.55344536255876</v>
      </c>
      <c r="GF192" s="59">
        <f t="shared" si="158"/>
        <v>231.14794884432229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136.86261043289034</v>
      </c>
      <c r="GM192" s="21">
        <f>EXP(-LN(2)/25)*GM191+(1-EXP(-LN(2)/25))/(LN(2)/25)*Calculateur!GH192*Calculateur!GJ192*VLOOKUP('Données projet'!$B$17,Paramètres!$A$1:$I$89,3,0)*0.475*44/12</f>
        <v>21.7959924305983</v>
      </c>
      <c r="GN192" s="21">
        <f>EXP(-LN(2)/2)*GN191+(1-EXP(-LN(2)/2))/(LN(2)/2)*GH192*GK192*VLOOKUP('Données projet'!$B$17,Paramètres!$A$1:$I$89,3,0)*0.475*44/12</f>
        <v>1.3280827320384856</v>
      </c>
      <c r="GO192" s="21">
        <f t="shared" si="187"/>
        <v>159.98668559552712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562.23586963097716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252.08270526008477</v>
      </c>
      <c r="T193" s="59">
        <f t="shared" si="142"/>
        <v>239.77811108960179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29.047081124002297</v>
      </c>
      <c r="AA193" s="21">
        <f>EXP(-LN(2)/25)*AA192+(1-EXP(-LN(2)/25))/(LN(2)/25)*Calculateur!V193*Calculateur!X193*VLOOKUP('Données projet'!$B$9,Paramètres!$A$1:$I$89,3,0)*0.475*44/12</f>
        <v>4.5057068795064055</v>
      </c>
      <c r="AB193" s="21">
        <f>EXP(-LN(2)/2)*AB192+(1-EXP(-LN(2)/2))/(LN(2)/2)*V193*Y193*VLOOKUP('Données projet'!$B$9,Paramètres!$A$1:$I$89,3,0)*0.475*44/12</f>
        <v>1.5542975346054819E-12</v>
      </c>
      <c r="AC193" s="22">
        <f t="shared" si="163"/>
        <v>33.552788003510258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251.64326096359997</v>
      </c>
      <c r="AO193" s="59">
        <f t="shared" si="144"/>
        <v>256.72142151189894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10.580208745002208</v>
      </c>
      <c r="AV193" s="21">
        <f>EXP(-LN(2)/25)*AV192+(1-EXP(-LN(2)/25))/(LN(2)/25)*Calculateur!AQ193*Calculateur!AS193*VLOOKUP('Données projet'!$B$10,Paramètres!$A$1:$I$89,3,0)*0.475*44/12</f>
        <v>1.3178100008024225</v>
      </c>
      <c r="AW193" s="21">
        <f>EXP(-LN(2)/2)*AW192+(1-EXP(-LN(2)/2))/(LN(2)/2)*AQ193*AT193*VLOOKUP('Données projet'!$B$10,Paramètres!$A$1:$I$89,3,0)*0.475*44/12</f>
        <v>1.6252581643611304E-18</v>
      </c>
      <c r="AX193" s="21">
        <f t="shared" si="166"/>
        <v>11.898018745804631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199.29783428981898</v>
      </c>
      <c r="BJ193" s="59">
        <f t="shared" si="146"/>
        <v>237.32002274562547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0.43924822739782521</v>
      </c>
      <c r="BQ193" s="21">
        <f>EXP(-LN(2)/25)*BQ192+(1-EXP(-LN(2)/25))/(LN(2)/25)*Calculateur!BL193*Calculateur!BN193*VLOOKUP('Données projet'!$B$11,Paramètres!$A$1:$I$89,3,0)*0.475*44/12</f>
        <v>0.79454463173905088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1.2337928591368761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2.5579538487363607E-13</v>
      </c>
      <c r="BZ193" s="13">
        <f>BY193*VLOOKUP('Données projet'!$B$12,Paramètres!$A$1:$I$89,3,0)*VLOOKUP('Données projet'!$B$12,Paramètres!$A$1:$I$89,5,0)</f>
        <v>2.1548203221755105E-13</v>
      </c>
      <c r="CA193" s="13">
        <f t="shared" si="170"/>
        <v>2.9604251148637229E-12</v>
      </c>
      <c r="CB193" s="20">
        <f t="shared" si="171"/>
        <v>5.5313716144998842E-12</v>
      </c>
      <c r="CC193" s="59">
        <f t="shared" si="119"/>
        <v>293.33333333333883</v>
      </c>
      <c r="CD193" s="59">
        <f ca="1">AVERAGE(OFFSET($CC$3,0,0,'Données projet'!$E$12+1,1))-AVERAGE(OFFSET($H$3,0,0,'Données projet'!$E$12+1,1))</f>
        <v>295.59075210589327</v>
      </c>
      <c r="CE193" s="59">
        <f t="shared" si="148"/>
        <v>210.41181542059576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32.052685839661734</v>
      </c>
      <c r="CL193" s="21">
        <f>EXP(-LN(2)/25)*CL192+(1-EXP(-LN(2)/25))/(LN(2)/25)*Calculateur!CG193*Calculateur!CI193*VLOOKUP('Données projet'!$B$12,Paramètres!$A$1:$I$89,3,0)*0.475*44/12</f>
        <v>4.1525918797475292</v>
      </c>
      <c r="CM193" s="21">
        <f>EXP(-LN(2)/2)*CM192+(1-EXP(-LN(2)/2))/(LN(2)/2)*CG193*CJ193*VLOOKUP('Données projet'!$B$12,Paramètres!$A$1:$I$89,3,0)*0.475*44/12</f>
        <v>5.9042488482485396E-9</v>
      </c>
      <c r="CN193" s="22">
        <f t="shared" si="172"/>
        <v>36.205277725313515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5.1727511163335289E-14</v>
      </c>
      <c r="CV193" s="13">
        <f t="shared" si="173"/>
        <v>8.3906664221915895E-13</v>
      </c>
      <c r="CW193" s="20">
        <f t="shared" si="174"/>
        <v>1.551466483807844E-12</v>
      </c>
      <c r="CX193" s="59">
        <f t="shared" si="122"/>
        <v>293.33333333333485</v>
      </c>
      <c r="CY193" s="59">
        <f ca="1">AVERAGE(OFFSET($CX$3,0,0,'Données projet'!$E$13+1,1))-AVERAGE(OFFSET($H$3,0,0,'Données projet'!$E$13+1,1))</f>
        <v>338.22448697444298</v>
      </c>
      <c r="CZ193" s="59">
        <f t="shared" si="150"/>
        <v>293.3872365640849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24.082183424764402</v>
      </c>
      <c r="DG193" s="21">
        <f>EXP(-LN(2)/25)*DG192+(1-EXP(-LN(2)/25))/(LN(2)/25)*Calculateur!DB193*Calculateur!DD193*VLOOKUP('Données projet'!$B$13,Paramètres!$A$1:$I$89,3,0)*0.475*44/12</f>
        <v>3.5055923064748677</v>
      </c>
      <c r="DH193" s="21">
        <f>EXP(-LN(2)/2)*DH192+(1-EXP(-LN(2)/2))/(LN(2)/2)*DB193*DE193*VLOOKUP('Données projet'!$B$13,Paramètres!$A$1:$I$89,3,0)*0.475*44/12</f>
        <v>2.2458637816229179E-15</v>
      </c>
      <c r="DI193" s="22">
        <f t="shared" si="175"/>
        <v>27.587775731239272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5.6843418860808015E-13</v>
      </c>
      <c r="DP193" s="17">
        <f>DO193*VLOOKUP('Données projet'!$B$14,Paramètres!$A$1:$I$89,3,0)*VLOOKUP('Données projet'!$B$14,Paramètres!$A$1:$I$89,5,0)</f>
        <v>3.177547114319168E-13</v>
      </c>
      <c r="DQ193" s="13">
        <f t="shared" si="176"/>
        <v>4.1725404435445377E-12</v>
      </c>
      <c r="DR193" s="20">
        <f t="shared" si="177"/>
        <v>7.820597394917325E-12</v>
      </c>
      <c r="DS193" s="59">
        <f t="shared" si="125"/>
        <v>293.33333333334116</v>
      </c>
      <c r="DT193" s="59">
        <f ca="1">AVERAGE(OFFSET($DS$3,0,0,'Données projet'!$E$14+1,1))-AVERAGE(OFFSET($H$3,0,0,'Données projet'!$E$14+1,1))</f>
        <v>328.15217666639006</v>
      </c>
      <c r="DU193" s="59">
        <f t="shared" si="152"/>
        <v>305.59175773326308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21.430704799055761</v>
      </c>
      <c r="EB193" s="21">
        <f>EXP(-LN(2)/25)*EB192+(1-EXP(-LN(2)/25))/(LN(2)/25)*Calculateur!DW193*Calculateur!DY193*VLOOKUP('Données projet'!$B$14,Paramètres!$A$1:$I$89,3,0)*0.475*44/12</f>
        <v>2.7553448812173298</v>
      </c>
      <c r="EC193" s="21">
        <f>EXP(-LN(2)/2)*EC192+(1-EXP(-LN(2)/2))/(LN(2)/2)*DW193*DZ193*VLOOKUP('Données projet'!$B$14,Paramètres!$A$1:$I$89,3,0)*0.475*44/12</f>
        <v>6.5490602804366753E-17</v>
      </c>
      <c r="ED193" s="22">
        <f t="shared" si="178"/>
        <v>24.18604968027309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159.78276497127206</v>
      </c>
      <c r="EP193" s="59">
        <f t="shared" si="154"/>
        <v>190.72163407919857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0.51018429170747404</v>
      </c>
      <c r="EW193" s="21">
        <f>EXP(-LN(2)/25)*EW192+(1-EXP(-LN(2)/25))/(LN(2)/25)*Calculateur!ER193*Calculateur!ET193*VLOOKUP('Données projet'!$B$15,Paramètres!$A$1:$I$89,3,0)*0.475*44/12</f>
        <v>0.92285902341644932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1.4330433151239235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6.2527760746888816E-13</v>
      </c>
      <c r="FF193" s="17">
        <f>FE193*VLOOKUP('Données projet'!$B$16,Paramètres!$A$1:$I$89,3,0)*VLOOKUP('Données projet'!$B$16,Paramètres!$A$1:$I$89,5,0)</f>
        <v>5.3648818720830608E-13</v>
      </c>
      <c r="FG193" s="13">
        <f t="shared" si="182"/>
        <v>6.6281362235424649E-12</v>
      </c>
      <c r="FH193" s="20">
        <f t="shared" si="183"/>
        <v>1.2478387515390925E-11</v>
      </c>
      <c r="FI193" s="59">
        <f t="shared" si="131"/>
        <v>293.33333333334582</v>
      </c>
      <c r="FJ193" s="59">
        <f ca="1">AVERAGE(OFFSET($FI$3,0,0,'Données projet'!$E$16+1,1))-AVERAGE(OFFSET($H$3,0,0,'Données projet'!$E$16+1,1))</f>
        <v>337.15023592377008</v>
      </c>
      <c r="FK193" s="59">
        <f t="shared" si="156"/>
        <v>286.60608582587099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44.946571680298902</v>
      </c>
      <c r="FR193" s="21">
        <f>EXP(-LN(2)/25)*FR192+(1-EXP(-LN(2)/25))/(LN(2)/25)*Calculateur!FM193*Calculateur!FO193*VLOOKUP('Données projet'!$B$16,Paramètres!$A$1:$I$89,3,0)*0.475*44/12</f>
        <v>7.5788243514699785</v>
      </c>
      <c r="FS193" s="21">
        <f>EXP(-LN(2)/2)*FS192+(1-EXP(-LN(2)/2))/(LN(2)/2)*FM193*FP193*VLOOKUP('Données projet'!$B$16,Paramètres!$A$1:$I$89,3,0)*0.475*44/12</f>
        <v>5.7969545895912005E-7</v>
      </c>
      <c r="FT193" s="22">
        <f t="shared" si="184"/>
        <v>52.525396611464338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7.9580786405131221E-13</v>
      </c>
      <c r="GA193" s="17">
        <f>FZ193*VLOOKUP('Données projet'!$B$17,Paramètres!$A$1:$I$89,3,0)*VLOOKUP('Données projet'!$B$17,Paramètres!$A$1:$I$89,5,0)</f>
        <v>7.2004695539362725E-13</v>
      </c>
      <c r="GB193" s="13">
        <f t="shared" si="185"/>
        <v>8.5963894794935589E-12</v>
      </c>
      <c r="GC193" s="20">
        <f t="shared" si="186"/>
        <v>1.6226126790761848E-11</v>
      </c>
      <c r="GD193" s="59">
        <f t="shared" si="134"/>
        <v>293.33333333334951</v>
      </c>
      <c r="GE193" s="59">
        <f ca="1">AVERAGE(OFFSET($GD$3,0,0,'Données projet'!$E$17+1,1))-AVERAGE(OFFSET($H$3,0,0,'Données projet'!$E$17+1,1))</f>
        <v>486.55344536255876</v>
      </c>
      <c r="GF193" s="59">
        <f t="shared" si="158"/>
        <v>231.14794884432229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134.17881812025095</v>
      </c>
      <c r="GM193" s="21">
        <f>EXP(-LN(2)/25)*GM192+(1-EXP(-LN(2)/25))/(LN(2)/25)*Calculateur!GH193*Calculateur!GJ193*VLOOKUP('Données projet'!$B$17,Paramètres!$A$1:$I$89,3,0)*0.475*44/12</f>
        <v>21.199979871382162</v>
      </c>
      <c r="GN193" s="21">
        <f>EXP(-LN(2)/2)*GN192+(1-EXP(-LN(2)/2))/(LN(2)/2)*GH193*GK193*VLOOKUP('Données projet'!$B$17,Paramètres!$A$1:$I$89,3,0)*0.475*44/12</f>
        <v>0.93909630580116976</v>
      </c>
      <c r="GO193" s="21">
        <f t="shared" si="187"/>
        <v>156.31789429743429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563.80547940031397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252.08270526008477</v>
      </c>
      <c r="T194" s="59">
        <f t="shared" si="142"/>
        <v>239.77811108960179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28.477485580130693</v>
      </c>
      <c r="AA194" s="21">
        <f>EXP(-LN(2)/25)*AA193+(1-EXP(-LN(2)/25))/(LN(2)/25)*Calculateur!V194*Calculateur!X194*VLOOKUP('Données projet'!$B$9,Paramètres!$A$1:$I$89,3,0)*0.475*44/12</f>
        <v>4.3824980879414763</v>
      </c>
      <c r="AB194" s="21">
        <f>EXP(-LN(2)/2)*AB193+(1-EXP(-LN(2)/2))/(LN(2)/2)*V194*Y194*VLOOKUP('Données projet'!$B$9,Paramètres!$A$1:$I$89,3,0)*0.475*44/12</f>
        <v>1.0990543267010688E-12</v>
      </c>
      <c r="AC194" s="22">
        <f t="shared" si="163"/>
        <v>32.859983668073269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251.64326096359997</v>
      </c>
      <c r="AO194" s="59">
        <f t="shared" si="144"/>
        <v>256.72142151189894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10.37273730480284</v>
      </c>
      <c r="AV194" s="21">
        <f>EXP(-LN(2)/25)*AV193+(1-EXP(-LN(2)/25))/(LN(2)/25)*Calculateur!AQ194*Calculateur!AS194*VLOOKUP('Données projet'!$B$10,Paramètres!$A$1:$I$89,3,0)*0.475*44/12</f>
        <v>1.2817744170298642</v>
      </c>
      <c r="AW194" s="21">
        <f>EXP(-LN(2)/2)*AW193+(1-EXP(-LN(2)/2))/(LN(2)/2)*AQ194*AT194*VLOOKUP('Données projet'!$B$10,Paramètres!$A$1:$I$89,3,0)*0.475*44/12</f>
        <v>1.1492310691985557E-18</v>
      </c>
      <c r="AX194" s="21">
        <f t="shared" si="166"/>
        <v>11.654511721832703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199.29783428981898</v>
      </c>
      <c r="BJ194" s="59">
        <f t="shared" si="146"/>
        <v>237.32002274562547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0.43063483757351817</v>
      </c>
      <c r="BQ194" s="21">
        <f>EXP(-LN(2)/25)*BQ193+(1-EXP(-LN(2)/25))/(LN(2)/25)*Calculateur!BL194*Calculateur!BN194*VLOOKUP('Données projet'!$B$11,Paramètres!$A$1:$I$89,3,0)*0.475*44/12</f>
        <v>0.77281776700086036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1.2034526045743785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2.5579538487363607E-13</v>
      </c>
      <c r="BZ194" s="13">
        <f>BY194*VLOOKUP('Données projet'!$B$12,Paramètres!$A$1:$I$89,3,0)*VLOOKUP('Données projet'!$B$12,Paramètres!$A$1:$I$89,5,0)</f>
        <v>2.1548203221755105E-13</v>
      </c>
      <c r="CA194" s="13">
        <f t="shared" si="170"/>
        <v>2.9604251148637229E-12</v>
      </c>
      <c r="CB194" s="20">
        <f t="shared" si="171"/>
        <v>5.5313716144998842E-12</v>
      </c>
      <c r="CC194" s="59">
        <f t="shared" si="119"/>
        <v>293.33333333333883</v>
      </c>
      <c r="CD194" s="59">
        <f ca="1">AVERAGE(OFFSET($CC$3,0,0,'Données projet'!$E$12+1,1))-AVERAGE(OFFSET($H$3,0,0,'Données projet'!$E$12+1,1))</f>
        <v>295.59075210589327</v>
      </c>
      <c r="CE194" s="59">
        <f t="shared" si="148"/>
        <v>210.41181542059576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31.424152220553907</v>
      </c>
      <c r="CL194" s="21">
        <f>EXP(-LN(2)/25)*CL193+(1-EXP(-LN(2)/25))/(LN(2)/25)*Calculateur!CG194*Calculateur!CI194*VLOOKUP('Données projet'!$B$12,Paramètres!$A$1:$I$89,3,0)*0.475*44/12</f>
        <v>4.0390390364205171</v>
      </c>
      <c r="CM194" s="21">
        <f>EXP(-LN(2)/2)*CM193+(1-EXP(-LN(2)/2))/(LN(2)/2)*CG194*CJ194*VLOOKUP('Données projet'!$B$12,Paramètres!$A$1:$I$89,3,0)*0.475*44/12</f>
        <v>4.1749343984094052E-9</v>
      </c>
      <c r="CN194" s="22">
        <f t="shared" si="172"/>
        <v>35.463191261149362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5.1727511163335289E-14</v>
      </c>
      <c r="CV194" s="13">
        <f t="shared" si="173"/>
        <v>8.3906664221915895E-13</v>
      </c>
      <c r="CW194" s="20">
        <f t="shared" si="174"/>
        <v>1.551466483807844E-12</v>
      </c>
      <c r="CX194" s="59">
        <f t="shared" si="122"/>
        <v>293.33333333333485</v>
      </c>
      <c r="CY194" s="59">
        <f ca="1">AVERAGE(OFFSET($CX$3,0,0,'Données projet'!$E$13+1,1))-AVERAGE(OFFSET($H$3,0,0,'Données projet'!$E$13+1,1))</f>
        <v>338.22448697444298</v>
      </c>
      <c r="CZ194" s="59">
        <f t="shared" si="150"/>
        <v>293.3872365640849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23.609946496486273</v>
      </c>
      <c r="DG194" s="21">
        <f>EXP(-LN(2)/25)*DG193+(1-EXP(-LN(2)/25))/(LN(2)/25)*Calculateur!DB194*Calculateur!DD194*VLOOKUP('Données projet'!$B$13,Paramètres!$A$1:$I$89,3,0)*0.475*44/12</f>
        <v>3.409731700503225</v>
      </c>
      <c r="DH194" s="21">
        <f>EXP(-LN(2)/2)*DH193+(1-EXP(-LN(2)/2))/(LN(2)/2)*DB194*DE194*VLOOKUP('Données projet'!$B$13,Paramètres!$A$1:$I$89,3,0)*0.475*44/12</f>
        <v>1.5880655096068288E-15</v>
      </c>
      <c r="DI194" s="22">
        <f t="shared" si="175"/>
        <v>27.019678196989499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5.6843418860808015E-13</v>
      </c>
      <c r="DP194" s="17">
        <f>DO194*VLOOKUP('Données projet'!$B$14,Paramètres!$A$1:$I$89,3,0)*VLOOKUP('Données projet'!$B$14,Paramètres!$A$1:$I$89,5,0)</f>
        <v>3.177547114319168E-13</v>
      </c>
      <c r="DQ194" s="13">
        <f t="shared" si="176"/>
        <v>4.1725404435445377E-12</v>
      </c>
      <c r="DR194" s="20">
        <f t="shared" si="177"/>
        <v>7.820597394917325E-12</v>
      </c>
      <c r="DS194" s="59">
        <f t="shared" si="125"/>
        <v>293.33333333334116</v>
      </c>
      <c r="DT194" s="59">
        <f ca="1">AVERAGE(OFFSET($DS$3,0,0,'Données projet'!$E$14+1,1))-AVERAGE(OFFSET($H$3,0,0,'Données projet'!$E$14+1,1))</f>
        <v>328.15217666639006</v>
      </c>
      <c r="DU194" s="59">
        <f t="shared" si="152"/>
        <v>305.59175773326308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21.010461749385506</v>
      </c>
      <c r="EB194" s="21">
        <f>EXP(-LN(2)/25)*EB193+(1-EXP(-LN(2)/25))/(LN(2)/25)*Calculateur!DW194*Calculateur!DY194*VLOOKUP('Données projet'!$B$14,Paramètres!$A$1:$I$89,3,0)*0.475*44/12</f>
        <v>2.6799998305431521</v>
      </c>
      <c r="EC194" s="21">
        <f>EXP(-LN(2)/2)*EC193+(1-EXP(-LN(2)/2))/(LN(2)/2)*DW194*DZ194*VLOOKUP('Données projet'!$B$14,Paramètres!$A$1:$I$89,3,0)*0.475*44/12</f>
        <v>4.6308849346962458E-17</v>
      </c>
      <c r="ED194" s="22">
        <f t="shared" si="178"/>
        <v>23.690461579928659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159.78276497127206</v>
      </c>
      <c r="EP194" s="59">
        <f t="shared" si="154"/>
        <v>190.72163407919857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0.50017988892878174</v>
      </c>
      <c r="EW194" s="21">
        <f>EXP(-LN(2)/25)*EW193+(1-EXP(-LN(2)/25))/(LN(2)/25)*Calculateur!ER194*Calculateur!ET194*VLOOKUP('Données projet'!$B$15,Paramètres!$A$1:$I$89,3,0)*0.475*44/12</f>
        <v>0.8976233948900797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1.3978032838188614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6.2527760746888816E-13</v>
      </c>
      <c r="FF194" s="17">
        <f>FE194*VLOOKUP('Données projet'!$B$16,Paramètres!$A$1:$I$89,3,0)*VLOOKUP('Données projet'!$B$16,Paramètres!$A$1:$I$89,5,0)</f>
        <v>5.3648818720830608E-13</v>
      </c>
      <c r="FG194" s="13">
        <f t="shared" si="182"/>
        <v>6.6281362235424649E-12</v>
      </c>
      <c r="FH194" s="20">
        <f t="shared" si="183"/>
        <v>1.2478387515390925E-11</v>
      </c>
      <c r="FI194" s="59">
        <f t="shared" si="131"/>
        <v>293.33333333334582</v>
      </c>
      <c r="FJ194" s="59">
        <f ca="1">AVERAGE(OFFSET($FI$3,0,0,'Données projet'!$E$16+1,1))-AVERAGE(OFFSET($H$3,0,0,'Données projet'!$E$16+1,1))</f>
        <v>337.15023592377008</v>
      </c>
      <c r="FK194" s="59">
        <f t="shared" si="156"/>
        <v>286.60608582587099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44.065196824349989</v>
      </c>
      <c r="FR194" s="21">
        <f>EXP(-LN(2)/25)*FR193+(1-EXP(-LN(2)/25))/(LN(2)/25)*Calculateur!FM194*Calculateur!FO194*VLOOKUP('Données projet'!$B$16,Paramètres!$A$1:$I$89,3,0)*0.475*44/12</f>
        <v>7.371581001025981</v>
      </c>
      <c r="FS194" s="21">
        <f>EXP(-LN(2)/2)*FS193+(1-EXP(-LN(2)/2))/(LN(2)/2)*FM194*FP194*VLOOKUP('Données projet'!$B$16,Paramètres!$A$1:$I$89,3,0)*0.475*44/12</f>
        <v>4.0990659005304175E-7</v>
      </c>
      <c r="FT194" s="22">
        <f t="shared" si="184"/>
        <v>51.43677823528256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7.9580786405131221E-13</v>
      </c>
      <c r="GA194" s="17">
        <f>FZ194*VLOOKUP('Données projet'!$B$17,Paramètres!$A$1:$I$89,3,0)*VLOOKUP('Données projet'!$B$17,Paramètres!$A$1:$I$89,5,0)</f>
        <v>7.2004695539362725E-13</v>
      </c>
      <c r="GB194" s="13">
        <f t="shared" si="185"/>
        <v>8.5963894794935589E-12</v>
      </c>
      <c r="GC194" s="20">
        <f t="shared" si="186"/>
        <v>1.6226126790761848E-11</v>
      </c>
      <c r="GD194" s="59">
        <f t="shared" si="134"/>
        <v>293.33333333334951</v>
      </c>
      <c r="GE194" s="59">
        <f ca="1">AVERAGE(OFFSET($GD$3,0,0,'Données projet'!$E$17+1,1))-AVERAGE(OFFSET($H$3,0,0,'Données projet'!$E$17+1,1))</f>
        <v>486.55344536255876</v>
      </c>
      <c r="GF194" s="59">
        <f t="shared" si="158"/>
        <v>231.14794884432229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131.54765333791076</v>
      </c>
      <c r="GM194" s="21">
        <f>EXP(-LN(2)/25)*GM193+(1-EXP(-LN(2)/25))/(LN(2)/25)*Calculateur!GH194*Calculateur!GJ194*VLOOKUP('Données projet'!$B$17,Paramètres!$A$1:$I$89,3,0)*0.475*44/12</f>
        <v>20.620265306940727</v>
      </c>
      <c r="GN194" s="21">
        <f>EXP(-LN(2)/2)*GN193+(1-EXP(-LN(2)/2))/(LN(2)/2)*GH194*GK194*VLOOKUP('Données projet'!$B$17,Paramètres!$A$1:$I$89,3,0)*0.475*44/12</f>
        <v>0.66404136601924291</v>
      </c>
      <c r="GO194" s="21">
        <f t="shared" si="187"/>
        <v>152.83196001087072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565.37491089358252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252.08270526008477</v>
      </c>
      <c r="T195" s="59">
        <f t="shared" si="142"/>
        <v>239.77811108960179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27.919059457455432</v>
      </c>
      <c r="AA195" s="21">
        <f>EXP(-LN(2)/25)*AA194+(1-EXP(-LN(2)/25))/(LN(2)/25)*Calculateur!V195*Calculateur!X195*VLOOKUP('Données projet'!$B$9,Paramètres!$A$1:$I$89,3,0)*0.475*44/12</f>
        <v>4.2626584472611588</v>
      </c>
      <c r="AB195" s="21">
        <f>EXP(-LN(2)/2)*AB194+(1-EXP(-LN(2)/2))/(LN(2)/2)*V195*Y195*VLOOKUP('Données projet'!$B$9,Paramètres!$A$1:$I$89,3,0)*0.475*44/12</f>
        <v>7.7714876730274096E-13</v>
      </c>
      <c r="AC195" s="22">
        <f t="shared" si="163"/>
        <v>32.181717904717367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251.64326096359997</v>
      </c>
      <c r="AO195" s="59">
        <f t="shared" si="144"/>
        <v>256.72142151189894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10.169334253000697</v>
      </c>
      <c r="AV195" s="21">
        <f>EXP(-LN(2)/25)*AV194+(1-EXP(-LN(2)/25))/(LN(2)/25)*Calculateur!AQ195*Calculateur!AS195*VLOOKUP('Données projet'!$B$10,Paramètres!$A$1:$I$89,3,0)*0.475*44/12</f>
        <v>1.2467242281905955</v>
      </c>
      <c r="AW195" s="21">
        <f>EXP(-LN(2)/2)*AW194+(1-EXP(-LN(2)/2))/(LN(2)/2)*AQ195*AT195*VLOOKUP('Données projet'!$B$10,Paramètres!$A$1:$I$89,3,0)*0.475*44/12</f>
        <v>8.1262908218056521E-19</v>
      </c>
      <c r="AX195" s="21">
        <f t="shared" si="166"/>
        <v>11.416058481191293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199.29783428981898</v>
      </c>
      <c r="BJ195" s="59">
        <f t="shared" si="146"/>
        <v>237.32002274562547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0.42219035107001673</v>
      </c>
      <c r="BQ195" s="21">
        <f>EXP(-LN(2)/25)*BQ194+(1-EXP(-LN(2)/25))/(LN(2)/25)*Calculateur!BL195*Calculateur!BN195*VLOOKUP('Données projet'!$B$11,Paramètres!$A$1:$I$89,3,0)*0.475*44/12</f>
        <v>0.75168502452150177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1.1738753755915186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2.5579538487363607E-13</v>
      </c>
      <c r="BZ195" s="13">
        <f>BY195*VLOOKUP('Données projet'!$B$12,Paramètres!$A$1:$I$89,3,0)*VLOOKUP('Données projet'!$B$12,Paramètres!$A$1:$I$89,5,0)</f>
        <v>2.1548203221755105E-13</v>
      </c>
      <c r="CA195" s="13">
        <f t="shared" si="170"/>
        <v>2.9604251148637229E-12</v>
      </c>
      <c r="CB195" s="20">
        <f t="shared" si="171"/>
        <v>5.5313716144998842E-12</v>
      </c>
      <c r="CC195" s="59">
        <f t="shared" si="119"/>
        <v>293.33333333333883</v>
      </c>
      <c r="CD195" s="59">
        <f ca="1">AVERAGE(OFFSET($CC$3,0,0,'Données projet'!$E$12+1,1))-AVERAGE(OFFSET($H$3,0,0,'Données projet'!$E$12+1,1))</f>
        <v>295.59075210589327</v>
      </c>
      <c r="CE195" s="59">
        <f t="shared" si="148"/>
        <v>210.41181542059576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30.807943762349129</v>
      </c>
      <c r="CL195" s="21">
        <f>EXP(-LN(2)/25)*CL194+(1-EXP(-LN(2)/25))/(LN(2)/25)*Calculateur!CG195*Calculateur!CI195*VLOOKUP('Données projet'!$B$12,Paramètres!$A$1:$I$89,3,0)*0.475*44/12</f>
        <v>3.9285913015657665</v>
      </c>
      <c r="CM195" s="21">
        <f>EXP(-LN(2)/2)*CM194+(1-EXP(-LN(2)/2))/(LN(2)/2)*CG195*CJ195*VLOOKUP('Données projet'!$B$12,Paramètres!$A$1:$I$89,3,0)*0.475*44/12</f>
        <v>2.9521244241242698E-9</v>
      </c>
      <c r="CN195" s="22">
        <f t="shared" si="172"/>
        <v>34.73653506686702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5.1727511163335289E-14</v>
      </c>
      <c r="CV195" s="13">
        <f t="shared" si="173"/>
        <v>8.3906664221915895E-13</v>
      </c>
      <c r="CW195" s="20">
        <f t="shared" si="174"/>
        <v>1.551466483807844E-12</v>
      </c>
      <c r="CX195" s="59">
        <f t="shared" si="122"/>
        <v>293.33333333333485</v>
      </c>
      <c r="CY195" s="59">
        <f ca="1">AVERAGE(OFFSET($CX$3,0,0,'Données projet'!$E$13+1,1))-AVERAGE(OFFSET($H$3,0,0,'Données projet'!$E$13+1,1))</f>
        <v>338.22448697444298</v>
      </c>
      <c r="CZ195" s="59">
        <f t="shared" si="150"/>
        <v>293.3872365640849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23.146969846335594</v>
      </c>
      <c r="DG195" s="21">
        <f>EXP(-LN(2)/25)*DG194+(1-EXP(-LN(2)/25))/(LN(2)/25)*Calculateur!DB195*Calculateur!DD195*VLOOKUP('Données projet'!$B$13,Paramètres!$A$1:$I$89,3,0)*0.475*44/12</f>
        <v>3.3164924078429672</v>
      </c>
      <c r="DH195" s="21">
        <f>EXP(-LN(2)/2)*DH194+(1-EXP(-LN(2)/2))/(LN(2)/2)*DB195*DE195*VLOOKUP('Données projet'!$B$13,Paramètres!$A$1:$I$89,3,0)*0.475*44/12</f>
        <v>1.122931890811459E-15</v>
      </c>
      <c r="DI195" s="22">
        <f t="shared" si="175"/>
        <v>26.463462254178562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5.6843418860808015E-13</v>
      </c>
      <c r="DP195" s="17">
        <f>DO195*VLOOKUP('Données projet'!$B$14,Paramètres!$A$1:$I$89,3,0)*VLOOKUP('Données projet'!$B$14,Paramètres!$A$1:$I$89,5,0)</f>
        <v>3.177547114319168E-13</v>
      </c>
      <c r="DQ195" s="13">
        <f t="shared" si="176"/>
        <v>4.1725404435445377E-12</v>
      </c>
      <c r="DR195" s="20">
        <f t="shared" si="177"/>
        <v>7.820597394917325E-12</v>
      </c>
      <c r="DS195" s="59">
        <f t="shared" si="125"/>
        <v>293.33333333334116</v>
      </c>
      <c r="DT195" s="59">
        <f ca="1">AVERAGE(OFFSET($DS$3,0,0,'Données projet'!$E$14+1,1))-AVERAGE(OFFSET($H$3,0,0,'Données projet'!$E$14+1,1))</f>
        <v>328.15217666639006</v>
      </c>
      <c r="DU195" s="59">
        <f t="shared" si="152"/>
        <v>305.59175773326308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20.598459409596337</v>
      </c>
      <c r="EB195" s="21">
        <f>EXP(-LN(2)/25)*EB194+(1-EXP(-LN(2)/25))/(LN(2)/25)*Calculateur!DW195*Calculateur!DY195*VLOOKUP('Données projet'!$B$14,Paramètres!$A$1:$I$89,3,0)*0.475*44/12</f>
        <v>2.6067150942418835</v>
      </c>
      <c r="EC195" s="21">
        <f>EXP(-LN(2)/2)*EC194+(1-EXP(-LN(2)/2))/(LN(2)/2)*DW195*DZ195*VLOOKUP('Données projet'!$B$14,Paramètres!$A$1:$I$89,3,0)*0.475*44/12</f>
        <v>3.2745301402183376E-17</v>
      </c>
      <c r="ED195" s="22">
        <f t="shared" si="178"/>
        <v>23.205174503838222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159.78276497127206</v>
      </c>
      <c r="EP195" s="59">
        <f t="shared" si="154"/>
        <v>190.72163407919857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0.49037166638649649</v>
      </c>
      <c r="EW195" s="21">
        <f>EXP(-LN(2)/25)*EW194+(1-EXP(-LN(2)/25))/(LN(2)/25)*Calculateur!ER195*Calculateur!ET195*VLOOKUP('Données projet'!$B$15,Paramètres!$A$1:$I$89,3,0)*0.475*44/12</f>
        <v>0.87307783595284771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1.3634495023393443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6.2527760746888816E-13</v>
      </c>
      <c r="FF195" s="17">
        <f>FE195*VLOOKUP('Données projet'!$B$16,Paramètres!$A$1:$I$89,3,0)*VLOOKUP('Données projet'!$B$16,Paramètres!$A$1:$I$89,5,0)</f>
        <v>5.3648818720830608E-13</v>
      </c>
      <c r="FG195" s="13">
        <f t="shared" si="182"/>
        <v>6.6281362235424649E-12</v>
      </c>
      <c r="FH195" s="20">
        <f t="shared" si="183"/>
        <v>1.2478387515390925E-11</v>
      </c>
      <c r="FI195" s="59">
        <f t="shared" si="131"/>
        <v>293.33333333334582</v>
      </c>
      <c r="FJ195" s="59">
        <f ca="1">AVERAGE(OFFSET($FI$3,0,0,'Données projet'!$E$16+1,1))-AVERAGE(OFFSET($H$3,0,0,'Données projet'!$E$16+1,1))</f>
        <v>337.15023592377008</v>
      </c>
      <c r="FK195" s="59">
        <f t="shared" si="156"/>
        <v>286.60608582587099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43.201105191740652</v>
      </c>
      <c r="FR195" s="21">
        <f>EXP(-LN(2)/25)*FR194+(1-EXP(-LN(2)/25))/(LN(2)/25)*Calculateur!FM195*Calculateur!FO195*VLOOKUP('Données projet'!$B$16,Paramètres!$A$1:$I$89,3,0)*0.475*44/12</f>
        <v>7.170004730898329</v>
      </c>
      <c r="FS195" s="21">
        <f>EXP(-LN(2)/2)*FS194+(1-EXP(-LN(2)/2))/(LN(2)/2)*FM195*FP195*VLOOKUP('Données projet'!$B$16,Paramètres!$A$1:$I$89,3,0)*0.475*44/12</f>
        <v>2.8984772947956002E-7</v>
      </c>
      <c r="FT195" s="22">
        <f t="shared" si="184"/>
        <v>50.371110212486705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7.9580786405131221E-13</v>
      </c>
      <c r="GA195" s="17">
        <f>FZ195*VLOOKUP('Données projet'!$B$17,Paramètres!$A$1:$I$89,3,0)*VLOOKUP('Données projet'!$B$17,Paramètres!$A$1:$I$89,5,0)</f>
        <v>7.2004695539362725E-13</v>
      </c>
      <c r="GB195" s="13">
        <f t="shared" si="185"/>
        <v>8.5963894794935589E-12</v>
      </c>
      <c r="GC195" s="20">
        <f t="shared" si="186"/>
        <v>1.6226126790761848E-11</v>
      </c>
      <c r="GD195" s="59">
        <f t="shared" si="134"/>
        <v>293.33333333334951</v>
      </c>
      <c r="GE195" s="59">
        <f ca="1">AVERAGE(OFFSET($GD$3,0,0,'Données projet'!$E$17+1,1))-AVERAGE(OFFSET($H$3,0,0,'Données projet'!$E$17+1,1))</f>
        <v>486.55344536255876</v>
      </c>
      <c r="GF195" s="59">
        <f t="shared" si="158"/>
        <v>231.14794884432229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128.96808409210021</v>
      </c>
      <c r="GM195" s="21">
        <f>EXP(-LN(2)/25)*GM194+(1-EXP(-LN(2)/25))/(LN(2)/25)*Calculateur!GH195*Calculateur!GJ195*VLOOKUP('Données projet'!$B$17,Paramètres!$A$1:$I$89,3,0)*0.475*44/12</f>
        <v>20.056403067749809</v>
      </c>
      <c r="GN195" s="21">
        <f>EXP(-LN(2)/2)*GN194+(1-EXP(-LN(2)/2))/(LN(2)/2)*GH195*GK195*VLOOKUP('Données projet'!$B$17,Paramètres!$A$1:$I$89,3,0)*0.475*44/12</f>
        <v>0.46954815290058494</v>
      </c>
      <c r="GO195" s="21">
        <f t="shared" si="187"/>
        <v>149.49403531275061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566.94416514707893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252.08270526008477</v>
      </c>
      <c r="T196" s="59">
        <f t="shared" si="142"/>
        <v>239.77811108960179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27.371583730439532</v>
      </c>
      <c r="AA196" s="21">
        <f>EXP(-LN(2)/25)*AA195+(1-EXP(-LN(2)/25))/(LN(2)/25)*Calculateur!V196*Calculateur!X196*VLOOKUP('Données projet'!$B$9,Paramètres!$A$1:$I$89,3,0)*0.475*44/12</f>
        <v>4.1460958278573372</v>
      </c>
      <c r="AB196" s="21">
        <f>EXP(-LN(2)/2)*AB195+(1-EXP(-LN(2)/2))/(LN(2)/2)*V196*Y196*VLOOKUP('Données projet'!$B$9,Paramètres!$A$1:$I$89,3,0)*0.475*44/12</f>
        <v>5.4952716335053439E-13</v>
      </c>
      <c r="AC196" s="22">
        <f t="shared" si="163"/>
        <v>31.51767955829742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251.64326096359997</v>
      </c>
      <c r="AO196" s="59">
        <f t="shared" si="144"/>
        <v>256.72142151189894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9.9699198109807838</v>
      </c>
      <c r="AV196" s="21">
        <f>EXP(-LN(2)/25)*AV195+(1-EXP(-LN(2)/25))/(LN(2)/25)*Calculateur!AQ196*Calculateur!AS196*VLOOKUP('Données projet'!$B$10,Paramètres!$A$1:$I$89,3,0)*0.475*44/12</f>
        <v>1.2126324886083459</v>
      </c>
      <c r="AW196" s="21">
        <f>EXP(-LN(2)/2)*AW195+(1-EXP(-LN(2)/2))/(LN(2)/2)*AQ196*AT196*VLOOKUP('Données projet'!$B$10,Paramètres!$A$1:$I$89,3,0)*0.475*44/12</f>
        <v>5.7461553459927786E-19</v>
      </c>
      <c r="AX196" s="21">
        <f t="shared" si="166"/>
        <v>11.18255229958913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199.29783428981898</v>
      </c>
      <c r="BJ196" s="59">
        <f t="shared" si="146"/>
        <v>237.32002274562547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0.4139114557962208</v>
      </c>
      <c r="BQ196" s="21">
        <f>EXP(-LN(2)/25)*BQ195+(1-EXP(-LN(2)/25))/(LN(2)/25)*Calculateur!BL196*Calculateur!BN196*VLOOKUP('Données projet'!$B$11,Paramètres!$A$1:$I$89,3,0)*0.475*44/12</f>
        <v>0.73113015799656389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1.1450416137927846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2.5579538487363607E-13</v>
      </c>
      <c r="BZ196" s="13">
        <f>BY196*VLOOKUP('Données projet'!$B$12,Paramètres!$A$1:$I$89,3,0)*VLOOKUP('Données projet'!$B$12,Paramètres!$A$1:$I$89,5,0)</f>
        <v>2.1548203221755105E-13</v>
      </c>
      <c r="CA196" s="13">
        <f t="shared" si="170"/>
        <v>2.9604251148637229E-12</v>
      </c>
      <c r="CB196" s="20">
        <f t="shared" si="171"/>
        <v>5.5313716144998842E-12</v>
      </c>
      <c r="CC196" s="59">
        <f t="shared" ref="CC196:CC203" si="195">CB196+(BT196+BU196)*44/12</f>
        <v>293.33333333333883</v>
      </c>
      <c r="CD196" s="59">
        <f ca="1">AVERAGE(OFFSET($CC$3,0,0,'Données projet'!$E$12+1,1))-AVERAGE(OFFSET($H$3,0,0,'Données projet'!$E$12+1,1))</f>
        <v>295.59075210589327</v>
      </c>
      <c r="CE196" s="59">
        <f t="shared" si="148"/>
        <v>210.41181542059576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30.2038187761597</v>
      </c>
      <c r="CL196" s="21">
        <f>EXP(-LN(2)/25)*CL195+(1-EXP(-LN(2)/25))/(LN(2)/25)*Calculateur!CG196*Calculateur!CI196*VLOOKUP('Données projet'!$B$12,Paramètres!$A$1:$I$89,3,0)*0.475*44/12</f>
        <v>3.8211637658288131</v>
      </c>
      <c r="CM196" s="21">
        <f>EXP(-LN(2)/2)*CM195+(1-EXP(-LN(2)/2))/(LN(2)/2)*CG196*CJ196*VLOOKUP('Données projet'!$B$12,Paramètres!$A$1:$I$89,3,0)*0.475*44/12</f>
        <v>2.0874671992047026E-9</v>
      </c>
      <c r="CN196" s="22">
        <f t="shared" si="172"/>
        <v>34.024982544075982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5.1727511163335289E-14</v>
      </c>
      <c r="CV196" s="13">
        <f t="shared" si="173"/>
        <v>8.3906664221915895E-13</v>
      </c>
      <c r="CW196" s="20">
        <f t="shared" si="174"/>
        <v>1.551466483807844E-12</v>
      </c>
      <c r="CX196" s="59">
        <f t="shared" ref="CX196:CX203" si="196">CW196+(CO196+CP196)*44/12</f>
        <v>293.33333333333485</v>
      </c>
      <c r="CY196" s="59">
        <f ca="1">AVERAGE(OFFSET($CX$3,0,0,'Données projet'!$E$13+1,1))-AVERAGE(OFFSET($H$3,0,0,'Données projet'!$E$13+1,1))</f>
        <v>338.22448697444298</v>
      </c>
      <c r="CZ196" s="59">
        <f t="shared" si="150"/>
        <v>293.3872365640849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22.693071885906498</v>
      </c>
      <c r="DG196" s="21">
        <f>EXP(-LN(2)/25)*DG195+(1-EXP(-LN(2)/25))/(LN(2)/25)*Calculateur!DB196*Calculateur!DD196*VLOOKUP('Données projet'!$B$13,Paramètres!$A$1:$I$89,3,0)*0.475*44/12</f>
        <v>3.2258027485437455</v>
      </c>
      <c r="DH196" s="21">
        <f>EXP(-LN(2)/2)*DH195+(1-EXP(-LN(2)/2))/(LN(2)/2)*DB196*DE196*VLOOKUP('Données projet'!$B$13,Paramètres!$A$1:$I$89,3,0)*0.475*44/12</f>
        <v>7.9403275480341439E-16</v>
      </c>
      <c r="DI196" s="22">
        <f t="shared" si="175"/>
        <v>25.918874634450244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5.6843418860808015E-13</v>
      </c>
      <c r="DP196" s="17">
        <f>DO196*VLOOKUP('Données projet'!$B$14,Paramètres!$A$1:$I$89,3,0)*VLOOKUP('Données projet'!$B$14,Paramètres!$A$1:$I$89,5,0)</f>
        <v>3.177547114319168E-13</v>
      </c>
      <c r="DQ196" s="13">
        <f t="shared" si="176"/>
        <v>4.1725404435445377E-12</v>
      </c>
      <c r="DR196" s="20">
        <f t="shared" si="177"/>
        <v>7.820597394917325E-12</v>
      </c>
      <c r="DS196" s="59">
        <f t="shared" ref="DS196:DS203" si="197">DR196+(DJ196+DK196)*44/12</f>
        <v>293.33333333334116</v>
      </c>
      <c r="DT196" s="59">
        <f ca="1">AVERAGE(OFFSET($DS$3,0,0,'Données projet'!$E$14+1,1))-AVERAGE(OFFSET($H$3,0,0,'Données projet'!$E$14+1,1))</f>
        <v>328.15217666639006</v>
      </c>
      <c r="DU196" s="59">
        <f t="shared" si="152"/>
        <v>305.59175773326308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20.194536184393819</v>
      </c>
      <c r="EB196" s="21">
        <f>EXP(-LN(2)/25)*EB195+(1-EXP(-LN(2)/25))/(LN(2)/25)*Calculateur!DW196*Calculateur!DY196*VLOOKUP('Données projet'!$B$14,Paramètres!$A$1:$I$89,3,0)*0.475*44/12</f>
        <v>2.5354343329086499</v>
      </c>
      <c r="EC196" s="21">
        <f>EXP(-LN(2)/2)*EC195+(1-EXP(-LN(2)/2))/(LN(2)/2)*DW196*DZ196*VLOOKUP('Données projet'!$B$14,Paramètres!$A$1:$I$89,3,0)*0.475*44/12</f>
        <v>2.3154424673481229E-17</v>
      </c>
      <c r="ED196" s="22">
        <f t="shared" si="178"/>
        <v>22.729970517302469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159.78276497127206</v>
      </c>
      <c r="EP196" s="59">
        <f t="shared" si="154"/>
        <v>190.72163407919857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0.48075577710584039</v>
      </c>
      <c r="EW196" s="21">
        <f>EXP(-LN(2)/25)*EW195+(1-EXP(-LN(2)/25))/(LN(2)/25)*Calculateur!ER196*Calculateur!ET196*VLOOKUP('Données projet'!$B$15,Paramètres!$A$1:$I$89,3,0)*0.475*44/12</f>
        <v>0.84920347661554918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1.3299592537213896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6.2527760746888816E-13</v>
      </c>
      <c r="FF196" s="17">
        <f>FE196*VLOOKUP('Données projet'!$B$16,Paramètres!$A$1:$I$89,3,0)*VLOOKUP('Données projet'!$B$16,Paramètres!$A$1:$I$89,5,0)</f>
        <v>5.3648818720830608E-13</v>
      </c>
      <c r="FG196" s="13">
        <f t="shared" si="182"/>
        <v>6.6281362235424649E-12</v>
      </c>
      <c r="FH196" s="20">
        <f t="shared" si="183"/>
        <v>1.2478387515390925E-11</v>
      </c>
      <c r="FI196" s="59">
        <f t="shared" ref="FI196:FI203" si="199">FH196+(EZ196+FA196)*44/12</f>
        <v>293.33333333334582</v>
      </c>
      <c r="FJ196" s="59">
        <f ca="1">AVERAGE(OFFSET($FI$3,0,0,'Données projet'!$E$16+1,1))-AVERAGE(OFFSET($H$3,0,0,'Données projet'!$E$16+1,1))</f>
        <v>337.15023592377008</v>
      </c>
      <c r="FK196" s="59">
        <f t="shared" si="156"/>
        <v>286.60608582587099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42.353957869002933</v>
      </c>
      <c r="FR196" s="21">
        <f>EXP(-LN(2)/25)*FR195+(1-EXP(-LN(2)/25))/(LN(2)/25)*Calculateur!FM196*Calculateur!FO196*VLOOKUP('Données projet'!$B$16,Paramètres!$A$1:$I$89,3,0)*0.475*44/12</f>
        <v>6.9739405744777523</v>
      </c>
      <c r="FS196" s="21">
        <f>EXP(-LN(2)/2)*FS195+(1-EXP(-LN(2)/2))/(LN(2)/2)*FM196*FP196*VLOOKUP('Données projet'!$B$16,Paramètres!$A$1:$I$89,3,0)*0.475*44/12</f>
        <v>2.0495329502652087E-7</v>
      </c>
      <c r="FT196" s="22">
        <f t="shared" si="184"/>
        <v>49.32789864843398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7.9580786405131221E-13</v>
      </c>
      <c r="GA196" s="17">
        <f>FZ196*VLOOKUP('Données projet'!$B$17,Paramètres!$A$1:$I$89,3,0)*VLOOKUP('Données projet'!$B$17,Paramètres!$A$1:$I$89,5,0)</f>
        <v>7.2004695539362725E-13</v>
      </c>
      <c r="GB196" s="13">
        <f t="shared" si="185"/>
        <v>8.5963894794935589E-12</v>
      </c>
      <c r="GC196" s="20">
        <f t="shared" si="186"/>
        <v>1.6226126790761848E-11</v>
      </c>
      <c r="GD196" s="59">
        <f t="shared" ref="GD196:GD203" si="200">GC196+(FU196+FV196)*44/12</f>
        <v>293.33333333334951</v>
      </c>
      <c r="GE196" s="59">
        <f ca="1">AVERAGE(OFFSET($GD$3,0,0,'Données projet'!$E$17+1,1))-AVERAGE(OFFSET($H$3,0,0,'Données projet'!$E$17+1,1))</f>
        <v>486.55344536255876</v>
      </c>
      <c r="GF196" s="59">
        <f t="shared" si="158"/>
        <v>231.14794884432229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126.43909862581812</v>
      </c>
      <c r="GM196" s="21">
        <f>EXP(-LN(2)/25)*GM195+(1-EXP(-LN(2)/25))/(LN(2)/25)*Calculateur!GH196*Calculateur!GJ196*VLOOKUP('Données projet'!$B$17,Paramètres!$A$1:$I$89,3,0)*0.475*44/12</f>
        <v>19.507959671141794</v>
      </c>
      <c r="GN196" s="21">
        <f>EXP(-LN(2)/2)*GN195+(1-EXP(-LN(2)/2))/(LN(2)/2)*GH196*GK196*VLOOKUP('Données projet'!$B$17,Paramètres!$A$1:$I$89,3,0)*0.475*44/12</f>
        <v>0.33202068300962151</v>
      </c>
      <c r="GO196" s="21">
        <f t="shared" si="187"/>
        <v>146.27907897996954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568.51324318573916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252.08270526008477</v>
      </c>
      <c r="T197" s="59">
        <f t="shared" ref="T197:T203" si="204">$T$3</f>
        <v>239.77811108960179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26.834843668503193</v>
      </c>
      <c r="AA197" s="21">
        <f>EXP(-LN(2)/25)*AA196+(1-EXP(-LN(2)/25))/(LN(2)/25)*Calculateur!V197*Calculateur!X197*VLOOKUP('Données projet'!$B$9,Paramètres!$A$1:$I$89,3,0)*0.475*44/12</f>
        <v>4.0327206194108749</v>
      </c>
      <c r="AB197" s="21">
        <f>EXP(-LN(2)/2)*AB196+(1-EXP(-LN(2)/2))/(LN(2)/2)*V197*Y197*VLOOKUP('Données projet'!$B$9,Paramètres!$A$1:$I$89,3,0)*0.475*44/12</f>
        <v>3.8857438365137048E-13</v>
      </c>
      <c r="AC197" s="22">
        <f t="shared" si="163"/>
        <v>30.867564287914455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251.64326096359997</v>
      </c>
      <c r="AO197" s="59">
        <f t="shared" ref="AO197:AO203" si="205">$AO$3</f>
        <v>256.72142151189894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9.774415764538082</v>
      </c>
      <c r="AV197" s="21">
        <f>EXP(-LN(2)/25)*AV196+(1-EXP(-LN(2)/25))/(LN(2)/25)*Calculateur!AQ197*Calculateur!AS197*VLOOKUP('Données projet'!$B$10,Paramètres!$A$1:$I$89,3,0)*0.475*44/12</f>
        <v>1.1794729894377796</v>
      </c>
      <c r="AW197" s="21">
        <f>EXP(-LN(2)/2)*AW196+(1-EXP(-LN(2)/2))/(LN(2)/2)*AQ197*AT197*VLOOKUP('Données projet'!$B$10,Paramètres!$A$1:$I$89,3,0)*0.475*44/12</f>
        <v>4.063145410902826E-19</v>
      </c>
      <c r="AX197" s="21">
        <f t="shared" si="166"/>
        <v>10.953888753975862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199.29783428981898</v>
      </c>
      <c r="BJ197" s="59">
        <f t="shared" ref="BJ197:BJ203" si="206">$BJ$3</f>
        <v>237.32002274562547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0.40579490460911649</v>
      </c>
      <c r="BQ197" s="21">
        <f>EXP(-LN(2)/25)*BQ196+(1-EXP(-LN(2)/25))/(LN(2)/25)*Calculateur!BL197*Calculateur!BN197*VLOOKUP('Données projet'!$B$11,Paramètres!$A$1:$I$89,3,0)*0.475*44/12</f>
        <v>0.71113736537768391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1.1169322699868003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2.5579538487363607E-13</v>
      </c>
      <c r="BZ197" s="13">
        <f>BY197*VLOOKUP('Données projet'!$B$12,Paramètres!$A$1:$I$89,3,0)*VLOOKUP('Données projet'!$B$12,Paramètres!$A$1:$I$89,5,0)</f>
        <v>2.1548203221755105E-13</v>
      </c>
      <c r="CA197" s="13">
        <f t="shared" si="170"/>
        <v>2.9604251148637229E-12</v>
      </c>
      <c r="CB197" s="20">
        <f t="shared" si="171"/>
        <v>5.5313716144998842E-12</v>
      </c>
      <c r="CC197" s="59">
        <f t="shared" si="195"/>
        <v>293.33333333333883</v>
      </c>
      <c r="CD197" s="59">
        <f ca="1">AVERAGE(OFFSET($CC$3,0,0,'Données projet'!$E$12+1,1))-AVERAGE(OFFSET($H$3,0,0,'Données projet'!$E$12+1,1))</f>
        <v>295.59075210589327</v>
      </c>
      <c r="CE197" s="59">
        <f t="shared" ref="CE197:CE203" si="207">$CE$3</f>
        <v>210.41181542059576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29.61154031246959</v>
      </c>
      <c r="CL197" s="21">
        <f>EXP(-LN(2)/25)*CL196+(1-EXP(-LN(2)/25))/(LN(2)/25)*Calculateur!CG197*Calculateur!CI197*VLOOKUP('Données projet'!$B$12,Paramètres!$A$1:$I$89,3,0)*0.475*44/12</f>
        <v>3.7166738417059553</v>
      </c>
      <c r="CM197" s="21">
        <f>EXP(-LN(2)/2)*CM196+(1-EXP(-LN(2)/2))/(LN(2)/2)*CG197*CJ197*VLOOKUP('Données projet'!$B$12,Paramètres!$A$1:$I$89,3,0)*0.475*44/12</f>
        <v>1.4760622120621349E-9</v>
      </c>
      <c r="CN197" s="22">
        <f t="shared" si="172"/>
        <v>33.328214155651608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5.1727511163335289E-14</v>
      </c>
      <c r="CV197" s="13">
        <f t="shared" si="173"/>
        <v>8.3906664221915895E-13</v>
      </c>
      <c r="CW197" s="20">
        <f t="shared" si="174"/>
        <v>1.551466483807844E-12</v>
      </c>
      <c r="CX197" s="59">
        <f t="shared" si="196"/>
        <v>293.33333333333485</v>
      </c>
      <c r="CY197" s="59">
        <f ca="1">AVERAGE(OFFSET($CX$3,0,0,'Données projet'!$E$13+1,1))-AVERAGE(OFFSET($H$3,0,0,'Données projet'!$E$13+1,1))</f>
        <v>338.22448697444298</v>
      </c>
      <c r="CZ197" s="59">
        <f t="shared" ref="CZ197:CZ203" si="208">$CZ$3</f>
        <v>293.3872365640849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22.248074587630995</v>
      </c>
      <c r="DG197" s="21">
        <f>EXP(-LN(2)/25)*DG196+(1-EXP(-LN(2)/25))/(LN(2)/25)*Calculateur!DB197*Calculateur!DD197*VLOOKUP('Données projet'!$B$13,Paramètres!$A$1:$I$89,3,0)*0.475*44/12</f>
        <v>3.1375930027472227</v>
      </c>
      <c r="DH197" s="21">
        <f>EXP(-LN(2)/2)*DH196+(1-EXP(-LN(2)/2))/(LN(2)/2)*DB197*DE197*VLOOKUP('Données projet'!$B$13,Paramètres!$A$1:$I$89,3,0)*0.475*44/12</f>
        <v>5.6146594540572948E-16</v>
      </c>
      <c r="DI197" s="22">
        <f t="shared" si="175"/>
        <v>25.385667590378219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5.6843418860808015E-13</v>
      </c>
      <c r="DP197" s="17">
        <f>DO197*VLOOKUP('Données projet'!$B$14,Paramètres!$A$1:$I$89,3,0)*VLOOKUP('Données projet'!$B$14,Paramètres!$A$1:$I$89,5,0)</f>
        <v>3.177547114319168E-13</v>
      </c>
      <c r="DQ197" s="13">
        <f t="shared" si="176"/>
        <v>4.1725404435445377E-12</v>
      </c>
      <c r="DR197" s="20">
        <f t="shared" si="177"/>
        <v>7.820597394917325E-12</v>
      </c>
      <c r="DS197" s="59">
        <f t="shared" si="197"/>
        <v>293.33333333334116</v>
      </c>
      <c r="DT197" s="59">
        <f ca="1">AVERAGE(OFFSET($DS$3,0,0,'Données projet'!$E$14+1,1))-AVERAGE(OFFSET($H$3,0,0,'Données projet'!$E$14+1,1))</f>
        <v>328.15217666639006</v>
      </c>
      <c r="DU197" s="59">
        <f t="shared" ref="DU197:DU203" si="209">$DU$3</f>
        <v>305.59175773326308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19.79853364726868</v>
      </c>
      <c r="EB197" s="21">
        <f>EXP(-LN(2)/25)*EB196+(1-EXP(-LN(2)/25))/(LN(2)/25)*Calculateur!DW197*Calculateur!DY197*VLOOKUP('Données projet'!$B$14,Paramètres!$A$1:$I$89,3,0)*0.475*44/12</f>
        <v>2.4661027477425663</v>
      </c>
      <c r="EC197" s="21">
        <f>EXP(-LN(2)/2)*EC196+(1-EXP(-LN(2)/2))/(LN(2)/2)*DW197*DZ197*VLOOKUP('Données projet'!$B$14,Paramètres!$A$1:$I$89,3,0)*0.475*44/12</f>
        <v>1.6372650701091688E-17</v>
      </c>
      <c r="ED197" s="22">
        <f t="shared" si="178"/>
        <v>22.264636395011248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159.78276497127206</v>
      </c>
      <c r="EP197" s="59">
        <f t="shared" ref="EP197:EP203" si="210">$EP$3</f>
        <v>190.72163407919857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0.4713284495488646</v>
      </c>
      <c r="EW197" s="21">
        <f>EXP(-LN(2)/25)*EW196+(1-EXP(-LN(2)/25))/(LN(2)/25)*Calculateur!ER197*Calculateur!ET197*VLOOKUP('Données projet'!$B$15,Paramètres!$A$1:$I$89,3,0)*0.475*44/12</f>
        <v>0.82598196288982706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1.2973104124386916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6.2527760746888816E-13</v>
      </c>
      <c r="FF197" s="17">
        <f>FE197*VLOOKUP('Données projet'!$B$16,Paramètres!$A$1:$I$89,3,0)*VLOOKUP('Données projet'!$B$16,Paramètres!$A$1:$I$89,5,0)</f>
        <v>5.3648818720830608E-13</v>
      </c>
      <c r="FG197" s="13">
        <f t="shared" si="182"/>
        <v>6.6281362235424649E-12</v>
      </c>
      <c r="FH197" s="20">
        <f t="shared" si="183"/>
        <v>1.2478387515390925E-11</v>
      </c>
      <c r="FI197" s="59">
        <f t="shared" si="199"/>
        <v>293.33333333334582</v>
      </c>
      <c r="FJ197" s="59">
        <f ca="1">AVERAGE(OFFSET($FI$3,0,0,'Données projet'!$E$16+1,1))-AVERAGE(OFFSET($H$3,0,0,'Données projet'!$E$16+1,1))</f>
        <v>337.15023592377008</v>
      </c>
      <c r="FK197" s="59">
        <f t="shared" ref="FK197:FK203" si="211">$FK$3</f>
        <v>286.60608582587099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41.523422588555256</v>
      </c>
      <c r="FR197" s="21">
        <f>EXP(-LN(2)/25)*FR196+(1-EXP(-LN(2)/25))/(LN(2)/25)*Calculateur!FM197*Calculateur!FO197*VLOOKUP('Données projet'!$B$16,Paramètres!$A$1:$I$89,3,0)*0.475*44/12</f>
        <v>6.7832378027250622</v>
      </c>
      <c r="FS197" s="21">
        <f>EXP(-LN(2)/2)*FS196+(1-EXP(-LN(2)/2))/(LN(2)/2)*FM197*FP197*VLOOKUP('Données projet'!$B$16,Paramètres!$A$1:$I$89,3,0)*0.475*44/12</f>
        <v>1.4492386473978001E-7</v>
      </c>
      <c r="FT197" s="22">
        <f t="shared" si="184"/>
        <v>48.306660536204184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7.9580786405131221E-13</v>
      </c>
      <c r="GA197" s="17">
        <f>FZ197*VLOOKUP('Données projet'!$B$17,Paramètres!$A$1:$I$89,3,0)*VLOOKUP('Données projet'!$B$17,Paramètres!$A$1:$I$89,5,0)</f>
        <v>7.2004695539362725E-13</v>
      </c>
      <c r="GB197" s="13">
        <f t="shared" si="185"/>
        <v>8.5963894794935589E-12</v>
      </c>
      <c r="GC197" s="20">
        <f t="shared" si="186"/>
        <v>1.6226126790761848E-11</v>
      </c>
      <c r="GD197" s="59">
        <f t="shared" si="200"/>
        <v>293.33333333334951</v>
      </c>
      <c r="GE197" s="59">
        <f ca="1">AVERAGE(OFFSET($GD$3,0,0,'Données projet'!$E$17+1,1))-AVERAGE(OFFSET($H$3,0,0,'Données projet'!$E$17+1,1))</f>
        <v>486.55344536255876</v>
      </c>
      <c r="GF197" s="59">
        <f t="shared" ref="GF197:GF203" si="212">$GF$3</f>
        <v>231.14794884432229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123.959705022001</v>
      </c>
      <c r="GM197" s="21">
        <f>EXP(-LN(2)/25)*GM196+(1-EXP(-LN(2)/25))/(LN(2)/25)*Calculateur!GH197*Calculateur!GJ197*VLOOKUP('Données projet'!$B$17,Paramètres!$A$1:$I$89,3,0)*0.475*44/12</f>
        <v>18.974513488055408</v>
      </c>
      <c r="GN197" s="21">
        <f>EXP(-LN(2)/2)*GN196+(1-EXP(-LN(2)/2))/(LN(2)/2)*GH197*GK197*VLOOKUP('Données projet'!$B$17,Paramètres!$A$1:$I$89,3,0)*0.475*44/12</f>
        <v>0.2347740764502925</v>
      </c>
      <c r="GO197" s="21">
        <f t="shared" si="187"/>
        <v>143.1689925865067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570.08214602332077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252.08270526008477</v>
      </c>
      <c r="T198" s="59">
        <f t="shared" si="204"/>
        <v>239.77811108960179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26.308628751802313</v>
      </c>
      <c r="AA198" s="21">
        <f>EXP(-LN(2)/25)*AA197+(1-EXP(-LN(2)/25))/(LN(2)/25)*Calculateur!V198*Calculateur!X198*VLOOKUP('Données projet'!$B$9,Paramètres!$A$1:$I$89,3,0)*0.475*44/12</f>
        <v>3.922445662001524</v>
      </c>
      <c r="AB198" s="21">
        <f>EXP(-LN(2)/2)*AB197+(1-EXP(-LN(2)/2))/(LN(2)/2)*V198*Y198*VLOOKUP('Données projet'!$B$9,Paramètres!$A$1:$I$89,3,0)*0.475*44/12</f>
        <v>2.7476358167526719E-13</v>
      </c>
      <c r="AC198" s="22">
        <f t="shared" si="163"/>
        <v>30.231074413804112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251.64326096359997</v>
      </c>
      <c r="AO198" s="59">
        <f t="shared" si="205"/>
        <v>256.72142151189894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9.5827454332004276</v>
      </c>
      <c r="AV198" s="21">
        <f>EXP(-LN(2)/25)*AV197+(1-EXP(-LN(2)/25))/(LN(2)/25)*Calculateur!AQ198*Calculateur!AS198*VLOOKUP('Données projet'!$B$10,Paramètres!$A$1:$I$89,3,0)*0.475*44/12</f>
        <v>1.1472202385158148</v>
      </c>
      <c r="AW198" s="21">
        <f>EXP(-LN(2)/2)*AW197+(1-EXP(-LN(2)/2))/(LN(2)/2)*AQ198*AT198*VLOOKUP('Données projet'!$B$10,Paramètres!$A$1:$I$89,3,0)*0.475*44/12</f>
        <v>2.8730776729963893E-19</v>
      </c>
      <c r="AX198" s="21">
        <f t="shared" si="166"/>
        <v>10.729965671716242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199.29783428981898</v>
      </c>
      <c r="BJ198" s="59">
        <f t="shared" si="206"/>
        <v>237.32002274562547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0.39783751404018391</v>
      </c>
      <c r="BQ198" s="21">
        <f>EXP(-LN(2)/25)*BQ197+(1-EXP(-LN(2)/25))/(LN(2)/25)*Calculateur!BL198*Calculateur!BN198*VLOOKUP('Données projet'!$B$11,Paramètres!$A$1:$I$89,3,0)*0.475*44/12</f>
        <v>0.69169127672434239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1.0895287907645264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2.5579538487363607E-13</v>
      </c>
      <c r="BZ198" s="13">
        <f>BY198*VLOOKUP('Données projet'!$B$12,Paramètres!$A$1:$I$89,3,0)*VLOOKUP('Données projet'!$B$12,Paramètres!$A$1:$I$89,5,0)</f>
        <v>2.1548203221755105E-13</v>
      </c>
      <c r="CA198" s="13">
        <f t="shared" si="170"/>
        <v>2.9604251148637229E-12</v>
      </c>
      <c r="CB198" s="20">
        <f t="shared" si="171"/>
        <v>5.5313716144998842E-12</v>
      </c>
      <c r="CC198" s="59">
        <f t="shared" si="195"/>
        <v>293.33333333333883</v>
      </c>
      <c r="CD198" s="59">
        <f ca="1">AVERAGE(OFFSET($CC$3,0,0,'Données projet'!$E$12+1,1))-AVERAGE(OFFSET($H$3,0,0,'Données projet'!$E$12+1,1))</f>
        <v>295.59075210589327</v>
      </c>
      <c r="CE198" s="59">
        <f t="shared" si="207"/>
        <v>210.41181542059576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29.03087606819825</v>
      </c>
      <c r="CL198" s="21">
        <f>EXP(-LN(2)/25)*CL197+(1-EXP(-LN(2)/25))/(LN(2)/25)*Calculateur!CG198*Calculateur!CI198*VLOOKUP('Données projet'!$B$12,Paramètres!$A$1:$I$89,3,0)*0.475*44/12</f>
        <v>3.6150412000531231</v>
      </c>
      <c r="CM198" s="21">
        <f>EXP(-LN(2)/2)*CM197+(1-EXP(-LN(2)/2))/(LN(2)/2)*CG198*CJ198*VLOOKUP('Données projet'!$B$12,Paramètres!$A$1:$I$89,3,0)*0.475*44/12</f>
        <v>1.0437335996023513E-9</v>
      </c>
      <c r="CN198" s="22">
        <f t="shared" si="172"/>
        <v>32.645917269295104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5.1727511163335289E-14</v>
      </c>
      <c r="CV198" s="13">
        <f t="shared" si="173"/>
        <v>8.3906664221915895E-13</v>
      </c>
      <c r="CW198" s="20">
        <f t="shared" si="174"/>
        <v>1.551466483807844E-12</v>
      </c>
      <c r="CX198" s="59">
        <f t="shared" si="196"/>
        <v>293.33333333333485</v>
      </c>
      <c r="CY198" s="59">
        <f ca="1">AVERAGE(OFFSET($CX$3,0,0,'Données projet'!$E$13+1,1))-AVERAGE(OFFSET($H$3,0,0,'Données projet'!$E$13+1,1))</f>
        <v>338.22448697444298</v>
      </c>
      <c r="CZ198" s="59">
        <f t="shared" si="208"/>
        <v>293.3872365640849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21.811803414953125</v>
      </c>
      <c r="DG198" s="21">
        <f>EXP(-LN(2)/25)*DG197+(1-EXP(-LN(2)/25))/(LN(2)/25)*Calculateur!DB198*Calculateur!DD198*VLOOKUP('Données projet'!$B$13,Paramètres!$A$1:$I$89,3,0)*0.475*44/12</f>
        <v>3.0517953570882548</v>
      </c>
      <c r="DH198" s="21">
        <f>EXP(-LN(2)/2)*DH197+(1-EXP(-LN(2)/2))/(LN(2)/2)*DB198*DE198*VLOOKUP('Données projet'!$B$13,Paramètres!$A$1:$I$89,3,0)*0.475*44/12</f>
        <v>3.9701637740170719E-16</v>
      </c>
      <c r="DI198" s="22">
        <f t="shared" si="175"/>
        <v>24.863598772041382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5.6843418860808015E-13</v>
      </c>
      <c r="DP198" s="17">
        <f>DO198*VLOOKUP('Données projet'!$B$14,Paramètres!$A$1:$I$89,3,0)*VLOOKUP('Données projet'!$B$14,Paramètres!$A$1:$I$89,5,0)</f>
        <v>3.177547114319168E-13</v>
      </c>
      <c r="DQ198" s="13">
        <f t="shared" si="176"/>
        <v>4.1725404435445377E-12</v>
      </c>
      <c r="DR198" s="20">
        <f t="shared" si="177"/>
        <v>7.820597394917325E-12</v>
      </c>
      <c r="DS198" s="59">
        <f t="shared" si="197"/>
        <v>293.33333333334116</v>
      </c>
      <c r="DT198" s="59">
        <f ca="1">AVERAGE(OFFSET($DS$3,0,0,'Données projet'!$E$14+1,1))-AVERAGE(OFFSET($H$3,0,0,'Données projet'!$E$14+1,1))</f>
        <v>328.15217666639006</v>
      </c>
      <c r="DU198" s="59">
        <f t="shared" si="209"/>
        <v>305.59175773326308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19.41029647835887</v>
      </c>
      <c r="EB198" s="21">
        <f>EXP(-LN(2)/25)*EB197+(1-EXP(-LN(2)/25))/(LN(2)/25)*Calculateur!DW198*Calculateur!DY198*VLOOKUP('Données projet'!$B$14,Paramètres!$A$1:$I$89,3,0)*0.475*44/12</f>
        <v>2.3986670384188389</v>
      </c>
      <c r="EC198" s="21">
        <f>EXP(-LN(2)/2)*EC197+(1-EXP(-LN(2)/2))/(LN(2)/2)*DW198*DZ198*VLOOKUP('Données projet'!$B$14,Paramètres!$A$1:$I$89,3,0)*0.475*44/12</f>
        <v>1.1577212336740615E-17</v>
      </c>
      <c r="ED198" s="22">
        <f t="shared" si="178"/>
        <v>21.808963516777709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159.78276497127206</v>
      </c>
      <c r="EP198" s="59">
        <f t="shared" si="210"/>
        <v>190.72163407919857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0.46208598613517909</v>
      </c>
      <c r="EW198" s="21">
        <f>EXP(-LN(2)/25)*EW197+(1-EXP(-LN(2)/25))/(LN(2)/25)*Calculateur!ER198*Calculateur!ET198*VLOOKUP('Données projet'!$B$15,Paramètres!$A$1:$I$89,3,0)*0.475*44/12</f>
        <v>0.80339544267810115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1.2654814288132803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6.2527760746888816E-13</v>
      </c>
      <c r="FF198" s="17">
        <f>FE198*VLOOKUP('Données projet'!$B$16,Paramètres!$A$1:$I$89,3,0)*VLOOKUP('Données projet'!$B$16,Paramètres!$A$1:$I$89,5,0)</f>
        <v>5.3648818720830608E-13</v>
      </c>
      <c r="FG198" s="13">
        <f t="shared" si="182"/>
        <v>6.6281362235424649E-12</v>
      </c>
      <c r="FH198" s="20">
        <f t="shared" si="183"/>
        <v>1.2478387515390925E-11</v>
      </c>
      <c r="FI198" s="59">
        <f t="shared" si="199"/>
        <v>293.33333333334582</v>
      </c>
      <c r="FJ198" s="59">
        <f ca="1">AVERAGE(OFFSET($FI$3,0,0,'Données projet'!$E$16+1,1))-AVERAGE(OFFSET($H$3,0,0,'Données projet'!$E$16+1,1))</f>
        <v>337.15023592377008</v>
      </c>
      <c r="FK198" s="59">
        <f t="shared" si="211"/>
        <v>286.60608582587099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40.709173598380652</v>
      </c>
      <c r="FR198" s="21">
        <f>EXP(-LN(2)/25)*FR197+(1-EXP(-LN(2)/25))/(LN(2)/25)*Calculateur!FM198*Calculateur!FO198*VLOOKUP('Données projet'!$B$16,Paramètres!$A$1:$I$89,3,0)*0.475*44/12</f>
        <v>6.5977498082945729</v>
      </c>
      <c r="FS198" s="21">
        <f>EXP(-LN(2)/2)*FS197+(1-EXP(-LN(2)/2))/(LN(2)/2)*FM198*FP198*VLOOKUP('Données projet'!$B$16,Paramètres!$A$1:$I$89,3,0)*0.475*44/12</f>
        <v>1.0247664751326044E-7</v>
      </c>
      <c r="FT198" s="22">
        <f t="shared" si="184"/>
        <v>47.306923509151872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7.9580786405131221E-13</v>
      </c>
      <c r="GA198" s="17">
        <f>FZ198*VLOOKUP('Données projet'!$B$17,Paramètres!$A$1:$I$89,3,0)*VLOOKUP('Données projet'!$B$17,Paramètres!$A$1:$I$89,5,0)</f>
        <v>7.2004695539362725E-13</v>
      </c>
      <c r="GB198" s="13">
        <f t="shared" si="185"/>
        <v>8.5963894794935589E-12</v>
      </c>
      <c r="GC198" s="20">
        <f t="shared" si="186"/>
        <v>1.6226126790761848E-11</v>
      </c>
      <c r="GD198" s="59">
        <f t="shared" si="200"/>
        <v>293.33333333334951</v>
      </c>
      <c r="GE198" s="59">
        <f ca="1">AVERAGE(OFFSET($GD$3,0,0,'Données projet'!$E$17+1,1))-AVERAGE(OFFSET($H$3,0,0,'Données projet'!$E$17+1,1))</f>
        <v>486.55344536255876</v>
      </c>
      <c r="GF198" s="59">
        <f t="shared" si="212"/>
        <v>231.14794884432229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121.52893081447397</v>
      </c>
      <c r="GM198" s="21">
        <f>EXP(-LN(2)/25)*GM197+(1-EXP(-LN(2)/25))/(LN(2)/25)*Calculateur!GH198*Calculateur!GJ198*VLOOKUP('Données projet'!$B$17,Paramètres!$A$1:$I$89,3,0)*0.475*44/12</f>
        <v>18.455654418898234</v>
      </c>
      <c r="GN198" s="21">
        <f>EXP(-LN(2)/2)*GN197+(1-EXP(-LN(2)/2))/(LN(2)/2)*GH198*GK198*VLOOKUP('Données projet'!$B$17,Paramètres!$A$1:$I$89,3,0)*0.475*44/12</f>
        <v>0.16601034150481075</v>
      </c>
      <c r="GO198" s="21">
        <f t="shared" si="187"/>
        <v>140.150595574877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571.65087466258183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252.08270526008477</v>
      </c>
      <c r="T199" s="59">
        <f t="shared" si="204"/>
        <v>239.77811108960179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25.792732588658531</v>
      </c>
      <c r="AA199" s="21">
        <f>EXP(-LN(2)/25)*AA198+(1-EXP(-LN(2)/25))/(LN(2)/25)*Calculateur!V199*Calculateur!X199*VLOOKUP('Données projet'!$B$9,Paramètres!$A$1:$I$89,3,0)*0.475*44/12</f>
        <v>3.8151861791016399</v>
      </c>
      <c r="AB199" s="21">
        <f>EXP(-LN(2)/2)*AB198+(1-EXP(-LN(2)/2))/(LN(2)/2)*V199*Y199*VLOOKUP('Données projet'!$B$9,Paramètres!$A$1:$I$89,3,0)*0.475*44/12</f>
        <v>1.9428719182568524E-13</v>
      </c>
      <c r="AC199" s="22">
        <f t="shared" si="163"/>
        <v>29.607918767760367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251.64326096359997</v>
      </c>
      <c r="AO199" s="59">
        <f t="shared" si="205"/>
        <v>256.72142151189894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9.394833640152946</v>
      </c>
      <c r="AV199" s="21">
        <f>EXP(-LN(2)/25)*AV198+(1-EXP(-LN(2)/25))/(LN(2)/25)*Calculateur!AQ199*Calculateur!AS199*VLOOKUP('Données projet'!$B$10,Paramètres!$A$1:$I$89,3,0)*0.475*44/12</f>
        <v>1.1158494407639095</v>
      </c>
      <c r="AW199" s="21">
        <f>EXP(-LN(2)/2)*AW198+(1-EXP(-LN(2)/2))/(LN(2)/2)*AQ199*AT199*VLOOKUP('Données projet'!$B$10,Paramètres!$A$1:$I$89,3,0)*0.475*44/12</f>
        <v>2.031572705451413E-19</v>
      </c>
      <c r="AX199" s="21">
        <f t="shared" si="166"/>
        <v>10.510683080916856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199.29783428981898</v>
      </c>
      <c r="BJ199" s="59">
        <f t="shared" si="206"/>
        <v>237.32002274562547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0.39003616304677907</v>
      </c>
      <c r="BQ199" s="21">
        <f>EXP(-LN(2)/25)*BQ198+(1-EXP(-LN(2)/25))/(LN(2)/25)*Calculateur!BL199*Calculateur!BN199*VLOOKUP('Données projet'!$B$11,Paramètres!$A$1:$I$89,3,0)*0.475*44/12</f>
        <v>0.67277694238785191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1.062813105434631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2.5579538487363607E-13</v>
      </c>
      <c r="BZ199" s="13">
        <f>BY199*VLOOKUP('Données projet'!$B$12,Paramètres!$A$1:$I$89,3,0)*VLOOKUP('Données projet'!$B$12,Paramètres!$A$1:$I$89,5,0)</f>
        <v>2.1548203221755105E-13</v>
      </c>
      <c r="CA199" s="13">
        <f t="shared" si="170"/>
        <v>2.9604251148637229E-12</v>
      </c>
      <c r="CB199" s="20">
        <f t="shared" si="171"/>
        <v>5.5313716144998842E-12</v>
      </c>
      <c r="CC199" s="59">
        <f t="shared" si="195"/>
        <v>293.33333333333883</v>
      </c>
      <c r="CD199" s="59">
        <f ca="1">AVERAGE(OFFSET($CC$3,0,0,'Données projet'!$E$12+1,1))-AVERAGE(OFFSET($H$3,0,0,'Données projet'!$E$12+1,1))</f>
        <v>295.59075210589327</v>
      </c>
      <c r="CE199" s="59">
        <f t="shared" si="207"/>
        <v>210.41181542059576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28.461598295586853</v>
      </c>
      <c r="CL199" s="21">
        <f>EXP(-LN(2)/25)*CL198+(1-EXP(-LN(2)/25))/(LN(2)/25)*Calculateur!CG199*Calculateur!CI199*VLOOKUP('Données projet'!$B$12,Paramètres!$A$1:$I$89,3,0)*0.475*44/12</f>
        <v>3.5161877083309161</v>
      </c>
      <c r="CM199" s="21">
        <f>EXP(-LN(2)/2)*CM198+(1-EXP(-LN(2)/2))/(LN(2)/2)*CG199*CJ199*VLOOKUP('Données projet'!$B$12,Paramètres!$A$1:$I$89,3,0)*0.475*44/12</f>
        <v>7.3803110603106745E-10</v>
      </c>
      <c r="CN199" s="22">
        <f t="shared" si="172"/>
        <v>31.977786004655801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5.1727511163335289E-14</v>
      </c>
      <c r="CV199" s="13">
        <f t="shared" si="173"/>
        <v>8.3906664221915895E-13</v>
      </c>
      <c r="CW199" s="20">
        <f t="shared" si="174"/>
        <v>1.551466483807844E-12</v>
      </c>
      <c r="CX199" s="59">
        <f t="shared" si="196"/>
        <v>293.33333333333485</v>
      </c>
      <c r="CY199" s="59">
        <f ca="1">AVERAGE(OFFSET($CX$3,0,0,'Données projet'!$E$13+1,1))-AVERAGE(OFFSET($H$3,0,0,'Données projet'!$E$13+1,1))</f>
        <v>338.22448697444298</v>
      </c>
      <c r="CZ199" s="59">
        <f t="shared" si="208"/>
        <v>293.3872365640849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21.384087253872327</v>
      </c>
      <c r="DG199" s="21">
        <f>EXP(-LN(2)/25)*DG198+(1-EXP(-LN(2)/25))/(LN(2)/25)*Calculateur!DB199*Calculateur!DD199*VLOOKUP('Données projet'!$B$13,Paramètres!$A$1:$I$89,3,0)*0.475*44/12</f>
        <v>2.9683438525617336</v>
      </c>
      <c r="DH199" s="21">
        <f>EXP(-LN(2)/2)*DH198+(1-EXP(-LN(2)/2))/(LN(2)/2)*DB199*DE199*VLOOKUP('Données projet'!$B$13,Paramètres!$A$1:$I$89,3,0)*0.475*44/12</f>
        <v>2.8073297270286474E-16</v>
      </c>
      <c r="DI199" s="22">
        <f t="shared" si="175"/>
        <v>24.352431106434061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5.6843418860808015E-13</v>
      </c>
      <c r="DP199" s="17">
        <f>DO199*VLOOKUP('Données projet'!$B$14,Paramètres!$A$1:$I$89,3,0)*VLOOKUP('Données projet'!$B$14,Paramètres!$A$1:$I$89,5,0)</f>
        <v>3.177547114319168E-13</v>
      </c>
      <c r="DQ199" s="13">
        <f t="shared" si="176"/>
        <v>4.1725404435445377E-12</v>
      </c>
      <c r="DR199" s="20">
        <f t="shared" si="177"/>
        <v>7.820597394917325E-12</v>
      </c>
      <c r="DS199" s="59">
        <f t="shared" si="197"/>
        <v>293.33333333334116</v>
      </c>
      <c r="DT199" s="59">
        <f ca="1">AVERAGE(OFFSET($DS$3,0,0,'Données projet'!$E$14+1,1))-AVERAGE(OFFSET($H$3,0,0,'Données projet'!$E$14+1,1))</f>
        <v>328.15217666639006</v>
      </c>
      <c r="DU199" s="59">
        <f t="shared" si="209"/>
        <v>305.59175773326308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19.029672403530089</v>
      </c>
      <c r="EB199" s="21">
        <f>EXP(-LN(2)/25)*EB198+(1-EXP(-LN(2)/25))/(LN(2)/25)*Calculateur!DW199*Calculateur!DY199*VLOOKUP('Données projet'!$B$14,Paramètres!$A$1:$I$89,3,0)*0.475*44/12</f>
        <v>2.3330753621128584</v>
      </c>
      <c r="EC199" s="21">
        <f>EXP(-LN(2)/2)*EC198+(1-EXP(-LN(2)/2))/(LN(2)/2)*DW199*DZ199*VLOOKUP('Données projet'!$B$14,Paramètres!$A$1:$I$89,3,0)*0.475*44/12</f>
        <v>8.1863253505458441E-18</v>
      </c>
      <c r="ED199" s="22">
        <f t="shared" si="178"/>
        <v>21.362747765642947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159.78276497127206</v>
      </c>
      <c r="EP199" s="59">
        <f t="shared" si="210"/>
        <v>190.72163407919857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0.45302476179168993</v>
      </c>
      <c r="EW199" s="21">
        <f>EXP(-LN(2)/25)*EW198+(1-EXP(-LN(2)/25))/(LN(2)/25)*Calculateur!ER199*Calculateur!ET199*VLOOKUP('Données projet'!$B$15,Paramètres!$A$1:$I$89,3,0)*0.475*44/12</f>
        <v>0.78142655204933831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1.2344513138410282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6.2527760746888816E-13</v>
      </c>
      <c r="FF199" s="17">
        <f>FE199*VLOOKUP('Données projet'!$B$16,Paramètres!$A$1:$I$89,3,0)*VLOOKUP('Données projet'!$B$16,Paramètres!$A$1:$I$89,5,0)</f>
        <v>5.3648818720830608E-13</v>
      </c>
      <c r="FG199" s="13">
        <f t="shared" si="182"/>
        <v>6.6281362235424649E-12</v>
      </c>
      <c r="FH199" s="20">
        <f t="shared" si="183"/>
        <v>1.2478387515390925E-11</v>
      </c>
      <c r="FI199" s="59">
        <f t="shared" si="199"/>
        <v>293.33333333334582</v>
      </c>
      <c r="FJ199" s="59">
        <f ca="1">AVERAGE(OFFSET($FI$3,0,0,'Données projet'!$E$16+1,1))-AVERAGE(OFFSET($H$3,0,0,'Données projet'!$E$16+1,1))</f>
        <v>337.15023592377008</v>
      </c>
      <c r="FK199" s="59">
        <f t="shared" si="211"/>
        <v>286.60608582587099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39.910891534260529</v>
      </c>
      <c r="FR199" s="21">
        <f>EXP(-LN(2)/25)*FR198+(1-EXP(-LN(2)/25))/(LN(2)/25)*Calculateur!FM199*Calculateur!FO199*VLOOKUP('Données projet'!$B$16,Paramètres!$A$1:$I$89,3,0)*0.475*44/12</f>
        <v>6.4173339928261743</v>
      </c>
      <c r="FS199" s="21">
        <f>EXP(-LN(2)/2)*FS198+(1-EXP(-LN(2)/2))/(LN(2)/2)*FM199*FP199*VLOOKUP('Données projet'!$B$16,Paramètres!$A$1:$I$89,3,0)*0.475*44/12</f>
        <v>7.2461932369890006E-8</v>
      </c>
      <c r="FT199" s="22">
        <f t="shared" si="184"/>
        <v>46.328225599548631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7.9580786405131221E-13</v>
      </c>
      <c r="GA199" s="17">
        <f>FZ199*VLOOKUP('Données projet'!$B$17,Paramètres!$A$1:$I$89,3,0)*VLOOKUP('Données projet'!$B$17,Paramètres!$A$1:$I$89,5,0)</f>
        <v>7.2004695539362725E-13</v>
      </c>
      <c r="GB199" s="13">
        <f t="shared" si="185"/>
        <v>8.5963894794935589E-12</v>
      </c>
      <c r="GC199" s="20">
        <f t="shared" si="186"/>
        <v>1.6226126790761848E-11</v>
      </c>
      <c r="GD199" s="59">
        <f t="shared" si="200"/>
        <v>293.33333333334951</v>
      </c>
      <c r="GE199" s="59">
        <f ca="1">AVERAGE(OFFSET($GD$3,0,0,'Données projet'!$E$17+1,1))-AVERAGE(OFFSET($H$3,0,0,'Données projet'!$E$17+1,1))</f>
        <v>486.55344536255876</v>
      </c>
      <c r="GF199" s="59">
        <f t="shared" si="212"/>
        <v>231.14794884432229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119.14582260653066</v>
      </c>
      <c r="GM199" s="21">
        <f>EXP(-LN(2)/25)*GM198+(1-EXP(-LN(2)/25))/(LN(2)/25)*Calculateur!GH199*Calculateur!GJ199*VLOOKUP('Données projet'!$B$17,Paramètres!$A$1:$I$89,3,0)*0.475*44/12</f>
        <v>17.950983578272776</v>
      </c>
      <c r="GN199" s="21">
        <f>EXP(-LN(2)/2)*GN198+(1-EXP(-LN(2)/2))/(LN(2)/2)*GH199*GK199*VLOOKUP('Données projet'!$B$17,Paramètres!$A$1:$I$89,3,0)*0.475*44/12</f>
        <v>0.11738703822514625</v>
      </c>
      <c r="GO199" s="21">
        <f t="shared" si="187"/>
        <v>137.21419322302856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573.21943009545589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252.08270526008477</v>
      </c>
      <c r="T200" s="59">
        <f t="shared" si="204"/>
        <v>239.77811108960179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25.28695283460841</v>
      </c>
      <c r="AA200" s="21">
        <f>EXP(-LN(2)/25)*AA199+(1-EXP(-LN(2)/25))/(LN(2)/25)*Calculateur!V200*Calculateur!X200*VLOOKUP('Données projet'!$B$9,Paramètres!$A$1:$I$89,3,0)*0.475*44/12</f>
        <v>3.710859712402184</v>
      </c>
      <c r="AB200" s="21">
        <f>EXP(-LN(2)/2)*AB199+(1-EXP(-LN(2)/2))/(LN(2)/2)*V200*Y200*VLOOKUP('Données projet'!$B$9,Paramètres!$A$1:$I$89,3,0)*0.475*44/12</f>
        <v>1.373817908376336E-13</v>
      </c>
      <c r="AC200" s="22">
        <f t="shared" si="163"/>
        <v>28.997812547010732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251.64326096359997</v>
      </c>
      <c r="AO200" s="59">
        <f t="shared" si="205"/>
        <v>256.72142151189894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9.2106066827522479</v>
      </c>
      <c r="AV200" s="21">
        <f>EXP(-LN(2)/25)*AV199+(1-EXP(-LN(2)/25))/(LN(2)/25)*Calculateur!AQ200*Calculateur!AS200*VLOOKUP('Données projet'!$B$10,Paramètres!$A$1:$I$89,3,0)*0.475*44/12</f>
        <v>1.0853364791262485</v>
      </c>
      <c r="AW200" s="21">
        <f>EXP(-LN(2)/2)*AW199+(1-EXP(-LN(2)/2))/(LN(2)/2)*AQ200*AT200*VLOOKUP('Données projet'!$B$10,Paramètres!$A$1:$I$89,3,0)*0.475*44/12</f>
        <v>1.4365388364981947E-19</v>
      </c>
      <c r="AX200" s="21">
        <f t="shared" si="166"/>
        <v>10.295943161878496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199.29783428981898</v>
      </c>
      <c r="BJ200" s="59">
        <f t="shared" si="206"/>
        <v>237.32002274562547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0.38238779178800064</v>
      </c>
      <c r="BQ200" s="21">
        <f>EXP(-LN(2)/25)*BQ199+(1-EXP(-LN(2)/25))/(LN(2)/25)*Calculateur!BL200*Calculateur!BN200*VLOOKUP('Données projet'!$B$11,Paramètres!$A$1:$I$89,3,0)*0.475*44/12</f>
        <v>0.65437982151845431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1.0367676133064549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2.5579538487363607E-13</v>
      </c>
      <c r="BZ200" s="13">
        <f>BY200*VLOOKUP('Données projet'!$B$12,Paramètres!$A$1:$I$89,3,0)*VLOOKUP('Données projet'!$B$12,Paramètres!$A$1:$I$89,5,0)</f>
        <v>2.1548203221755105E-13</v>
      </c>
      <c r="CA200" s="13">
        <f t="shared" si="170"/>
        <v>2.9604251148637229E-12</v>
      </c>
      <c r="CB200" s="20">
        <f t="shared" si="171"/>
        <v>5.5313716144998842E-12</v>
      </c>
      <c r="CC200" s="59">
        <f t="shared" si="195"/>
        <v>293.33333333333883</v>
      </c>
      <c r="CD200" s="59">
        <f ca="1">AVERAGE(OFFSET($CC$3,0,0,'Données projet'!$E$12+1,1))-AVERAGE(OFFSET($H$3,0,0,'Données projet'!$E$12+1,1))</f>
        <v>295.59075210589327</v>
      </c>
      <c r="CE200" s="59">
        <f t="shared" si="207"/>
        <v>210.41181542059576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27.903483712871211</v>
      </c>
      <c r="CL200" s="21">
        <f>EXP(-LN(2)/25)*CL199+(1-EXP(-LN(2)/25))/(LN(2)/25)*Calculateur!CG200*Calculateur!CI200*VLOOKUP('Données projet'!$B$12,Paramètres!$A$1:$I$89,3,0)*0.475*44/12</f>
        <v>3.4200373705383318</v>
      </c>
      <c r="CM200" s="21">
        <f>EXP(-LN(2)/2)*CM199+(1-EXP(-LN(2)/2))/(LN(2)/2)*CG200*CJ200*VLOOKUP('Données projet'!$B$12,Paramètres!$A$1:$I$89,3,0)*0.475*44/12</f>
        <v>5.2186679980117565E-10</v>
      </c>
      <c r="CN200" s="22">
        <f t="shared" si="172"/>
        <v>31.323521083931407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5.1727511163335289E-14</v>
      </c>
      <c r="CV200" s="13">
        <f t="shared" si="173"/>
        <v>8.3906664221915895E-13</v>
      </c>
      <c r="CW200" s="20">
        <f t="shared" si="174"/>
        <v>1.551466483807844E-12</v>
      </c>
      <c r="CX200" s="59">
        <f t="shared" si="196"/>
        <v>293.33333333333485</v>
      </c>
      <c r="CY200" s="59">
        <f ca="1">AVERAGE(OFFSET($CX$3,0,0,'Données projet'!$E$13+1,1))-AVERAGE(OFFSET($H$3,0,0,'Données projet'!$E$13+1,1))</f>
        <v>338.22448697444298</v>
      </c>
      <c r="CZ200" s="59">
        <f t="shared" si="208"/>
        <v>293.3872365640849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20.964758345829225</v>
      </c>
      <c r="DG200" s="21">
        <f>EXP(-LN(2)/25)*DG199+(1-EXP(-LN(2)/25))/(LN(2)/25)*Calculateur!DB200*Calculateur!DD200*VLOOKUP('Données projet'!$B$13,Paramètres!$A$1:$I$89,3,0)*0.475*44/12</f>
        <v>2.8871743338150142</v>
      </c>
      <c r="DH200" s="21">
        <f>EXP(-LN(2)/2)*DH199+(1-EXP(-LN(2)/2))/(LN(2)/2)*DB200*DE200*VLOOKUP('Données projet'!$B$13,Paramètres!$A$1:$I$89,3,0)*0.475*44/12</f>
        <v>1.985081887008536E-16</v>
      </c>
      <c r="DI200" s="22">
        <f t="shared" si="175"/>
        <v>23.851932679644239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5.6843418860808015E-13</v>
      </c>
      <c r="DP200" s="17">
        <f>DO200*VLOOKUP('Données projet'!$B$14,Paramètres!$A$1:$I$89,3,0)*VLOOKUP('Données projet'!$B$14,Paramètres!$A$1:$I$89,5,0)</f>
        <v>3.177547114319168E-13</v>
      </c>
      <c r="DQ200" s="13">
        <f t="shared" si="176"/>
        <v>4.1725404435445377E-12</v>
      </c>
      <c r="DR200" s="20">
        <f t="shared" si="177"/>
        <v>7.820597394917325E-12</v>
      </c>
      <c r="DS200" s="59">
        <f t="shared" si="197"/>
        <v>293.33333333334116</v>
      </c>
      <c r="DT200" s="59">
        <f ca="1">AVERAGE(OFFSET($DS$3,0,0,'Données projet'!$E$14+1,1))-AVERAGE(OFFSET($H$3,0,0,'Données projet'!$E$14+1,1))</f>
        <v>328.15217666639006</v>
      </c>
      <c r="DU200" s="59">
        <f t="shared" si="209"/>
        <v>305.59175773326308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18.656512134650939</v>
      </c>
      <c r="EB200" s="21">
        <f>EXP(-LN(2)/25)*EB199+(1-EXP(-LN(2)/25))/(LN(2)/25)*Calculateur!DW200*Calculateur!DY200*VLOOKUP('Données projet'!$B$14,Paramètres!$A$1:$I$89,3,0)*0.475*44/12</f>
        <v>2.2692772936447811</v>
      </c>
      <c r="EC200" s="21">
        <f>EXP(-LN(2)/2)*EC199+(1-EXP(-LN(2)/2))/(LN(2)/2)*DW200*DZ200*VLOOKUP('Données projet'!$B$14,Paramètres!$A$1:$I$89,3,0)*0.475*44/12</f>
        <v>5.7886061683703073E-18</v>
      </c>
      <c r="ED200" s="22">
        <f t="shared" si="178"/>
        <v>20.925789428295719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159.78276497127206</v>
      </c>
      <c r="EP200" s="59">
        <f t="shared" si="210"/>
        <v>190.72163407919857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0.44414122253077548</v>
      </c>
      <c r="EW200" s="21">
        <f>EXP(-LN(2)/25)*EW199+(1-EXP(-LN(2)/25))/(LN(2)/25)*Calculateur!ER200*Calculateur!ET200*VLOOKUP('Données projet'!$B$15,Paramètres!$A$1:$I$89,3,0)*0.475*44/12</f>
        <v>0.76005840189011276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1.2041996244208883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6.2527760746888816E-13</v>
      </c>
      <c r="FF200" s="17">
        <f>FE200*VLOOKUP('Données projet'!$B$16,Paramètres!$A$1:$I$89,3,0)*VLOOKUP('Données projet'!$B$16,Paramètres!$A$1:$I$89,5,0)</f>
        <v>5.3648818720830608E-13</v>
      </c>
      <c r="FG200" s="13">
        <f t="shared" si="182"/>
        <v>6.6281362235424649E-12</v>
      </c>
      <c r="FH200" s="20">
        <f t="shared" si="183"/>
        <v>1.2478387515390925E-11</v>
      </c>
      <c r="FI200" s="59">
        <f t="shared" si="199"/>
        <v>293.33333333334582</v>
      </c>
      <c r="FJ200" s="59">
        <f ca="1">AVERAGE(OFFSET($FI$3,0,0,'Données projet'!$E$16+1,1))-AVERAGE(OFFSET($H$3,0,0,'Données projet'!$E$16+1,1))</f>
        <v>337.15023592377008</v>
      </c>
      <c r="FK200" s="59">
        <f t="shared" si="211"/>
        <v>286.60608582587099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39.128263294513822</v>
      </c>
      <c r="FR200" s="21">
        <f>EXP(-LN(2)/25)*FR199+(1-EXP(-LN(2)/25))/(LN(2)/25)*Calculateur!FM200*Calculateur!FO200*VLOOKUP('Données projet'!$B$16,Paramètres!$A$1:$I$89,3,0)*0.475*44/12</f>
        <v>6.2418516573194145</v>
      </c>
      <c r="FS200" s="21">
        <f>EXP(-LN(2)/2)*FS199+(1-EXP(-LN(2)/2))/(LN(2)/2)*FM200*FP200*VLOOKUP('Données projet'!$B$16,Paramètres!$A$1:$I$89,3,0)*0.475*44/12</f>
        <v>5.1238323756630218E-8</v>
      </c>
      <c r="FT200" s="22">
        <f t="shared" si="184"/>
        <v>45.370115003071561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7.9580786405131221E-13</v>
      </c>
      <c r="GA200" s="17">
        <f>FZ200*VLOOKUP('Données projet'!$B$17,Paramètres!$A$1:$I$89,3,0)*VLOOKUP('Données projet'!$B$17,Paramètres!$A$1:$I$89,5,0)</f>
        <v>7.2004695539362725E-13</v>
      </c>
      <c r="GB200" s="13">
        <f t="shared" si="185"/>
        <v>8.5963894794935589E-12</v>
      </c>
      <c r="GC200" s="20">
        <f t="shared" si="186"/>
        <v>1.6226126790761848E-11</v>
      </c>
      <c r="GD200" s="59">
        <f t="shared" si="200"/>
        <v>293.33333333334951</v>
      </c>
      <c r="GE200" s="59">
        <f ca="1">AVERAGE(OFFSET($GD$3,0,0,'Données projet'!$E$17+1,1))-AVERAGE(OFFSET($H$3,0,0,'Données projet'!$E$17+1,1))</f>
        <v>486.55344536255876</v>
      </c>
      <c r="GF200" s="59">
        <f t="shared" si="212"/>
        <v>231.14794884432229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116.80944569699264</v>
      </c>
      <c r="GM200" s="21">
        <f>EXP(-LN(2)/25)*GM199+(1-EXP(-LN(2)/25))/(LN(2)/25)*Calculateur!GH200*Calculateur!GJ200*VLOOKUP('Données projet'!$B$17,Paramètres!$A$1:$I$89,3,0)*0.475*44/12</f>
        <v>17.460112988323708</v>
      </c>
      <c r="GN200" s="21">
        <f>EXP(-LN(2)/2)*GN199+(1-EXP(-LN(2)/2))/(LN(2)/2)*GH200*GK200*VLOOKUP('Données projet'!$B$17,Paramètres!$A$1:$I$89,3,0)*0.475*44/12</f>
        <v>8.3005170752405377E-2</v>
      </c>
      <c r="GO200" s="21">
        <f t="shared" si="187"/>
        <v>134.35256385606877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574.78781330322295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252.08270526008477</v>
      </c>
      <c r="T201" s="59">
        <f t="shared" si="204"/>
        <v>239.77811108960179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24.791091113040022</v>
      </c>
      <c r="AA201" s="21">
        <f>EXP(-LN(2)/25)*AA200+(1-EXP(-LN(2)/25))/(LN(2)/25)*Calculateur!V201*Calculateur!X201*VLOOKUP('Données projet'!$B$9,Paramètres!$A$1:$I$89,3,0)*0.475*44/12</f>
        <v>3.6093860584209154</v>
      </c>
      <c r="AB201" s="21">
        <f>EXP(-LN(2)/2)*AB200+(1-EXP(-LN(2)/2))/(LN(2)/2)*V201*Y201*VLOOKUP('Données projet'!$B$9,Paramètres!$A$1:$I$89,3,0)*0.475*44/12</f>
        <v>9.714359591284262E-14</v>
      </c>
      <c r="AC201" s="22">
        <f t="shared" si="163"/>
        <v>28.400477171461034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251.64326096359997</v>
      </c>
      <c r="AO201" s="59">
        <f t="shared" si="205"/>
        <v>256.72142151189894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9.0299923036188297</v>
      </c>
      <c r="AV201" s="21">
        <f>EXP(-LN(2)/25)*AV200+(1-EXP(-LN(2)/25))/(LN(2)/25)*Calculateur!AQ201*Calculateur!AS201*VLOOKUP('Données projet'!$B$10,Paramètres!$A$1:$I$89,3,0)*0.475*44/12</f>
        <v>1.0556578960291765</v>
      </c>
      <c r="AW201" s="21">
        <f>EXP(-LN(2)/2)*AW200+(1-EXP(-LN(2)/2))/(LN(2)/2)*AQ201*AT201*VLOOKUP('Données projet'!$B$10,Paramètres!$A$1:$I$89,3,0)*0.475*44/12</f>
        <v>1.0157863527257065E-19</v>
      </c>
      <c r="AX201" s="21">
        <f t="shared" si="166"/>
        <v>10.085650199648006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199.29783428981898</v>
      </c>
      <c r="BJ201" s="59">
        <f t="shared" si="206"/>
        <v>237.32002274562547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0.37488940042456104</v>
      </c>
      <c r="BQ201" s="21">
        <f>EXP(-LN(2)/25)*BQ200+(1-EXP(-LN(2)/25))/(LN(2)/25)*Calculateur!BL201*Calculateur!BN201*VLOOKUP('Données projet'!$B$11,Paramètres!$A$1:$I$89,3,0)*0.475*44/12</f>
        <v>0.636485770886693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1.011375171311254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2.5579538487363607E-13</v>
      </c>
      <c r="BZ201" s="13">
        <f>BY201*VLOOKUP('Données projet'!$B$12,Paramètres!$A$1:$I$89,3,0)*VLOOKUP('Données projet'!$B$12,Paramètres!$A$1:$I$89,5,0)</f>
        <v>2.1548203221755105E-13</v>
      </c>
      <c r="CA201" s="13">
        <f t="shared" si="170"/>
        <v>2.9604251148637229E-12</v>
      </c>
      <c r="CB201" s="20">
        <f t="shared" si="171"/>
        <v>5.5313716144998842E-12</v>
      </c>
      <c r="CC201" s="59">
        <f t="shared" si="195"/>
        <v>293.33333333333883</v>
      </c>
      <c r="CD201" s="59">
        <f ca="1">AVERAGE(OFFSET($CC$3,0,0,'Données projet'!$E$12+1,1))-AVERAGE(OFFSET($H$3,0,0,'Données projet'!$E$12+1,1))</f>
        <v>295.59075210589327</v>
      </c>
      <c r="CE201" s="59">
        <f t="shared" si="207"/>
        <v>210.41181542059576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27.356313416706339</v>
      </c>
      <c r="CL201" s="21">
        <f>EXP(-LN(2)/25)*CL200+(1-EXP(-LN(2)/25))/(LN(2)/25)*Calculateur!CG201*Calculateur!CI201*VLOOKUP('Données projet'!$B$12,Paramètres!$A$1:$I$89,3,0)*0.475*44/12</f>
        <v>3.3265162687890122</v>
      </c>
      <c r="CM201" s="21">
        <f>EXP(-LN(2)/2)*CM200+(1-EXP(-LN(2)/2))/(LN(2)/2)*CG201*CJ201*VLOOKUP('Données projet'!$B$12,Paramètres!$A$1:$I$89,3,0)*0.475*44/12</f>
        <v>3.6901555301553372E-10</v>
      </c>
      <c r="CN201" s="22">
        <f t="shared" si="172"/>
        <v>30.682829685864366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5.1727511163335289E-14</v>
      </c>
      <c r="CV201" s="13">
        <f t="shared" si="173"/>
        <v>8.3906664221915895E-13</v>
      </c>
      <c r="CW201" s="20">
        <f t="shared" si="174"/>
        <v>1.551466483807844E-12</v>
      </c>
      <c r="CX201" s="59">
        <f t="shared" si="196"/>
        <v>293.33333333333485</v>
      </c>
      <c r="CY201" s="59">
        <f ca="1">AVERAGE(OFFSET($CX$3,0,0,'Données projet'!$E$13+1,1))-AVERAGE(OFFSET($H$3,0,0,'Données projet'!$E$13+1,1))</f>
        <v>338.22448697444298</v>
      </c>
      <c r="CZ201" s="59">
        <f t="shared" si="208"/>
        <v>293.3872365640849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20.55365222190747</v>
      </c>
      <c r="DG201" s="21">
        <f>EXP(-LN(2)/25)*DG200+(1-EXP(-LN(2)/25))/(LN(2)/25)*Calculateur!DB201*Calculateur!DD201*VLOOKUP('Données projet'!$B$13,Paramètres!$A$1:$I$89,3,0)*0.475*44/12</f>
        <v>2.8082243998269432</v>
      </c>
      <c r="DH201" s="21">
        <f>EXP(-LN(2)/2)*DH200+(1-EXP(-LN(2)/2))/(LN(2)/2)*DB201*DE201*VLOOKUP('Données projet'!$B$13,Paramètres!$A$1:$I$89,3,0)*0.475*44/12</f>
        <v>1.4036648635143237E-16</v>
      </c>
      <c r="DI201" s="22">
        <f t="shared" si="175"/>
        <v>23.361876621734414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5.6843418860808015E-13</v>
      </c>
      <c r="DP201" s="17">
        <f>DO201*VLOOKUP('Données projet'!$B$14,Paramètres!$A$1:$I$89,3,0)*VLOOKUP('Données projet'!$B$14,Paramètres!$A$1:$I$89,5,0)</f>
        <v>3.177547114319168E-13</v>
      </c>
      <c r="DQ201" s="13">
        <f t="shared" si="176"/>
        <v>4.1725404435445377E-12</v>
      </c>
      <c r="DR201" s="20">
        <f t="shared" si="177"/>
        <v>7.820597394917325E-12</v>
      </c>
      <c r="DS201" s="59">
        <f t="shared" si="197"/>
        <v>293.33333333334116</v>
      </c>
      <c r="DT201" s="59">
        <f ca="1">AVERAGE(OFFSET($DS$3,0,0,'Données projet'!$E$14+1,1))-AVERAGE(OFFSET($H$3,0,0,'Données projet'!$E$14+1,1))</f>
        <v>328.15217666639006</v>
      </c>
      <c r="DU201" s="59">
        <f t="shared" si="209"/>
        <v>305.59175773326308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18.290669311039217</v>
      </c>
      <c r="EB201" s="21">
        <f>EXP(-LN(2)/25)*EB200+(1-EXP(-LN(2)/25))/(LN(2)/25)*Calculateur!DW201*Calculateur!DY201*VLOOKUP('Données projet'!$B$14,Paramètres!$A$1:$I$89,3,0)*0.475*44/12</f>
        <v>2.2072237867139584</v>
      </c>
      <c r="EC201" s="21">
        <f>EXP(-LN(2)/2)*EC200+(1-EXP(-LN(2)/2))/(LN(2)/2)*DW201*DZ201*VLOOKUP('Données projet'!$B$14,Paramètres!$A$1:$I$89,3,0)*0.475*44/12</f>
        <v>4.0931626752729221E-18</v>
      </c>
      <c r="ED201" s="22">
        <f t="shared" si="178"/>
        <v>20.497893097753174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159.78276497127206</v>
      </c>
      <c r="EP201" s="59">
        <f t="shared" si="210"/>
        <v>190.72163407919857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0.43543188405634364</v>
      </c>
      <c r="EW201" s="21">
        <f>EXP(-LN(2)/25)*EW200+(1-EXP(-LN(2)/25))/(LN(2)/25)*Calculateur!ER201*Calculateur!ET201*VLOOKUP('Données projet'!$B$15,Paramètres!$A$1:$I$89,3,0)*0.475*44/12</f>
        <v>0.73927456492069343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1.1747064489770371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6.2527760746888816E-13</v>
      </c>
      <c r="FF201" s="17">
        <f>FE201*VLOOKUP('Données projet'!$B$16,Paramètres!$A$1:$I$89,3,0)*VLOOKUP('Données projet'!$B$16,Paramètres!$A$1:$I$89,5,0)</f>
        <v>5.3648818720830608E-13</v>
      </c>
      <c r="FG201" s="13">
        <f t="shared" si="182"/>
        <v>6.6281362235424649E-12</v>
      </c>
      <c r="FH201" s="20">
        <f t="shared" si="183"/>
        <v>1.2478387515390925E-11</v>
      </c>
      <c r="FI201" s="59">
        <f t="shared" si="199"/>
        <v>293.33333333334582</v>
      </c>
      <c r="FJ201" s="59">
        <f ca="1">AVERAGE(OFFSET($FI$3,0,0,'Données projet'!$E$16+1,1))-AVERAGE(OFFSET($H$3,0,0,'Données projet'!$E$16+1,1))</f>
        <v>337.15023592377008</v>
      </c>
      <c r="FK201" s="59">
        <f t="shared" si="211"/>
        <v>286.60608582587099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38.360981917192454</v>
      </c>
      <c r="FR201" s="21">
        <f>EXP(-LN(2)/25)*FR200+(1-EXP(-LN(2)/25))/(LN(2)/25)*Calculateur!FM201*Calculateur!FO201*VLOOKUP('Données projet'!$B$16,Paramètres!$A$1:$I$89,3,0)*0.475*44/12</f>
        <v>6.0711678955053028</v>
      </c>
      <c r="FS201" s="21">
        <f>EXP(-LN(2)/2)*FS200+(1-EXP(-LN(2)/2))/(LN(2)/2)*FM201*FP201*VLOOKUP('Données projet'!$B$16,Paramètres!$A$1:$I$89,3,0)*0.475*44/12</f>
        <v>3.6230966184945003E-8</v>
      </c>
      <c r="FT201" s="22">
        <f t="shared" si="184"/>
        <v>44.432149848928724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7.9580786405131221E-13</v>
      </c>
      <c r="GA201" s="17">
        <f>FZ201*VLOOKUP('Données projet'!$B$17,Paramètres!$A$1:$I$89,3,0)*VLOOKUP('Données projet'!$B$17,Paramètres!$A$1:$I$89,5,0)</f>
        <v>7.2004695539362725E-13</v>
      </c>
      <c r="GB201" s="13">
        <f t="shared" si="185"/>
        <v>8.5963894794935589E-12</v>
      </c>
      <c r="GC201" s="20">
        <f t="shared" si="186"/>
        <v>1.6226126790761848E-11</v>
      </c>
      <c r="GD201" s="59">
        <f t="shared" si="200"/>
        <v>293.33333333334951</v>
      </c>
      <c r="GE201" s="59">
        <f ca="1">AVERAGE(OFFSET($GD$3,0,0,'Données projet'!$E$17+1,1))-AVERAGE(OFFSET($H$3,0,0,'Données projet'!$E$17+1,1))</f>
        <v>486.55344536255876</v>
      </c>
      <c r="GF201" s="59">
        <f t="shared" si="212"/>
        <v>231.14794884432229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114.51888371360145</v>
      </c>
      <c r="GM201" s="21">
        <f>EXP(-LN(2)/25)*GM200+(1-EXP(-LN(2)/25))/(LN(2)/25)*Calculateur!GH201*Calculateur!GJ201*VLOOKUP('Données projet'!$B$17,Paramètres!$A$1:$I$89,3,0)*0.475*44/12</f>
        <v>16.98266528047056</v>
      </c>
      <c r="GN201" s="21">
        <f>EXP(-LN(2)/2)*GN200+(1-EXP(-LN(2)/2))/(LN(2)/2)*GH201*GK201*VLOOKUP('Données projet'!$B$17,Paramètres!$A$1:$I$89,3,0)*0.475*44/12</f>
        <v>5.8693519112573124E-2</v>
      </c>
      <c r="GO201" s="21">
        <f t="shared" si="187"/>
        <v>131.56024251318459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576.35602525667696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252.08270526008477</v>
      </c>
      <c r="T202" s="59">
        <f t="shared" si="204"/>
        <v>239.77811108960179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24.304952937385803</v>
      </c>
      <c r="AA202" s="21">
        <f>EXP(-LN(2)/25)*AA201+(1-EXP(-LN(2)/25))/(LN(2)/25)*Calculateur!V202*Calculateur!X202*VLOOKUP('Données projet'!$B$9,Paramètres!$A$1:$I$89,3,0)*0.475*44/12</f>
        <v>3.510687206844032</v>
      </c>
      <c r="AB202" s="21">
        <f>EXP(-LN(2)/2)*AB201+(1-EXP(-LN(2)/2))/(LN(2)/2)*V202*Y202*VLOOKUP('Données projet'!$B$9,Paramètres!$A$1:$I$89,3,0)*0.475*44/12</f>
        <v>6.8690895418816799E-14</v>
      </c>
      <c r="AC202" s="22">
        <f t="shared" si="163"/>
        <v>27.815640144229903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251.64326096359997</v>
      </c>
      <c r="AO202" s="59">
        <f t="shared" si="205"/>
        <v>256.72142151189894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8.8529196622963244</v>
      </c>
      <c r="AV202" s="21">
        <f>EXP(-LN(2)/25)*AV201+(1-EXP(-LN(2)/25))/(LN(2)/25)*Calculateur!AQ202*Calculateur!AS202*VLOOKUP('Données projet'!$B$10,Paramètres!$A$1:$I$89,3,0)*0.475*44/12</f>
        <v>1.0267908753476227</v>
      </c>
      <c r="AW202" s="21">
        <f>EXP(-LN(2)/2)*AW201+(1-EXP(-LN(2)/2))/(LN(2)/2)*AQ202*AT202*VLOOKUP('Données projet'!$B$10,Paramètres!$A$1:$I$89,3,0)*0.475*44/12</f>
        <v>7.1826941824909733E-20</v>
      </c>
      <c r="AX202" s="21">
        <f t="shared" si="166"/>
        <v>9.8797105376439465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199.29783428981898</v>
      </c>
      <c r="BJ202" s="59">
        <f t="shared" si="206"/>
        <v>237.32002274562547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0.36753804794219136</v>
      </c>
      <c r="BQ202" s="21">
        <f>EXP(-LN(2)/25)*BQ201+(1-EXP(-LN(2)/25))/(LN(2)/25)*Calculateur!BL202*Calculateur!BN202*VLOOKUP('Données projet'!$B$11,Paramètres!$A$1:$I$89,3,0)*0.475*44/12</f>
        <v>0.61908103401046444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0.9866190819526558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2.5579538487363607E-13</v>
      </c>
      <c r="BZ202" s="13">
        <f>BY202*VLOOKUP('Données projet'!$B$12,Paramètres!$A$1:$I$89,3,0)*VLOOKUP('Données projet'!$B$12,Paramètres!$A$1:$I$89,5,0)</f>
        <v>2.1548203221755105E-13</v>
      </c>
      <c r="CA202" s="13">
        <f t="shared" si="170"/>
        <v>2.9604251148637229E-12</v>
      </c>
      <c r="CB202" s="20">
        <f t="shared" si="171"/>
        <v>5.5313716144998842E-12</v>
      </c>
      <c r="CC202" s="59">
        <f t="shared" si="195"/>
        <v>293.33333333333883</v>
      </c>
      <c r="CD202" s="59">
        <f ca="1">AVERAGE(OFFSET($CC$3,0,0,'Données projet'!$E$12+1,1))-AVERAGE(OFFSET($H$3,0,0,'Données projet'!$E$12+1,1))</f>
        <v>295.59075210589327</v>
      </c>
      <c r="CE202" s="59">
        <f t="shared" si="207"/>
        <v>210.41181542059576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26.819872796308335</v>
      </c>
      <c r="CL202" s="21">
        <f>EXP(-LN(2)/25)*CL201+(1-EXP(-LN(2)/25))/(LN(2)/25)*Calculateur!CG202*Calculateur!CI202*VLOOKUP('Données projet'!$B$12,Paramètres!$A$1:$I$89,3,0)*0.475*44/12</f>
        <v>3.2355525064850887</v>
      </c>
      <c r="CM202" s="21">
        <f>EXP(-LN(2)/2)*CM201+(1-EXP(-LN(2)/2))/(LN(2)/2)*CG202*CJ202*VLOOKUP('Données projet'!$B$12,Paramètres!$A$1:$I$89,3,0)*0.475*44/12</f>
        <v>2.6093339990058783E-10</v>
      </c>
      <c r="CN202" s="22">
        <f t="shared" si="172"/>
        <v>30.055425303054356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5.1727511163335289E-14</v>
      </c>
      <c r="CV202" s="13">
        <f t="shared" si="173"/>
        <v>8.3906664221915895E-13</v>
      </c>
      <c r="CW202" s="20">
        <f t="shared" si="174"/>
        <v>1.551466483807844E-12</v>
      </c>
      <c r="CX202" s="59">
        <f t="shared" si="196"/>
        <v>293.33333333333485</v>
      </c>
      <c r="CY202" s="59">
        <f ca="1">AVERAGE(OFFSET($CX$3,0,0,'Données projet'!$E$13+1,1))-AVERAGE(OFFSET($H$3,0,0,'Données projet'!$E$13+1,1))</f>
        <v>338.22448697444298</v>
      </c>
      <c r="CZ202" s="59">
        <f t="shared" si="208"/>
        <v>293.3872365640849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20.150607638325845</v>
      </c>
      <c r="DG202" s="21">
        <f>EXP(-LN(2)/25)*DG201+(1-EXP(-LN(2)/25))/(LN(2)/25)*Calculateur!DB202*Calculateur!DD202*VLOOKUP('Données projet'!$B$13,Paramètres!$A$1:$I$89,3,0)*0.475*44/12</f>
        <v>2.7314333559355726</v>
      </c>
      <c r="DH202" s="21">
        <f>EXP(-LN(2)/2)*DH201+(1-EXP(-LN(2)/2))/(LN(2)/2)*DB202*DE202*VLOOKUP('Données projet'!$B$13,Paramètres!$A$1:$I$89,3,0)*0.475*44/12</f>
        <v>9.9254094350426798E-17</v>
      </c>
      <c r="DI202" s="22">
        <f t="shared" si="175"/>
        <v>22.882040994261416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5.6843418860808015E-13</v>
      </c>
      <c r="DP202" s="17">
        <f>DO202*VLOOKUP('Données projet'!$B$14,Paramètres!$A$1:$I$89,3,0)*VLOOKUP('Données projet'!$B$14,Paramètres!$A$1:$I$89,5,0)</f>
        <v>3.177547114319168E-13</v>
      </c>
      <c r="DQ202" s="13">
        <f t="shared" si="176"/>
        <v>4.1725404435445377E-12</v>
      </c>
      <c r="DR202" s="20">
        <f t="shared" si="177"/>
        <v>7.820597394917325E-12</v>
      </c>
      <c r="DS202" s="59">
        <f t="shared" si="197"/>
        <v>293.33333333334116</v>
      </c>
      <c r="DT202" s="59">
        <f ca="1">AVERAGE(OFFSET($DS$3,0,0,'Données projet'!$E$14+1,1))-AVERAGE(OFFSET($H$3,0,0,'Données projet'!$E$14+1,1))</f>
        <v>328.15217666639006</v>
      </c>
      <c r="DU202" s="59">
        <f t="shared" si="209"/>
        <v>305.59175773326308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17.932000442056435</v>
      </c>
      <c r="EB202" s="21">
        <f>EXP(-LN(2)/25)*EB201+(1-EXP(-LN(2)/25))/(LN(2)/25)*Calculateur!DW202*Calculateur!DY202*VLOOKUP('Données projet'!$B$14,Paramètres!$A$1:$I$89,3,0)*0.475*44/12</f>
        <v>2.1468671361934111</v>
      </c>
      <c r="EC202" s="21">
        <f>EXP(-LN(2)/2)*EC201+(1-EXP(-LN(2)/2))/(LN(2)/2)*DW202*DZ202*VLOOKUP('Données projet'!$B$14,Paramètres!$A$1:$I$89,3,0)*0.475*44/12</f>
        <v>2.8943030841851536E-18</v>
      </c>
      <c r="ED202" s="22">
        <f t="shared" si="178"/>
        <v>20.078867578249845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159.78276497127206</v>
      </c>
      <c r="EP202" s="59">
        <f t="shared" si="210"/>
        <v>190.72163407919857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0.42689333039722344</v>
      </c>
      <c r="EW202" s="21">
        <f>EXP(-LN(2)/25)*EW201+(1-EXP(-LN(2)/25))/(LN(2)/25)*Calculateur!ER202*Calculateur!ET202*VLOOKUP('Données projet'!$B$15,Paramètres!$A$1:$I$89,3,0)*0.475*44/12</f>
        <v>0.71905906306617728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1.1459523934634008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6.2527760746888816E-13</v>
      </c>
      <c r="FF202" s="17">
        <f>FE202*VLOOKUP('Données projet'!$B$16,Paramètres!$A$1:$I$89,3,0)*VLOOKUP('Données projet'!$B$16,Paramètres!$A$1:$I$89,5,0)</f>
        <v>5.3648818720830608E-13</v>
      </c>
      <c r="FG202" s="13">
        <f t="shared" si="182"/>
        <v>6.6281362235424649E-12</v>
      </c>
      <c r="FH202" s="20">
        <f t="shared" si="183"/>
        <v>1.2478387515390925E-11</v>
      </c>
      <c r="FI202" s="59">
        <f t="shared" si="199"/>
        <v>293.33333333334582</v>
      </c>
      <c r="FJ202" s="59">
        <f ca="1">AVERAGE(OFFSET($FI$3,0,0,'Données projet'!$E$16+1,1))-AVERAGE(OFFSET($H$3,0,0,'Données projet'!$E$16+1,1))</f>
        <v>337.15023592377008</v>
      </c>
      <c r="FK202" s="59">
        <f t="shared" si="211"/>
        <v>286.60608582587099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37.60874645968493</v>
      </c>
      <c r="FR202" s="21">
        <f>EXP(-LN(2)/25)*FR201+(1-EXP(-LN(2)/25))/(LN(2)/25)*Calculateur!FM202*Calculateur!FO202*VLOOKUP('Données projet'!$B$16,Paramètres!$A$1:$I$89,3,0)*0.475*44/12</f>
        <v>5.9051514901338669</v>
      </c>
      <c r="FS202" s="21">
        <f>EXP(-LN(2)/2)*FS201+(1-EXP(-LN(2)/2))/(LN(2)/2)*FM202*FP202*VLOOKUP('Données projet'!$B$16,Paramètres!$A$1:$I$89,3,0)*0.475*44/12</f>
        <v>2.5619161878315109E-8</v>
      </c>
      <c r="FT202" s="22">
        <f t="shared" si="184"/>
        <v>43.513897975437956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7.9580786405131221E-13</v>
      </c>
      <c r="GA202" s="17">
        <f>FZ202*VLOOKUP('Données projet'!$B$17,Paramètres!$A$1:$I$89,3,0)*VLOOKUP('Données projet'!$B$17,Paramètres!$A$1:$I$89,5,0)</f>
        <v>7.2004695539362725E-13</v>
      </c>
      <c r="GB202" s="13">
        <f t="shared" si="185"/>
        <v>8.5963894794935589E-12</v>
      </c>
      <c r="GC202" s="20">
        <f t="shared" si="186"/>
        <v>1.6226126790761848E-11</v>
      </c>
      <c r="GD202" s="59">
        <f t="shared" si="200"/>
        <v>293.33333333334951</v>
      </c>
      <c r="GE202" s="59">
        <f ca="1">AVERAGE(OFFSET($GD$3,0,0,'Données projet'!$E$17+1,1))-AVERAGE(OFFSET($H$3,0,0,'Données projet'!$E$17+1,1))</f>
        <v>486.55344536255876</v>
      </c>
      <c r="GF202" s="59">
        <f t="shared" si="212"/>
        <v>231.14794884432229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112.27323825359971</v>
      </c>
      <c r="GM202" s="21">
        <f>EXP(-LN(2)/25)*GM201+(1-EXP(-LN(2)/25))/(LN(2)/25)*Calculateur!GH202*Calculateur!GJ202*VLOOKUP('Données projet'!$B$17,Paramètres!$A$1:$I$89,3,0)*0.475*44/12</f>
        <v>16.51827340529654</v>
      </c>
      <c r="GN202" s="21">
        <f>EXP(-LN(2)/2)*GN201+(1-EXP(-LN(2)/2))/(LN(2)/2)*GH202*GK202*VLOOKUP('Données projet'!$B$17,Paramètres!$A$1:$I$89,3,0)*0.475*44/12</f>
        <v>4.1502585376202689E-2</v>
      </c>
      <c r="GO202" s="21">
        <f t="shared" si="187"/>
        <v>128.83301424427245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577.92406691629071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252.08270526008477</v>
      </c>
      <c r="T203" s="59">
        <f t="shared" si="204"/>
        <v>239.77811108960179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23.828347634841155</v>
      </c>
      <c r="AA203" s="21">
        <f>EXP(-LN(2)/25)*AA202+(1-EXP(-LN(2)/25))/(LN(2)/25)*Calculateur!V203*Calculateur!X203*VLOOKUP('Données projet'!$B$9,Paramètres!$A$1:$I$89,3,0)*0.475*44/12</f>
        <v>3.4146872805538657</v>
      </c>
      <c r="AB203" s="21">
        <f>EXP(-LN(2)/2)*AB202+(1-EXP(-LN(2)/2))/(LN(2)/2)*V203*Y203*VLOOKUP('Données projet'!$B$9,Paramètres!$A$1:$I$89,3,0)*0.475*44/12</f>
        <v>4.857179795642131E-14</v>
      </c>
      <c r="AC203" s="22">
        <f t="shared" si="163"/>
        <v>27.243034915395071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251.64326096359997</v>
      </c>
      <c r="AO203" s="59">
        <f t="shared" si="205"/>
        <v>256.72142151189894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8.6793193074665069</v>
      </c>
      <c r="AV203" s="21">
        <f>EXP(-LN(2)/25)*AV202+(1-EXP(-LN(2)/25))/(LN(2)/25)*Calculateur!AQ203*Calculateur!AS203*VLOOKUP('Données projet'!$B$10,Paramètres!$A$1:$I$89,3,0)*0.475*44/12</f>
        <v>0.99871322486465663</v>
      </c>
      <c r="AW203" s="21">
        <f>EXP(-LN(2)/2)*AW202+(1-EXP(-LN(2)/2))/(LN(2)/2)*AQ203*AT203*VLOOKUP('Données projet'!$B$10,Paramètres!$A$1:$I$89,3,0)*0.475*44/12</f>
        <v>5.0789317636285325E-20</v>
      </c>
      <c r="AX203" s="21">
        <f t="shared" si="166"/>
        <v>9.678032532331164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199.29783428981898</v>
      </c>
      <c r="BJ203" s="59">
        <f t="shared" si="206"/>
        <v>237.32002274562547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0.36033085099811868</v>
      </c>
      <c r="BQ203" s="21">
        <f>EXP(-LN(2)/25)*BQ202+(1-EXP(-LN(2)/25))/(LN(2)/25)*Calculateur!BL203*Calculateur!BN203*VLOOKUP('Données projet'!$B$11,Paramètres!$A$1:$I$89,3,0)*0.475*44/12</f>
        <v>0.6021522305793916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0.96248308157751028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2.5579538487363607E-13</v>
      </c>
      <c r="BZ203" s="13">
        <f>BY203*VLOOKUP('Données projet'!$B$12,Paramètres!$A$1:$I$89,3,0)*VLOOKUP('Données projet'!$B$12,Paramètres!$A$1:$I$89,5,0)</f>
        <v>2.1548203221755105E-13</v>
      </c>
      <c r="CA203" s="13">
        <f t="shared" si="170"/>
        <v>2.9604251148637229E-12</v>
      </c>
      <c r="CB203" s="20">
        <f t="shared" si="171"/>
        <v>5.5313716144998842E-12</v>
      </c>
      <c r="CC203" s="59">
        <f t="shared" si="195"/>
        <v>293.33333333333883</v>
      </c>
      <c r="CD203" s="59">
        <f ca="1">AVERAGE(OFFSET($CC$3,0,0,'Données projet'!$E$12+1,1))-AVERAGE(OFFSET($H$3,0,0,'Données projet'!$E$12+1,1))</f>
        <v>295.59075210589327</v>
      </c>
      <c r="CE203" s="59">
        <f t="shared" si="207"/>
        <v>210.41181542059576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26.293951449279866</v>
      </c>
      <c r="CL203" s="21">
        <f>EXP(-LN(2)/25)*CL202+(1-EXP(-LN(2)/25))/(LN(2)/25)*Calculateur!CG203*Calculateur!CI203*VLOOKUP('Données projet'!$B$12,Paramètres!$A$1:$I$89,3,0)*0.475*44/12</f>
        <v>3.1470761530449427</v>
      </c>
      <c r="CM203" s="21">
        <f>EXP(-LN(2)/2)*CM202+(1-EXP(-LN(2)/2))/(LN(2)/2)*CG203*CJ203*VLOOKUP('Données projet'!$B$12,Paramètres!$A$1:$I$89,3,0)*0.475*44/12</f>
        <v>1.8450777650776686E-10</v>
      </c>
      <c r="CN203" s="22">
        <f t="shared" si="172"/>
        <v>29.441027602509315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5.1727511163335289E-14</v>
      </c>
      <c r="CV203" s="13">
        <f t="shared" si="173"/>
        <v>8.3906664221915895E-13</v>
      </c>
      <c r="CW203" s="20">
        <f t="shared" si="174"/>
        <v>1.551466483807844E-12</v>
      </c>
      <c r="CX203" s="59">
        <f t="shared" si="196"/>
        <v>293.33333333333485</v>
      </c>
      <c r="CY203" s="59">
        <f ca="1">AVERAGE(OFFSET($CX$3,0,0,'Données projet'!$E$13+1,1))-AVERAGE(OFFSET($H$3,0,0,'Données projet'!$E$13+1,1))</f>
        <v>338.22448697444298</v>
      </c>
      <c r="CZ203" s="59">
        <f t="shared" si="208"/>
        <v>293.3872365640849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19.755466513195334</v>
      </c>
      <c r="DG203" s="21">
        <f>EXP(-LN(2)/25)*DG202+(1-EXP(-LN(2)/25))/(LN(2)/25)*Calculateur!DB203*Calculateur!DD203*VLOOKUP('Données projet'!$B$13,Paramètres!$A$1:$I$89,3,0)*0.475*44/12</f>
        <v>2.656742167177677</v>
      </c>
      <c r="DH203" s="21">
        <f>EXP(-LN(2)/2)*DH202+(1-EXP(-LN(2)/2))/(LN(2)/2)*DB203*DE203*VLOOKUP('Données projet'!$B$13,Paramètres!$A$1:$I$89,3,0)*0.475*44/12</f>
        <v>7.0183243175716184E-17</v>
      </c>
      <c r="DI203" s="22">
        <f t="shared" si="175"/>
        <v>22.412208680373009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5.6843418860808015E-13</v>
      </c>
      <c r="DP203" s="17">
        <f>DO203*VLOOKUP('Données projet'!$B$14,Paramètres!$A$1:$I$89,3,0)*VLOOKUP('Données projet'!$B$14,Paramètres!$A$1:$I$89,5,0)</f>
        <v>3.177547114319168E-13</v>
      </c>
      <c r="DQ203" s="13">
        <f t="shared" si="176"/>
        <v>4.1725404435445377E-12</v>
      </c>
      <c r="DR203" s="20">
        <f t="shared" si="177"/>
        <v>7.820597394917325E-12</v>
      </c>
      <c r="DS203" s="59">
        <f t="shared" si="197"/>
        <v>293.33333333334116</v>
      </c>
      <c r="DT203" s="59">
        <f ca="1">AVERAGE(OFFSET($DS$3,0,0,'Données projet'!$E$14+1,1))-AVERAGE(OFFSET($H$3,0,0,'Données projet'!$E$14+1,1))</f>
        <v>328.15217666639006</v>
      </c>
      <c r="DU203" s="59">
        <f t="shared" si="209"/>
        <v>305.59175773326308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17.580364850827994</v>
      </c>
      <c r="EB203" s="21">
        <f>EXP(-LN(2)/25)*EB202+(1-EXP(-LN(2)/25))/(LN(2)/25)*Calculateur!DW203*Calculateur!DY203*VLOOKUP('Données projet'!$B$14,Paramètres!$A$1:$I$89,3,0)*0.475*44/12</f>
        <v>2.0881609414553663</v>
      </c>
      <c r="EC203" s="21">
        <f>EXP(-LN(2)/2)*EC202+(1-EXP(-LN(2)/2))/(LN(2)/2)*DW203*DZ203*VLOOKUP('Données projet'!$B$14,Paramètres!$A$1:$I$89,3,0)*0.475*44/12</f>
        <v>2.046581337636461E-18</v>
      </c>
      <c r="ED203" s="22">
        <f t="shared" si="178"/>
        <v>19.668525792283361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159.78276497127206</v>
      </c>
      <c r="EP203" s="59">
        <f t="shared" si="210"/>
        <v>190.72163407919857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0.41852221256735511</v>
      </c>
      <c r="EW203" s="21">
        <f>EXP(-LN(2)/25)*EW202+(1-EXP(-LN(2)/25))/(LN(2)/25)*Calculateur!ER203*Calculateur!ET203*VLOOKUP('Données projet'!$B$15,Paramètres!$A$1:$I$89,3,0)*0.475*44/12</f>
        <v>0.69939635517295995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1.1179185677403152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6.2527760746888816E-13</v>
      </c>
      <c r="FF203" s="17">
        <f>FE203*VLOOKUP('Données projet'!$B$16,Paramètres!$A$1:$I$89,3,0)*VLOOKUP('Données projet'!$B$16,Paramètres!$A$1:$I$89,5,0)</f>
        <v>5.3648818720830608E-13</v>
      </c>
      <c r="FG203" s="13">
        <f t="shared" si="182"/>
        <v>6.6281362235424649E-12</v>
      </c>
      <c r="FH203" s="20">
        <f t="shared" si="183"/>
        <v>1.2478387515390925E-11</v>
      </c>
      <c r="FI203" s="59">
        <f t="shared" si="199"/>
        <v>293.33333333334582</v>
      </c>
      <c r="FJ203" s="59">
        <f ca="1">AVERAGE(OFFSET($FI$3,0,0,'Données projet'!$E$16+1,1))-AVERAGE(OFFSET($H$3,0,0,'Données projet'!$E$16+1,1))</f>
        <v>337.15023592377008</v>
      </c>
      <c r="FK203" s="59">
        <f t="shared" si="211"/>
        <v>286.60608582587099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36.871261880680805</v>
      </c>
      <c r="FR203" s="21">
        <f>EXP(-LN(2)/25)*FR202+(1-EXP(-LN(2)/25))/(LN(2)/25)*Calculateur!FM203*Calculateur!FO203*VLOOKUP('Données projet'!$B$16,Paramètres!$A$1:$I$89,3,0)*0.475*44/12</f>
        <v>5.7436748120977361</v>
      </c>
      <c r="FS203" s="21">
        <f>EXP(-LN(2)/2)*FS202+(1-EXP(-LN(2)/2))/(LN(2)/2)*FM203*FP203*VLOOKUP('Données projet'!$B$16,Paramètres!$A$1:$I$89,3,0)*0.475*44/12</f>
        <v>1.8115483092472501E-8</v>
      </c>
      <c r="FT203" s="22">
        <f t="shared" si="184"/>
        <v>42.614936710894028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7.9580786405131221E-13</v>
      </c>
      <c r="GA203" s="17">
        <f>FZ203*VLOOKUP('Données projet'!$B$17,Paramètres!$A$1:$I$89,3,0)*VLOOKUP('Données projet'!$B$17,Paramètres!$A$1:$I$89,5,0)</f>
        <v>7.2004695539362725E-13</v>
      </c>
      <c r="GB203" s="13">
        <f t="shared" si="185"/>
        <v>8.5963894794935589E-12</v>
      </c>
      <c r="GC203" s="20">
        <f t="shared" si="186"/>
        <v>1.6226126790761848E-11</v>
      </c>
      <c r="GD203" s="59">
        <f t="shared" si="200"/>
        <v>293.33333333334951</v>
      </c>
      <c r="GE203" s="59">
        <f ca="1">AVERAGE(OFFSET($GD$3,0,0,'Données projet'!$E$17+1,1))-AVERAGE(OFFSET($H$3,0,0,'Données projet'!$E$17+1,1))</f>
        <v>486.55344536255876</v>
      </c>
      <c r="GF203" s="59">
        <f t="shared" si="212"/>
        <v>231.14794884432229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110.07162853136013</v>
      </c>
      <c r="GM203" s="21">
        <f>EXP(-LN(2)/25)*GM202+(1-EXP(-LN(2)/25))/(LN(2)/25)*Calculateur!GH203*Calculateur!GJ203*VLOOKUP('Données projet'!$B$17,Paramètres!$A$1:$I$89,3,0)*0.475*44/12</f>
        <v>16.066580350370462</v>
      </c>
      <c r="GN203" s="21">
        <f>EXP(-LN(2)/2)*GN202+(1-EXP(-LN(2)/2))/(LN(2)/2)*GH203*GK203*VLOOKUP('Données projet'!$B$17,Paramètres!$A$1:$I$89,3,0)*0.475*44/12</f>
        <v>2.9346759556286562E-2</v>
      </c>
      <c r="GO203" s="21">
        <f t="shared" si="187"/>
        <v>126.16755564128688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1.149232942898736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1.3275965341357465</v>
      </c>
      <c r="BA205" s="82">
        <f>EXP(LN('Données projet'!B88)/'Données projet'!A88)</f>
        <v>1.6071994829923506</v>
      </c>
      <c r="BV205" s="82">
        <f>EXP(LN('Données projet'!B114)/'Données projet'!A114)</f>
        <v>1.141469227569226</v>
      </c>
      <c r="CQ205" s="82">
        <f>EXP(LN('Données projet'!B140)/'Données projet'!A140)</f>
        <v>1.277483324775911</v>
      </c>
      <c r="DL205" s="82">
        <f>EXP(LN('Données projet'!B166)/'Données projet'!A166)</f>
        <v>1.2855297099408214</v>
      </c>
      <c r="EG205" s="82">
        <f>EXP(LN('Données projet'!B192)/'Données projet'!A192)</f>
        <v>1.6071994829923506</v>
      </c>
      <c r="FB205" s="82">
        <f>EXP(LN('Données projet'!B218)/'Données projet'!A218)</f>
        <v>1.1054576861265979</v>
      </c>
      <c r="FW205" s="82">
        <f>EXP(LN('Données projet'!B244)/'Données projet'!A244)</f>
        <v>1.1303799945549604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31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53125" style="4" bestFit="1" customWidth="1"/>
    <col min="7" max="7" width="11.46484375" style="4" bestFit="1" customWidth="1"/>
    <col min="8" max="8" width="39" style="4" bestFit="1" customWidth="1"/>
    <col min="9" max="9" width="16.531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1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531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1221.8559310233366</v>
      </c>
      <c r="U10" s="178">
        <f>'Données projet'!D9</f>
        <v>0.32129999999999997</v>
      </c>
      <c r="V10" s="177">
        <f>U10*T10</f>
        <v>392.582310637798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2251.1591285036257</v>
      </c>
      <c r="U11" s="178">
        <f>'Données projet'!D10</f>
        <v>0.64259999999999995</v>
      </c>
      <c r="V11" s="177">
        <f t="shared" ref="V11" si="0">U11*T11</f>
        <v>1446.5948559764297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Robinier faux-acacia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1848.7356895923281</v>
      </c>
      <c r="U12" s="178">
        <f>'Données projet'!D11</f>
        <v>0.24990000000000001</v>
      </c>
      <c r="V12" s="177">
        <f t="shared" ref="V12:V19" si="1">U12*T12</f>
        <v>461.99904882912278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pédonculé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1370.8553701849451</v>
      </c>
      <c r="U13" s="178">
        <f>'Données projet'!D12</f>
        <v>0.32129999999999997</v>
      </c>
      <c r="V13" s="177">
        <f t="shared" si="1"/>
        <v>440.4558304404228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Séquoia géant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3018.198634160326</v>
      </c>
      <c r="U14" s="178">
        <f>'Données projet'!D13</f>
        <v>0.32129999999999997</v>
      </c>
      <c r="V14" s="177">
        <f t="shared" si="1"/>
        <v>969.74722115571262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4278.3425953401147</v>
      </c>
      <c r="U15" s="178">
        <f>'Données projet'!D14</f>
        <v>0.32129999999999997</v>
      </c>
      <c r="V15" s="177">
        <f t="shared" si="1"/>
        <v>1374.6314758827787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45</v>
      </c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1848.7356895923281</v>
      </c>
      <c r="U16" s="178">
        <f>'Données projet'!D15</f>
        <v>0.74969999999999992</v>
      </c>
      <c r="V16" s="177">
        <f t="shared" si="1"/>
        <v>1385.9971464873681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44.999999999999993</v>
      </c>
      <c r="O17" s="23"/>
      <c r="P17" s="23"/>
      <c r="Q17" s="234"/>
      <c r="R17" s="23"/>
      <c r="S17" s="36" t="str">
        <f>B231</f>
        <v>Hêtre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259.64958973908887</v>
      </c>
      <c r="U17" s="178">
        <f>'Données projet'!D16</f>
        <v>0.21419999999999997</v>
      </c>
      <c r="V17" s="177">
        <f t="shared" si="1"/>
        <v>55.616942122112832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>Chêne sessile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657.68968547477937</v>
      </c>
      <c r="U18" s="178">
        <f>'Données projet'!D17</f>
        <v>0.42839999999999995</v>
      </c>
      <c r="V18" s="177">
        <f t="shared" si="1"/>
        <v>281.75426125739546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539.99999999999989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5610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107.08999999999997</v>
      </c>
      <c r="C23" s="193">
        <v>10.9375</v>
      </c>
      <c r="D23" s="182">
        <f>B23*C23</f>
        <v>1171.2968749999998</v>
      </c>
      <c r="E23" s="193">
        <v>60</v>
      </c>
      <c r="F23" s="230"/>
      <c r="H23" s="190">
        <v>5</v>
      </c>
      <c r="I23" s="191">
        <v>400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-16576.277084045301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108.07</v>
      </c>
      <c r="C24" s="193">
        <v>26.25</v>
      </c>
      <c r="D24" s="182">
        <f t="shared" ref="D24:D42" si="2">B24*C24</f>
        <v>2836.8374999999996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265.9677049889699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88.54000000000002</v>
      </c>
      <c r="C25" s="193">
        <v>26.25</v>
      </c>
      <c r="D25" s="182">
        <f t="shared" si="2"/>
        <v>2324.1750000000006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-16842.24478903427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88.899999999999977</v>
      </c>
      <c r="C26" s="193">
        <v>26.25</v>
      </c>
      <c r="D26" s="182">
        <f t="shared" si="2"/>
        <v>2333.6249999999995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75</v>
      </c>
      <c r="B27" s="181">
        <f>'Données projet'!D40</f>
        <v>89.149999999999977</v>
      </c>
      <c r="C27" s="193">
        <v>26.25</v>
      </c>
      <c r="D27" s="182">
        <f t="shared" si="2"/>
        <v>2340.1874999999995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83</v>
      </c>
      <c r="B28" s="181">
        <f>'Données projet'!D41</f>
        <v>91.480000000000018</v>
      </c>
      <c r="C28" s="193">
        <v>31.5</v>
      </c>
      <c r="D28" s="182">
        <f t="shared" si="2"/>
        <v>2881.6200000000008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91</v>
      </c>
      <c r="B29" s="181">
        <f>'Données projet'!D42</f>
        <v>264.52000000000004</v>
      </c>
      <c r="C29" s="193">
        <v>31.5</v>
      </c>
      <c r="D29" s="182">
        <f t="shared" si="2"/>
        <v>8332.380000000001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101</v>
      </c>
      <c r="B30" s="181">
        <f>'Données projet'!D43</f>
        <v>356.43</v>
      </c>
      <c r="C30" s="193">
        <v>31.5</v>
      </c>
      <c r="D30" s="182">
        <f t="shared" si="2"/>
        <v>11227.545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17</v>
      </c>
      <c r="B54" s="181">
        <f>'Données projet'!D62</f>
        <v>41.179999999999993</v>
      </c>
      <c r="C54" s="191">
        <v>8</v>
      </c>
      <c r="D54" s="179">
        <f>B54*C54</f>
        <v>329.43999999999994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23</v>
      </c>
      <c r="B55" s="181">
        <f>'Données projet'!D63</f>
        <v>58.370000000000005</v>
      </c>
      <c r="C55" s="191">
        <v>10.625</v>
      </c>
      <c r="D55" s="179">
        <f t="shared" ref="D55:D73" si="4">B55*C55</f>
        <v>620.18125000000009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29</v>
      </c>
      <c r="B56" s="181">
        <f>'Données projet'!D64</f>
        <v>54.97</v>
      </c>
      <c r="C56" s="191">
        <v>26.75</v>
      </c>
      <c r="D56" s="179">
        <f t="shared" si="4"/>
        <v>1470.4475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36</v>
      </c>
      <c r="B57" s="181">
        <f>'Données projet'!D65</f>
        <v>76.509999999999991</v>
      </c>
      <c r="C57" s="191">
        <v>26.75</v>
      </c>
      <c r="D57" s="179">
        <f t="shared" si="4"/>
        <v>2046.6424999999997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44</v>
      </c>
      <c r="B58" s="181">
        <f>'Données projet'!D66</f>
        <v>78.240000000000009</v>
      </c>
      <c r="C58" s="191">
        <v>26.75</v>
      </c>
      <c r="D58" s="179">
        <f t="shared" si="4"/>
        <v>2092.92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52</v>
      </c>
      <c r="B59" s="181">
        <f>'Données projet'!D67</f>
        <v>75.70999999999998</v>
      </c>
      <c r="C59" s="191">
        <v>26.75</v>
      </c>
      <c r="D59" s="179">
        <f t="shared" si="4"/>
        <v>2025.2424999999994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60</v>
      </c>
      <c r="B60" s="181">
        <f>'Données projet'!D68</f>
        <v>437.74</v>
      </c>
      <c r="C60" s="191">
        <v>26.75</v>
      </c>
      <c r="D60" s="179">
        <f t="shared" si="4"/>
        <v>11709.545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Robinier faux-acacia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10</v>
      </c>
      <c r="B85" s="181">
        <f>'Données projet'!D88</f>
        <v>71</v>
      </c>
      <c r="C85" s="191">
        <v>13.75</v>
      </c>
      <c r="D85" s="179">
        <f>B85*C85</f>
        <v>976.25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16</v>
      </c>
      <c r="B86" s="181">
        <f>'Données projet'!D89</f>
        <v>33</v>
      </c>
      <c r="C86" s="191">
        <v>13.75</v>
      </c>
      <c r="D86" s="179">
        <f t="shared" ref="D86:D104" si="6">B86*C86</f>
        <v>453.75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25</v>
      </c>
      <c r="B87" s="181">
        <f>'Données projet'!D90</f>
        <v>41</v>
      </c>
      <c r="C87" s="191">
        <v>24</v>
      </c>
      <c r="D87" s="179">
        <f t="shared" si="6"/>
        <v>984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0</v>
      </c>
      <c r="C88" s="191">
        <v>24</v>
      </c>
      <c r="D88" s="179">
        <f t="shared" si="6"/>
        <v>0</v>
      </c>
      <c r="E88" s="193">
        <v>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35</v>
      </c>
      <c r="B89" s="181">
        <f>'Données projet'!D92</f>
        <v>0</v>
      </c>
      <c r="C89" s="191">
        <v>24</v>
      </c>
      <c r="D89" s="179">
        <f t="shared" si="6"/>
        <v>0</v>
      </c>
      <c r="E89" s="193">
        <v>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45</v>
      </c>
      <c r="B90" s="181">
        <f>'Données projet'!D93</f>
        <v>231</v>
      </c>
      <c r="C90" s="191">
        <v>24</v>
      </c>
      <c r="D90" s="179">
        <f t="shared" si="6"/>
        <v>5544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pédonculé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38</v>
      </c>
      <c r="B116" s="181">
        <f>'Données projet'!D114</f>
        <v>71.569999999999993</v>
      </c>
      <c r="C116" s="191">
        <v>12.5</v>
      </c>
      <c r="D116" s="179">
        <f>B116*C116</f>
        <v>894.62499999999989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45</v>
      </c>
      <c r="B117" s="181">
        <f>'Données projet'!D115</f>
        <v>41.69</v>
      </c>
      <c r="C117" s="191">
        <v>12.5</v>
      </c>
      <c r="D117" s="179">
        <f t="shared" ref="D117:D135" si="8">B117*C117</f>
        <v>521.125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52</v>
      </c>
      <c r="B118" s="181">
        <f>'Données projet'!D116</f>
        <v>44.400000000000006</v>
      </c>
      <c r="C118" s="191">
        <v>45.375</v>
      </c>
      <c r="D118" s="179">
        <f t="shared" si="8"/>
        <v>2014.6500000000003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59</v>
      </c>
      <c r="B119" s="181">
        <f>'Données projet'!D117</f>
        <v>41.81</v>
      </c>
      <c r="C119" s="191">
        <v>45.375</v>
      </c>
      <c r="D119" s="179">
        <f t="shared" si="8"/>
        <v>1897.1287500000001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67</v>
      </c>
      <c r="B120" s="181">
        <f>'Données projet'!D118</f>
        <v>42.550000000000011</v>
      </c>
      <c r="C120" s="191">
        <v>45.375</v>
      </c>
      <c r="D120" s="179">
        <f t="shared" si="8"/>
        <v>1930.7062500000004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75</v>
      </c>
      <c r="B121" s="181">
        <f>'Données projet'!D119</f>
        <v>43.519999999999982</v>
      </c>
      <c r="C121" s="191">
        <v>45.375</v>
      </c>
      <c r="D121" s="179">
        <f t="shared" si="8"/>
        <v>1974.7199999999991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83</v>
      </c>
      <c r="B122" s="181">
        <f>'Données projet'!D120</f>
        <v>49.980000000000018</v>
      </c>
      <c r="C122" s="191">
        <v>45.375</v>
      </c>
      <c r="D122" s="179">
        <f t="shared" si="8"/>
        <v>2267.8425000000007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93</v>
      </c>
      <c r="B123" s="181">
        <f>'Données projet'!D121</f>
        <v>67.45999999999998</v>
      </c>
      <c r="C123" s="191">
        <v>138</v>
      </c>
      <c r="D123" s="179">
        <f t="shared" si="8"/>
        <v>9309.4799999999977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103</v>
      </c>
      <c r="B124" s="181">
        <f>'Données projet'!D122</f>
        <v>67.759999999999991</v>
      </c>
      <c r="C124" s="191">
        <v>138</v>
      </c>
      <c r="D124" s="179">
        <f t="shared" si="8"/>
        <v>9350.8799999999992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113</v>
      </c>
      <c r="B125" s="181">
        <f>'Données projet'!D123</f>
        <v>68.670000000000016</v>
      </c>
      <c r="C125" s="191">
        <v>138</v>
      </c>
      <c r="D125" s="179">
        <f t="shared" si="8"/>
        <v>9476.4600000000028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123</v>
      </c>
      <c r="B126" s="181">
        <f>'Données projet'!D124</f>
        <v>203.78999999999996</v>
      </c>
      <c r="C126" s="191">
        <v>156.375</v>
      </c>
      <c r="D126" s="179">
        <f t="shared" si="8"/>
        <v>31867.661249999994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125</v>
      </c>
      <c r="B127" s="181">
        <f>'Données projet'!D125</f>
        <v>70.609999999999985</v>
      </c>
      <c r="C127" s="191">
        <v>156.375</v>
      </c>
      <c r="D127" s="179">
        <f t="shared" si="8"/>
        <v>11041.638749999998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127</v>
      </c>
      <c r="B128" s="181">
        <f>'Données projet'!D126</f>
        <v>46.039999999999992</v>
      </c>
      <c r="C128" s="191">
        <v>156.375</v>
      </c>
      <c r="D128" s="179">
        <f t="shared" si="8"/>
        <v>7199.5049999999992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130</v>
      </c>
      <c r="B129" s="181">
        <f>'Données projet'!D127</f>
        <v>112.75</v>
      </c>
      <c r="C129" s="191">
        <v>156.375</v>
      </c>
      <c r="D129" s="179">
        <f t="shared" si="8"/>
        <v>17631.28125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Séquoia géant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20</v>
      </c>
      <c r="B147" s="175">
        <f>'Données projet'!D140</f>
        <v>5</v>
      </c>
      <c r="C147" s="191">
        <v>10.9375</v>
      </c>
      <c r="D147" s="182">
        <f>B147*C147</f>
        <v>54.6875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25</v>
      </c>
      <c r="B148" s="175">
        <f>'Données projet'!D141</f>
        <v>63</v>
      </c>
      <c r="C148" s="191">
        <v>10.9375</v>
      </c>
      <c r="D148" s="182">
        <f t="shared" ref="D148:D166" si="10">B148*C148</f>
        <v>689.0625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63</v>
      </c>
      <c r="C149" s="191">
        <v>10.9375</v>
      </c>
      <c r="D149" s="182">
        <f t="shared" si="10"/>
        <v>689.0625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35</v>
      </c>
      <c r="B150" s="175">
        <f>'Données projet'!D143</f>
        <v>63</v>
      </c>
      <c r="C150" s="191">
        <v>10.9375</v>
      </c>
      <c r="D150" s="182">
        <f t="shared" si="10"/>
        <v>689.0625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40</v>
      </c>
      <c r="B151" s="175">
        <f>'Données projet'!D144</f>
        <v>63</v>
      </c>
      <c r="C151" s="191">
        <v>10.9375</v>
      </c>
      <c r="D151" s="182">
        <f t="shared" si="10"/>
        <v>689.0625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45</v>
      </c>
      <c r="B152" s="175">
        <f>'Données projet'!D145</f>
        <v>63</v>
      </c>
      <c r="C152" s="191">
        <v>45</v>
      </c>
      <c r="D152" s="182">
        <f t="shared" si="10"/>
        <v>2835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50</v>
      </c>
      <c r="B153" s="175">
        <f>'Données projet'!D146</f>
        <v>63</v>
      </c>
      <c r="C153" s="191">
        <v>45</v>
      </c>
      <c r="D153" s="182">
        <f t="shared" si="10"/>
        <v>2835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55</v>
      </c>
      <c r="B154" s="175">
        <f>'Données projet'!D147</f>
        <v>60</v>
      </c>
      <c r="C154" s="191">
        <v>45</v>
      </c>
      <c r="D154" s="182">
        <f t="shared" si="10"/>
        <v>2700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60</v>
      </c>
      <c r="B155" s="175">
        <f>'Données projet'!D148</f>
        <v>53</v>
      </c>
      <c r="C155" s="191">
        <v>45</v>
      </c>
      <c r="D155" s="182">
        <f t="shared" si="10"/>
        <v>2385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65</v>
      </c>
      <c r="B156" s="175">
        <f>'Données projet'!D149</f>
        <v>48</v>
      </c>
      <c r="C156" s="191">
        <v>45</v>
      </c>
      <c r="D156" s="182">
        <f t="shared" si="10"/>
        <v>2160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70</v>
      </c>
      <c r="B157" s="175">
        <f>'Données projet'!D150</f>
        <v>45</v>
      </c>
      <c r="C157" s="191">
        <v>45</v>
      </c>
      <c r="D157" s="182">
        <f t="shared" si="10"/>
        <v>2025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75</v>
      </c>
      <c r="B158" s="175">
        <f>'Données projet'!D151</f>
        <v>43</v>
      </c>
      <c r="C158" s="191">
        <v>45</v>
      </c>
      <c r="D158" s="182">
        <f t="shared" si="10"/>
        <v>1935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80</v>
      </c>
      <c r="B159" s="175">
        <f>'Données projet'!D152</f>
        <v>776</v>
      </c>
      <c r="C159" s="191">
        <v>45</v>
      </c>
      <c r="D159" s="182">
        <f t="shared" si="10"/>
        <v>34920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21</v>
      </c>
      <c r="B178" s="181">
        <f>'Données projet'!D166</f>
        <v>64.599999999999994</v>
      </c>
      <c r="C178" s="193">
        <v>10.9375</v>
      </c>
      <c r="D178" s="179">
        <f>B178*C178</f>
        <v>706.56249999999989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28</v>
      </c>
      <c r="B179" s="181">
        <f>'Données projet'!D167</f>
        <v>67.639999999999986</v>
      </c>
      <c r="C179" s="193">
        <v>10.9375</v>
      </c>
      <c r="D179" s="179">
        <f t="shared" ref="D179:D197" si="11">B179*C179</f>
        <v>739.81249999999989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35</v>
      </c>
      <c r="B180" s="181">
        <f>'Données projet'!D168</f>
        <v>86.700000000000045</v>
      </c>
      <c r="C180" s="193">
        <v>41.5</v>
      </c>
      <c r="D180" s="179">
        <f t="shared" si="11"/>
        <v>3598.050000000002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42</v>
      </c>
      <c r="B181" s="181">
        <f>'Données projet'!D169</f>
        <v>100.04000000000002</v>
      </c>
      <c r="C181" s="193">
        <v>41.5</v>
      </c>
      <c r="D181" s="179">
        <f t="shared" si="11"/>
        <v>4151.6600000000008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49</v>
      </c>
      <c r="B182" s="181">
        <f>'Données projet'!D170</f>
        <v>112.69999999999999</v>
      </c>
      <c r="C182" s="193">
        <v>41.5</v>
      </c>
      <c r="D182" s="179">
        <f t="shared" si="11"/>
        <v>4677.0499999999993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56</v>
      </c>
      <c r="B183" s="181">
        <f>'Données projet'!D171</f>
        <v>94.669999999999959</v>
      </c>
      <c r="C183" s="193">
        <v>41.5</v>
      </c>
      <c r="D183" s="179">
        <f t="shared" si="11"/>
        <v>3928.8049999999985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63</v>
      </c>
      <c r="B184" s="181">
        <f>'Données projet'!D172</f>
        <v>99.599999999999966</v>
      </c>
      <c r="C184" s="193">
        <v>41.5</v>
      </c>
      <c r="D184" s="179">
        <f t="shared" si="11"/>
        <v>4133.3999999999987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70</v>
      </c>
      <c r="B185" s="181">
        <f>'Données projet'!D173</f>
        <v>586.86</v>
      </c>
      <c r="C185" s="193">
        <v>48.5</v>
      </c>
      <c r="D185" s="179">
        <f t="shared" si="11"/>
        <v>28462.71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10</v>
      </c>
      <c r="B209" s="181">
        <f>'Données projet'!D192</f>
        <v>71</v>
      </c>
      <c r="C209" s="193">
        <v>13.75</v>
      </c>
      <c r="D209" s="179">
        <f>B209*C209</f>
        <v>976.25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16</v>
      </c>
      <c r="B210" s="181">
        <f>'Données projet'!D193</f>
        <v>33</v>
      </c>
      <c r="C210" s="193">
        <v>13.75</v>
      </c>
      <c r="D210" s="179">
        <f t="shared" ref="D210:D228" si="12">B210*C210</f>
        <v>453.75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25</v>
      </c>
      <c r="B211" s="181">
        <f>'Données projet'!D194</f>
        <v>41</v>
      </c>
      <c r="C211" s="193">
        <v>24</v>
      </c>
      <c r="D211" s="179">
        <f t="shared" si="12"/>
        <v>984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30</v>
      </c>
      <c r="B212" s="181">
        <f>'Données projet'!D195</f>
        <v>0</v>
      </c>
      <c r="C212" s="193">
        <v>24</v>
      </c>
      <c r="D212" s="179">
        <f t="shared" si="12"/>
        <v>0</v>
      </c>
      <c r="E212" s="193">
        <v>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35</v>
      </c>
      <c r="B213" s="181">
        <f>'Données projet'!D196</f>
        <v>0</v>
      </c>
      <c r="C213" s="193">
        <v>24</v>
      </c>
      <c r="D213" s="179">
        <f t="shared" si="12"/>
        <v>0</v>
      </c>
      <c r="E213" s="193">
        <v>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45</v>
      </c>
      <c r="B214" s="181">
        <f>'Données projet'!D197</f>
        <v>231</v>
      </c>
      <c r="C214" s="193">
        <v>24</v>
      </c>
      <c r="D214" s="179">
        <f t="shared" si="12"/>
        <v>5544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Hêtre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57</v>
      </c>
      <c r="B240" s="181">
        <f>'Données projet'!D218</f>
        <v>147.84</v>
      </c>
      <c r="C240" s="193">
        <v>10</v>
      </c>
      <c r="D240" s="179">
        <f>B240*C240</f>
        <v>1478.4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66</v>
      </c>
      <c r="B241" s="181">
        <f>'Données projet'!D219</f>
        <v>77.13</v>
      </c>
      <c r="C241" s="193">
        <v>10</v>
      </c>
      <c r="D241" s="179">
        <f t="shared" ref="D241:D259" si="13">B241*C241</f>
        <v>771.3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75</v>
      </c>
      <c r="B242" s="181">
        <f>'Données projet'!D220</f>
        <v>72.47999999999999</v>
      </c>
      <c r="C242" s="193">
        <v>10</v>
      </c>
      <c r="D242" s="179">
        <f t="shared" si="13"/>
        <v>724.8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84</v>
      </c>
      <c r="B243" s="181">
        <f>'Données projet'!D221</f>
        <v>64.950000000000017</v>
      </c>
      <c r="C243" s="193">
        <v>14.625</v>
      </c>
      <c r="D243" s="179">
        <f t="shared" si="13"/>
        <v>949.8937500000003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93</v>
      </c>
      <c r="B244" s="181">
        <f>'Données projet'!D222</f>
        <v>67.269999999999982</v>
      </c>
      <c r="C244" s="193">
        <v>14.625</v>
      </c>
      <c r="D244" s="179">
        <f t="shared" si="13"/>
        <v>983.82374999999979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105</v>
      </c>
      <c r="B245" s="181">
        <f>'Données projet'!D223</f>
        <v>83.739999999999952</v>
      </c>
      <c r="C245" s="193">
        <v>14.625</v>
      </c>
      <c r="D245" s="179">
        <f t="shared" si="13"/>
        <v>1224.6974999999993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117</v>
      </c>
      <c r="B246" s="181">
        <f>'Données projet'!D224</f>
        <v>73.949999999999989</v>
      </c>
      <c r="C246" s="193">
        <v>14.625</v>
      </c>
      <c r="D246" s="179">
        <f t="shared" si="13"/>
        <v>1081.5187499999997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129</v>
      </c>
      <c r="B247" s="181">
        <f>'Données projet'!D225</f>
        <v>143.06</v>
      </c>
      <c r="C247" s="193">
        <v>21.5625</v>
      </c>
      <c r="D247" s="179">
        <f t="shared" si="13"/>
        <v>3084.7312500000003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134</v>
      </c>
      <c r="B248" s="181">
        <f>'Données projet'!D226</f>
        <v>102.91000000000003</v>
      </c>
      <c r="C248" s="193">
        <v>21.5625</v>
      </c>
      <c r="D248" s="179">
        <f t="shared" si="13"/>
        <v>2218.9968750000007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139</v>
      </c>
      <c r="B249" s="181">
        <f>'Données projet'!D227</f>
        <v>88.109999999999985</v>
      </c>
      <c r="C249" s="193">
        <v>21.5625</v>
      </c>
      <c r="D249" s="179">
        <f t="shared" si="13"/>
        <v>1899.8718749999996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143</v>
      </c>
      <c r="B250" s="181">
        <f>'Données projet'!D228</f>
        <v>142.16999999999999</v>
      </c>
      <c r="C250" s="193">
        <v>22</v>
      </c>
      <c r="D250" s="179">
        <f t="shared" si="13"/>
        <v>3127.74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>Chêne sessile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42</v>
      </c>
      <c r="B271" s="181">
        <f>'Données projet'!D244</f>
        <v>44.510000000000005</v>
      </c>
      <c r="C271" s="193">
        <v>12.5</v>
      </c>
      <c r="D271" s="179">
        <f>B271*C271</f>
        <v>556.37500000000011</v>
      </c>
      <c r="E271" s="193">
        <v>60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50</v>
      </c>
      <c r="B272" s="181">
        <f>'Données projet'!D245</f>
        <v>37.54000000000002</v>
      </c>
      <c r="C272" s="193">
        <v>12.5</v>
      </c>
      <c r="D272" s="179">
        <f t="shared" ref="D272:D290" si="14">B272*C272</f>
        <v>469.25000000000023</v>
      </c>
      <c r="E272" s="193">
        <v>60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58</v>
      </c>
      <c r="B273" s="181">
        <f>'Données projet'!D246</f>
        <v>47.789999999999992</v>
      </c>
      <c r="C273" s="193">
        <v>12.5</v>
      </c>
      <c r="D273" s="179">
        <f t="shared" si="14"/>
        <v>597.37499999999989</v>
      </c>
      <c r="E273" s="193">
        <v>60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66</v>
      </c>
      <c r="B274" s="181">
        <f>'Données projet'!D247</f>
        <v>53.679999999999978</v>
      </c>
      <c r="C274" s="193">
        <v>45.375</v>
      </c>
      <c r="D274" s="179">
        <f t="shared" si="14"/>
        <v>2435.7299999999991</v>
      </c>
      <c r="E274" s="193">
        <v>60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74</v>
      </c>
      <c r="B275" s="181">
        <f>'Données projet'!D248</f>
        <v>51.339999999999975</v>
      </c>
      <c r="C275" s="193">
        <v>45.375</v>
      </c>
      <c r="D275" s="179">
        <f t="shared" si="14"/>
        <v>2329.5524999999989</v>
      </c>
      <c r="E275" s="193">
        <v>60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84</v>
      </c>
      <c r="B276" s="181">
        <f>'Données projet'!D249</f>
        <v>66.69</v>
      </c>
      <c r="C276" s="193">
        <v>45.375</v>
      </c>
      <c r="D276" s="179">
        <f t="shared" si="14"/>
        <v>3026.0587499999997</v>
      </c>
      <c r="E276" s="193">
        <v>60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94</v>
      </c>
      <c r="B277" s="181">
        <f>'Données projet'!D250</f>
        <v>67.350000000000023</v>
      </c>
      <c r="C277" s="193">
        <v>45.375</v>
      </c>
      <c r="D277" s="179">
        <f t="shared" si="14"/>
        <v>3056.0062500000008</v>
      </c>
      <c r="E277" s="193">
        <v>60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104</v>
      </c>
      <c r="B278" s="181">
        <f>'Données projet'!D251</f>
        <v>66.089999999999975</v>
      </c>
      <c r="C278" s="193">
        <v>45.375</v>
      </c>
      <c r="D278" s="179">
        <f t="shared" si="14"/>
        <v>2998.8337499999989</v>
      </c>
      <c r="E278" s="193">
        <v>60</v>
      </c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114</v>
      </c>
      <c r="B279" s="181">
        <f>'Données projet'!D252</f>
        <v>61.860000000000014</v>
      </c>
      <c r="C279" s="193">
        <v>45.375</v>
      </c>
      <c r="D279" s="179">
        <f t="shared" si="14"/>
        <v>2806.8975000000005</v>
      </c>
      <c r="E279" s="193">
        <v>60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124</v>
      </c>
      <c r="B280" s="181">
        <f>'Données projet'!D253</f>
        <v>57.81</v>
      </c>
      <c r="C280" s="193">
        <v>45.375</v>
      </c>
      <c r="D280" s="179">
        <f t="shared" si="14"/>
        <v>2623.1287500000003</v>
      </c>
      <c r="E280" s="193">
        <v>60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134</v>
      </c>
      <c r="B281" s="181">
        <f>'Données projet'!D254</f>
        <v>60.779999999999973</v>
      </c>
      <c r="C281" s="193">
        <v>138</v>
      </c>
      <c r="D281" s="179">
        <f t="shared" si="14"/>
        <v>8387.6399999999958</v>
      </c>
      <c r="E281" s="193">
        <v>60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144</v>
      </c>
      <c r="B282" s="181">
        <f>'Données projet'!D255</f>
        <v>61.800000000000068</v>
      </c>
      <c r="C282" s="193">
        <v>138</v>
      </c>
      <c r="D282" s="179">
        <f t="shared" si="14"/>
        <v>8528.4000000000087</v>
      </c>
      <c r="E282" s="193">
        <v>60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154</v>
      </c>
      <c r="B283" s="181">
        <f>'Données projet'!D256</f>
        <v>61.050000000000011</v>
      </c>
      <c r="C283" s="193">
        <v>138</v>
      </c>
      <c r="D283" s="179">
        <f t="shared" si="14"/>
        <v>8424.9000000000015</v>
      </c>
      <c r="E283" s="193">
        <v>60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164</v>
      </c>
      <c r="B284" s="181">
        <f>'Données projet'!D257</f>
        <v>66.020000000000095</v>
      </c>
      <c r="C284" s="193">
        <v>138</v>
      </c>
      <c r="D284" s="179">
        <f t="shared" si="14"/>
        <v>9110.760000000013</v>
      </c>
      <c r="E284" s="193">
        <v>60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174</v>
      </c>
      <c r="B285" s="181">
        <f>'Données projet'!D258</f>
        <v>240</v>
      </c>
      <c r="C285" s="193">
        <v>156.375</v>
      </c>
      <c r="D285" s="179">
        <f t="shared" si="14"/>
        <v>37530</v>
      </c>
      <c r="E285" s="193">
        <v>60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177</v>
      </c>
      <c r="B286" s="181">
        <f>'Données projet'!D259</f>
        <v>128.66000000000003</v>
      </c>
      <c r="C286" s="193">
        <v>156.375</v>
      </c>
      <c r="D286" s="179">
        <f t="shared" si="14"/>
        <v>20119.207500000004</v>
      </c>
      <c r="E286" s="193">
        <v>60</v>
      </c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180</v>
      </c>
      <c r="B287" s="181">
        <f>'Données projet'!D260</f>
        <v>86.97</v>
      </c>
      <c r="C287" s="193">
        <v>156.375</v>
      </c>
      <c r="D287" s="179">
        <f t="shared" si="14"/>
        <v>13599.93375</v>
      </c>
      <c r="E287" s="193">
        <v>60</v>
      </c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183</v>
      </c>
      <c r="B288" s="181">
        <f>'Données projet'!D261</f>
        <v>191.47</v>
      </c>
      <c r="C288" s="193">
        <v>156.375</v>
      </c>
      <c r="D288" s="179">
        <f t="shared" si="14"/>
        <v>29941.12125</v>
      </c>
      <c r="E288" s="193">
        <v>60</v>
      </c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AFDA3D76-1544-4040-B8BE-FC0A78F19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2024-05-16T14:42:10Z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