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BAUX - 14098069 LE/"/>
    </mc:Choice>
  </mc:AlternateContent>
  <xr:revisionPtr revIDLastSave="83" documentId="8_{ABE216A5-3506-4826-8CC8-D2C58DE0AA46}" xr6:coauthVersionLast="47" xr6:coauthVersionMax="47" xr10:uidLastSave="{A8FFE2F5-0E0A-46E3-A4C2-8FBDD638D2DD}"/>
  <bookViews>
    <workbookView xWindow="-98" yWindow="-98" windowWidth="19396" windowHeight="1147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VAN" sheetId="6" r:id="rId6"/>
    <sheet name="REE" sheetId="4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I21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C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A105" i="2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B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EA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X155" i="2"/>
  <c r="EY154" i="2"/>
  <c r="ED154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Y155" i="2"/>
  <c r="EB156" i="2"/>
  <c r="ED155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DG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B162" i="2"/>
  <c r="ED161" i="2"/>
  <c r="HH162" i="2"/>
  <c r="EC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EA164" i="2"/>
  <c r="ED163" i="2"/>
  <c r="DH164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EB167" i="2"/>
  <c r="EA167" i="2"/>
  <c r="DG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EV168" i="2"/>
  <c r="EW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A172" i="2"/>
  <c r="ED171" i="2"/>
  <c r="EB172" i="2"/>
  <c r="HG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B175" i="2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B178" i="2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Y184" i="2"/>
  <c r="ED184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W186" i="2"/>
  <c r="ED185" i="2"/>
  <c r="EA186" i="2"/>
  <c r="EB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D189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EB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D193" i="2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FQ195" i="2" l="1"/>
  <c r="EY194" i="2"/>
  <c r="ED194" i="2"/>
  <c r="DH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Y196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Y198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DI200" i="2" s="1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FS201" i="2" l="1"/>
  <c r="ED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D201" i="2"/>
  <c r="HG202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CS116" i="2" a="1"/>
  <c r="CS116" i="2" s="1"/>
  <c r="CS137" i="2" a="1"/>
  <c r="CS137" i="2" s="1"/>
  <c r="AH151" i="2" a="1"/>
  <c r="AH151" i="2" s="1"/>
  <c r="CS77" i="2" a="1"/>
  <c r="CS77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16" i="2" a="1"/>
  <c r="EI16" i="2" s="1"/>
  <c r="EI170" i="2" a="1"/>
  <c r="EI170" i="2" s="1"/>
  <c r="CS185" i="2" a="1"/>
  <c r="CS185" i="2" s="1"/>
  <c r="CS56" i="2" a="1"/>
  <c r="CS56" i="2" s="1"/>
  <c r="CS114" i="2" a="1"/>
  <c r="CS114" i="2" s="1"/>
  <c r="DN6" i="2" a="1"/>
  <c r="DN6" i="2" s="1"/>
  <c r="DO6" i="2" s="1"/>
  <c r="CS134" i="2" a="1"/>
  <c r="CS134" i="2" s="1"/>
  <c r="CS72" i="2" a="1"/>
  <c r="CS72" i="2" s="1"/>
  <c r="HJ202" i="2"/>
  <c r="AX200" i="2"/>
  <c r="FY30" i="2" l="1" a="1"/>
  <c r="FY30" i="2" s="1"/>
  <c r="FY190" i="2" a="1"/>
  <c r="FY190" i="2" s="1"/>
  <c r="FY78" i="2" a="1"/>
  <c r="FY78" i="2" s="1"/>
  <c r="FY142" i="2" a="1"/>
  <c r="FY142" i="2" s="1"/>
  <c r="FY196" i="2" a="1"/>
  <c r="FY196" i="2" s="1"/>
  <c r="FY186" i="2" a="1"/>
  <c r="FY186" i="2" s="1"/>
  <c r="FY104" i="2" a="1"/>
  <c r="FY104" i="2" s="1"/>
  <c r="FY69" i="2" a="1"/>
  <c r="FY69" i="2" s="1"/>
  <c r="FD188" i="2" a="1"/>
  <c r="FD188" i="2" s="1"/>
  <c r="FD82" i="2" a="1"/>
  <c r="FD82" i="2" s="1"/>
  <c r="FS203" i="2"/>
  <c r="EI37" i="2" a="1"/>
  <c r="EI37" i="2" s="1"/>
  <c r="EI35" i="2" a="1"/>
  <c r="EI35" i="2" s="1"/>
  <c r="EI139" i="2" a="1"/>
  <c r="EI139" i="2" s="1"/>
  <c r="EI67" i="2" a="1"/>
  <c r="EI67" i="2" s="1"/>
  <c r="EY202" i="2"/>
  <c r="DN155" i="2" a="1"/>
  <c r="DN155" i="2" s="1"/>
  <c r="EI128" i="2" a="1"/>
  <c r="EI128" i="2" s="1"/>
  <c r="EI34" i="2" a="1"/>
  <c r="EI34" i="2" s="1"/>
  <c r="EI195" i="2" a="1"/>
  <c r="EI195" i="2" s="1"/>
  <c r="EI20" i="2" a="1"/>
  <c r="EI20" i="2" s="1"/>
  <c r="EI71" i="2" a="1"/>
  <c r="EI71" i="2" s="1"/>
  <c r="EI113" i="2" a="1"/>
  <c r="EI113" i="2" s="1"/>
  <c r="EI165" i="2" a="1"/>
  <c r="EI165" i="2" s="1"/>
  <c r="EI57" i="2" a="1"/>
  <c r="EI57" i="2" s="1"/>
  <c r="BX107" i="2" a="1"/>
  <c r="BX107" i="2" s="1"/>
  <c r="DN16" i="2" a="1"/>
  <c r="DN16" i="2" s="1"/>
  <c r="DN162" i="2" a="1"/>
  <c r="DN162" i="2" s="1"/>
  <c r="DN49" i="2" a="1"/>
  <c r="DN49" i="2" s="1"/>
  <c r="DN177" i="2" a="1"/>
  <c r="DN177" i="2" s="1"/>
  <c r="DN45" i="2" a="1"/>
  <c r="DN45" i="2" s="1"/>
  <c r="DN115" i="2" a="1"/>
  <c r="DN115" i="2" s="1"/>
  <c r="DN153" i="2" a="1"/>
  <c r="DN153" i="2" s="1"/>
  <c r="DN164" i="2" a="1"/>
  <c r="DN164" i="2" s="1"/>
  <c r="DN30" i="2" a="1"/>
  <c r="DN30" i="2" s="1"/>
  <c r="DN135" i="2" a="1"/>
  <c r="DN135" i="2" s="1"/>
  <c r="DN129" i="2" a="1"/>
  <c r="DN129" i="2" s="1"/>
  <c r="DN38" i="2" a="1"/>
  <c r="DN38" i="2" s="1"/>
  <c r="DN50" i="2" a="1"/>
  <c r="DN50" i="2" s="1"/>
  <c r="DN113" i="2" a="1"/>
  <c r="DN113" i="2" s="1"/>
  <c r="DN25" i="2" a="1"/>
  <c r="DN25" i="2" s="1"/>
  <c r="DN190" i="2" a="1"/>
  <c r="DN190" i="2" s="1"/>
  <c r="DN123" i="2" a="1"/>
  <c r="DN123" i="2" s="1"/>
  <c r="DN133" i="2" a="1"/>
  <c r="DN133" i="2" s="1"/>
  <c r="DN65" i="2" a="1"/>
  <c r="DN65" i="2" s="1"/>
  <c r="DN29" i="2" a="1"/>
  <c r="DN29" i="2" s="1"/>
  <c r="DN63" i="2" a="1"/>
  <c r="DN63" i="2" s="1"/>
  <c r="DN150" i="2" a="1"/>
  <c r="DN150" i="2" s="1"/>
  <c r="DN55" i="2" a="1"/>
  <c r="DN55" i="2" s="1"/>
  <c r="DN43" i="2" a="1"/>
  <c r="DN43" i="2" s="1"/>
  <c r="DN110" i="2" a="1"/>
  <c r="DN110" i="2" s="1"/>
  <c r="DN186" i="2" a="1"/>
  <c r="DN186" i="2" s="1"/>
  <c r="DN31" i="2" a="1"/>
  <c r="DN31" i="2" s="1"/>
  <c r="DN188" i="2" a="1"/>
  <c r="DN188" i="2" s="1"/>
  <c r="DN137" i="2" a="1"/>
  <c r="DN137" i="2" s="1"/>
  <c r="DN132" i="2" a="1"/>
  <c r="DN132" i="2" s="1"/>
  <c r="DN170" i="2" a="1"/>
  <c r="DN170" i="2" s="1"/>
  <c r="DN114" i="2" a="1"/>
  <c r="DN114" i="2" s="1"/>
  <c r="DN46" i="2" a="1"/>
  <c r="DN46" i="2" s="1"/>
  <c r="DN103" i="2" a="1"/>
  <c r="DN103" i="2" s="1"/>
  <c r="DN176" i="2" a="1"/>
  <c r="DN176" i="2" s="1"/>
  <c r="DN80" i="2" a="1"/>
  <c r="DN80" i="2" s="1"/>
  <c r="DN184" i="2" a="1"/>
  <c r="DN184" i="2" s="1"/>
  <c r="DN152" i="2" a="1"/>
  <c r="DN152" i="2" s="1"/>
  <c r="DN168" i="2" a="1"/>
  <c r="DN168" i="2" s="1"/>
  <c r="DN70" i="2" a="1"/>
  <c r="DN70" i="2" s="1"/>
  <c r="DN41" i="2" a="1"/>
  <c r="DN41" i="2" s="1"/>
  <c r="DN192" i="2" a="1"/>
  <c r="DN192" i="2" s="1"/>
  <c r="DN187" i="2" a="1"/>
  <c r="DN187" i="2" s="1"/>
  <c r="DN66" i="2" a="1"/>
  <c r="DN66" i="2" s="1"/>
  <c r="DN167" i="2" a="1"/>
  <c r="DN167" i="2" s="1"/>
  <c r="DN86" i="2" a="1"/>
  <c r="DN86" i="2" s="1"/>
  <c r="DN124" i="2" a="1"/>
  <c r="DN124" i="2" s="1"/>
  <c r="CS24" i="2" a="1"/>
  <c r="CS24" i="2" s="1"/>
  <c r="CS129" i="2" a="1"/>
  <c r="CS129" i="2" s="1"/>
  <c r="CS38" i="2" a="1"/>
  <c r="CS38" i="2" s="1"/>
  <c r="CS52" i="2" a="1"/>
  <c r="CS52" i="2" s="1"/>
  <c r="CS105" i="2" a="1"/>
  <c r="CS105" i="2" s="1"/>
  <c r="CS161" i="2" a="1"/>
  <c r="CS161" i="2" s="1"/>
  <c r="CS66" i="2" a="1"/>
  <c r="CS66" i="2" s="1"/>
  <c r="AH163" i="2" a="1"/>
  <c r="AH163" i="2" s="1"/>
  <c r="AH62" i="2" a="1"/>
  <c r="AH62" i="2" s="1"/>
  <c r="AH199" i="2" a="1"/>
  <c r="AH199" i="2" s="1"/>
  <c r="AH92" i="2" a="1"/>
  <c r="AH92" i="2" s="1"/>
  <c r="AH19" i="2" a="1"/>
  <c r="AH19" i="2" s="1"/>
  <c r="AH166" i="2" a="1"/>
  <c r="AH166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Y203" i="2"/>
  <c r="ED203" i="2"/>
  <c r="DI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EO149" i="2" l="1"/>
  <c r="EO111" i="2"/>
  <c r="EO159" i="2"/>
  <c r="EO148" i="2"/>
  <c r="EO150" i="2"/>
  <c r="EO35" i="2"/>
  <c r="EO164" i="2"/>
  <c r="EO166" i="2"/>
  <c r="EO109" i="2"/>
  <c r="EO76" i="2"/>
  <c r="EO100" i="2"/>
  <c r="EO157" i="2"/>
  <c r="EO106" i="2"/>
  <c r="EO7" i="2"/>
  <c r="EO125" i="2"/>
  <c r="EO61" i="2"/>
  <c r="EO191" i="2"/>
  <c r="EO200" i="2"/>
  <c r="EO185" i="2"/>
  <c r="EO90" i="2"/>
  <c r="EO53" i="2"/>
  <c r="EO105" i="2"/>
  <c r="EO34" i="2"/>
  <c r="EO66" i="2"/>
  <c r="EO194" i="2"/>
  <c r="EO198" i="2"/>
  <c r="EO85" i="2"/>
  <c r="EO57" i="2"/>
  <c r="EO15" i="2"/>
  <c r="EO189" i="2"/>
  <c r="EO104" i="2"/>
  <c r="EO88" i="2"/>
  <c r="EO181" i="2"/>
  <c r="EO64" i="2"/>
  <c r="EO197" i="2"/>
  <c r="EO172" i="2"/>
  <c r="EO118" i="2"/>
  <c r="EO44" i="2"/>
  <c r="EO143" i="2"/>
  <c r="EO130" i="2"/>
  <c r="EO123" i="2"/>
  <c r="EO101" i="2"/>
  <c r="EO102" i="2"/>
  <c r="EO177" i="2"/>
  <c r="EO192" i="2"/>
  <c r="EO26" i="2"/>
  <c r="EO112" i="2"/>
  <c r="EO137" i="2"/>
  <c r="EO140" i="2"/>
  <c r="EO103" i="2"/>
  <c r="EO155" i="2"/>
  <c r="EO176" i="2"/>
  <c r="EO12" i="2"/>
  <c r="EO161" i="2"/>
  <c r="EO4" i="2"/>
  <c r="EO25" i="2"/>
  <c r="EO202" i="2"/>
  <c r="EO193" i="2"/>
  <c r="EO186" i="2"/>
  <c r="EO136" i="2"/>
  <c r="EO19" i="2"/>
  <c r="EO16" i="2"/>
  <c r="EO175" i="2"/>
  <c r="EO163" i="2"/>
  <c r="EO169" i="2"/>
  <c r="EO69" i="2"/>
  <c r="EO77" i="2"/>
  <c r="EO117" i="2"/>
  <c r="EO84" i="2"/>
  <c r="EO67" i="2"/>
  <c r="EO22" i="2"/>
  <c r="EO21" i="2"/>
  <c r="EO174" i="2"/>
  <c r="EO55" i="2"/>
  <c r="EO89" i="2"/>
  <c r="EO152" i="2"/>
  <c r="EO39" i="2"/>
  <c r="EO115" i="2"/>
  <c r="EO124" i="2"/>
  <c r="EO94" i="2"/>
  <c r="EO133" i="2"/>
  <c r="EO70" i="2"/>
  <c r="EO79" i="2"/>
  <c r="EO87" i="2"/>
  <c r="EO13" i="2"/>
  <c r="EO38" i="2"/>
  <c r="EO108" i="2"/>
  <c r="EO201" i="2"/>
  <c r="EO146" i="2"/>
  <c r="EO144" i="2"/>
  <c r="EO42" i="2"/>
  <c r="EO51" i="2"/>
  <c r="EO10" i="2"/>
  <c r="EO68" i="2"/>
  <c r="EO126" i="2"/>
  <c r="EO75" i="2"/>
  <c r="EO8" i="2"/>
  <c r="EO48" i="2"/>
  <c r="EO160" i="2"/>
  <c r="EO180" i="2"/>
  <c r="EO73" i="2"/>
  <c r="EO33" i="2"/>
  <c r="EO37" i="2"/>
  <c r="EO154" i="2"/>
  <c r="EO168" i="2"/>
  <c r="EO71" i="2"/>
  <c r="EO50" i="2"/>
  <c r="EO179" i="2"/>
  <c r="EO28" i="2"/>
  <c r="EO29" i="2"/>
  <c r="EO182" i="2"/>
  <c r="EO203" i="2"/>
  <c r="EO110" i="2"/>
  <c r="EO128" i="2"/>
  <c r="EO24" i="2"/>
  <c r="EO30" i="2"/>
  <c r="EO92" i="2"/>
  <c r="EO91" i="2"/>
  <c r="EO17" i="2"/>
  <c r="EO5" i="2"/>
  <c r="EO52" i="2"/>
  <c r="EO96" i="2"/>
  <c r="EO132" i="2"/>
  <c r="EO190" i="2"/>
  <c r="EO187" i="2"/>
  <c r="EO156" i="2"/>
  <c r="EO31" i="2"/>
  <c r="EO188" i="2"/>
  <c r="EO60" i="2"/>
  <c r="EO14" i="2"/>
  <c r="EO138" i="2"/>
  <c r="EO59" i="2"/>
  <c r="EO65" i="2"/>
  <c r="EO162" i="2"/>
  <c r="EO122" i="2"/>
  <c r="EO78" i="2"/>
  <c r="EO113" i="2"/>
  <c r="EO120" i="2"/>
  <c r="EO119" i="2"/>
  <c r="EO170" i="2"/>
  <c r="EO47" i="2"/>
  <c r="EO178" i="2"/>
  <c r="EO165" i="2"/>
  <c r="EO86" i="2"/>
  <c r="EO74" i="2"/>
  <c r="EO93" i="2"/>
  <c r="EO83" i="2"/>
  <c r="EO56" i="2"/>
  <c r="EO195" i="2"/>
  <c r="EO145" i="2"/>
  <c r="EO196" i="2"/>
  <c r="EO127" i="2"/>
  <c r="EO72" i="2"/>
  <c r="EO107" i="2"/>
  <c r="EO114" i="2"/>
  <c r="EO97" i="2"/>
  <c r="EO54" i="2"/>
  <c r="EO173" i="2"/>
  <c r="EO46" i="2"/>
  <c r="EO121" i="2"/>
  <c r="EO58" i="2"/>
  <c r="EO141" i="2"/>
  <c r="EO40" i="2"/>
  <c r="EO82" i="2"/>
  <c r="EO142" i="2"/>
  <c r="EO134" i="2"/>
  <c r="EO139" i="2"/>
  <c r="EO23" i="2"/>
  <c r="EO167" i="2"/>
  <c r="EO6" i="2"/>
  <c r="EO151" i="2"/>
  <c r="EO36" i="2"/>
  <c r="EO183" i="2"/>
  <c r="EO98" i="2"/>
  <c r="EO158" i="2"/>
  <c r="EO49" i="2"/>
  <c r="EO153" i="2"/>
  <c r="EO62" i="2"/>
  <c r="EO147" i="2"/>
  <c r="EO18" i="2"/>
  <c r="EO129" i="2"/>
  <c r="EO184" i="2"/>
  <c r="EO171" i="2"/>
  <c r="EO131" i="2"/>
  <c r="EO199" i="2"/>
  <c r="EO99" i="2"/>
  <c r="EO45" i="2"/>
  <c r="EO81" i="2"/>
  <c r="EO27" i="2"/>
  <c r="EO11" i="2"/>
  <c r="EO20" i="2"/>
  <c r="EO3" i="2"/>
  <c r="C12" i="4" s="1"/>
  <c r="E12" i="4" s="1"/>
  <c r="F12" i="4" s="1"/>
  <c r="G12" i="4" s="1"/>
  <c r="L12" i="4" s="1"/>
  <c r="EO32" i="2"/>
  <c r="EO63" i="2"/>
  <c r="EO9" i="2"/>
  <c r="EO116" i="2"/>
  <c r="EO80" i="2"/>
  <c r="EO41" i="2"/>
  <c r="EO43" i="2"/>
  <c r="EO95" i="2"/>
  <c r="EO135" i="2"/>
  <c r="DT45" i="2"/>
  <c r="DT12" i="2"/>
  <c r="DT140" i="2"/>
  <c r="DT34" i="2"/>
  <c r="DT180" i="2"/>
  <c r="DT59" i="2"/>
  <c r="DT72" i="2"/>
  <c r="DT121" i="2"/>
  <c r="DT173" i="2"/>
  <c r="DT40" i="2"/>
  <c r="DT158" i="2"/>
  <c r="DT186" i="2"/>
  <c r="DT129" i="2"/>
  <c r="DT107" i="2"/>
  <c r="DT167" i="2"/>
  <c r="DT114" i="2"/>
  <c r="DT122" i="2"/>
  <c r="DT110" i="2"/>
  <c r="DT159" i="2"/>
  <c r="DT57" i="2"/>
  <c r="DT6" i="2"/>
  <c r="DT33" i="2"/>
  <c r="DT52" i="2"/>
  <c r="DT50" i="2"/>
  <c r="DT145" i="2"/>
  <c r="DT117" i="2"/>
  <c r="DT185" i="2"/>
  <c r="DT65" i="2"/>
  <c r="DT164" i="2"/>
  <c r="DT58" i="2"/>
  <c r="DT47" i="2"/>
  <c r="DT11" i="2"/>
  <c r="DT174" i="2"/>
  <c r="DT144" i="2"/>
  <c r="DT87" i="2"/>
  <c r="DT4" i="2"/>
  <c r="DT27" i="2"/>
  <c r="DT203" i="2"/>
  <c r="DT14" i="2"/>
  <c r="DT147" i="2"/>
  <c r="DT201" i="2"/>
  <c r="DT124" i="2"/>
  <c r="DT168" i="2"/>
  <c r="DT26" i="2"/>
  <c r="DT128" i="2"/>
  <c r="DT184" i="2"/>
  <c r="DT29" i="2"/>
  <c r="DT125" i="2"/>
  <c r="DT60" i="2"/>
  <c r="DT197" i="2"/>
  <c r="DT149" i="2"/>
  <c r="DT162" i="2"/>
  <c r="DT49" i="2"/>
  <c r="DT44" i="2"/>
  <c r="DT116" i="2"/>
  <c r="DT84" i="2"/>
  <c r="DT143" i="2"/>
  <c r="DT182" i="2"/>
  <c r="DT131" i="2"/>
  <c r="DT30" i="2"/>
  <c r="DT142" i="2"/>
  <c r="DT165" i="2"/>
  <c r="DT139" i="2"/>
  <c r="DT190" i="2"/>
  <c r="DT18" i="2"/>
  <c r="DT83" i="2"/>
  <c r="DT17" i="2"/>
  <c r="DT82" i="2"/>
  <c r="DT67" i="2"/>
  <c r="DT93" i="2"/>
  <c r="DT166" i="2"/>
  <c r="DT66" i="2"/>
  <c r="DT63" i="2"/>
  <c r="DT10" i="2"/>
  <c r="DT75" i="2"/>
  <c r="DT112" i="2"/>
  <c r="DT23" i="2"/>
  <c r="DT133" i="2"/>
  <c r="DT97" i="2"/>
  <c r="DT32" i="2"/>
  <c r="DT99" i="2"/>
  <c r="DT68" i="2"/>
  <c r="DT178" i="2"/>
  <c r="DT141" i="2"/>
  <c r="DT134" i="2"/>
  <c r="DT177" i="2"/>
  <c r="DT188" i="2"/>
  <c r="DT193" i="2"/>
  <c r="DT138" i="2"/>
  <c r="DT88" i="2"/>
  <c r="DT192" i="2"/>
  <c r="DT37" i="2"/>
  <c r="DT115" i="2"/>
  <c r="DT196" i="2"/>
  <c r="DT135" i="2"/>
  <c r="DT198" i="2"/>
  <c r="DT95" i="2"/>
  <c r="DT155" i="2"/>
  <c r="DT85" i="2"/>
  <c r="DT101" i="2"/>
  <c r="DT111" i="2"/>
  <c r="DT91" i="2"/>
  <c r="DT78" i="2"/>
  <c r="DT31" i="2"/>
  <c r="DT21" i="2"/>
  <c r="DT187" i="2"/>
  <c r="DT156" i="2"/>
  <c r="DT89" i="2"/>
  <c r="DT113" i="2"/>
  <c r="DT194" i="2"/>
  <c r="DT94" i="2"/>
  <c r="DT9" i="2"/>
  <c r="DT38" i="2"/>
  <c r="DT100" i="2"/>
  <c r="DT183" i="2"/>
  <c r="DT35" i="2"/>
  <c r="DT105" i="2"/>
  <c r="DT123" i="2"/>
  <c r="DT54" i="2"/>
  <c r="DT106" i="2"/>
  <c r="DT130" i="2"/>
  <c r="DT199" i="2"/>
  <c r="DT64" i="2"/>
  <c r="DT202" i="2"/>
  <c r="DT8" i="2"/>
  <c r="DT3" i="2"/>
  <c r="C11" i="4" s="1"/>
  <c r="E11" i="4" s="1"/>
  <c r="F11" i="4" s="1"/>
  <c r="G11" i="4" s="1"/>
  <c r="L11" i="4" s="1"/>
  <c r="DT71" i="2"/>
  <c r="DT137" i="2"/>
  <c r="DT74" i="2"/>
  <c r="DT76" i="2"/>
  <c r="DT48" i="2"/>
  <c r="DT119" i="2"/>
  <c r="DT55" i="2"/>
  <c r="DT146" i="2"/>
  <c r="DT79" i="2"/>
  <c r="DT181" i="2"/>
  <c r="DT15" i="2"/>
  <c r="DT176" i="2"/>
  <c r="DT136" i="2"/>
  <c r="DT69" i="2"/>
  <c r="DT151" i="2"/>
  <c r="DT5" i="2"/>
  <c r="DT80" i="2"/>
  <c r="DT163" i="2"/>
  <c r="DT132" i="2"/>
  <c r="DT42" i="2"/>
  <c r="DT16" i="2"/>
  <c r="DT108" i="2"/>
  <c r="DT161" i="2"/>
  <c r="DT56" i="2"/>
  <c r="DT169" i="2"/>
  <c r="DT53" i="2"/>
  <c r="DT195" i="2"/>
  <c r="DT7" i="2"/>
  <c r="DT171" i="2"/>
  <c r="DT28" i="2"/>
  <c r="DT73" i="2"/>
  <c r="DT104" i="2"/>
  <c r="DT96" i="2"/>
  <c r="DT154" i="2"/>
  <c r="DT25" i="2"/>
  <c r="DT61" i="2"/>
  <c r="DT118" i="2"/>
  <c r="DT13" i="2"/>
  <c r="DT62" i="2"/>
  <c r="DT152" i="2"/>
  <c r="DT179" i="2"/>
  <c r="DT81" i="2"/>
  <c r="DT160" i="2"/>
  <c r="DT103" i="2"/>
  <c r="DT77" i="2"/>
  <c r="DT36" i="2"/>
  <c r="DT120" i="2"/>
  <c r="DT19" i="2"/>
  <c r="DT92" i="2"/>
  <c r="DT172" i="2"/>
  <c r="DT41" i="2"/>
  <c r="DT126" i="2"/>
  <c r="DT191" i="2"/>
  <c r="DT102" i="2"/>
  <c r="DT43" i="2"/>
  <c r="DT51" i="2"/>
  <c r="DT98" i="2"/>
  <c r="DT46" i="2"/>
  <c r="DT24" i="2"/>
  <c r="DT20" i="2"/>
  <c r="DT200" i="2"/>
  <c r="DT148" i="2"/>
  <c r="DT127" i="2"/>
  <c r="DT150" i="2"/>
  <c r="DT90" i="2"/>
  <c r="DT86" i="2"/>
  <c r="DT70" i="2"/>
  <c r="DT157" i="2"/>
  <c r="DT175" i="2"/>
  <c r="DT39" i="2"/>
  <c r="DT153" i="2"/>
  <c r="DT109" i="2"/>
  <c r="DT22" i="2"/>
  <c r="DT189" i="2"/>
  <c r="DT170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86" i="2" l="1"/>
  <c r="BI139" i="2"/>
  <c r="BI192" i="2"/>
  <c r="BI168" i="2"/>
  <c r="BI143" i="2"/>
  <c r="BI122" i="2"/>
  <c r="BI124" i="2"/>
  <c r="BI154" i="2"/>
  <c r="BI117" i="2"/>
  <c r="BI39" i="2"/>
  <c r="BI11" i="2"/>
  <c r="BI97" i="2"/>
  <c r="BI72" i="2"/>
  <c r="BI33" i="2"/>
  <c r="BI144" i="2"/>
  <c r="BI28" i="2"/>
  <c r="BI86" i="2"/>
  <c r="BI42" i="2"/>
  <c r="BI169" i="2"/>
  <c r="BI92" i="2"/>
  <c r="BI74" i="2"/>
  <c r="BI63" i="2"/>
  <c r="BI44" i="2"/>
  <c r="BI79" i="2"/>
  <c r="BI120" i="2"/>
  <c r="BI4" i="2"/>
  <c r="BI189" i="2"/>
  <c r="BI112" i="2"/>
  <c r="BI195" i="2"/>
  <c r="BI71" i="2"/>
  <c r="BI88" i="2"/>
  <c r="BI101" i="2"/>
  <c r="BI84" i="2"/>
  <c r="BI34" i="2"/>
  <c r="BI89" i="2"/>
  <c r="BI180" i="2"/>
  <c r="BI165" i="2"/>
  <c r="BI68" i="2"/>
  <c r="BI16" i="2"/>
  <c r="BI91" i="2"/>
  <c r="BI121" i="2"/>
  <c r="BI22" i="2"/>
  <c r="BI103" i="2"/>
  <c r="BI119" i="2"/>
  <c r="BI43" i="2"/>
  <c r="BI69" i="2"/>
  <c r="BI140" i="2"/>
  <c r="BI77" i="2"/>
  <c r="BI191" i="2"/>
  <c r="BI197" i="2"/>
  <c r="BI198" i="2"/>
  <c r="BI116" i="2"/>
  <c r="BI99" i="2"/>
  <c r="BI162" i="2"/>
  <c r="BI73" i="2"/>
  <c r="BI83" i="2"/>
  <c r="BI164" i="2"/>
  <c r="BI160" i="2"/>
  <c r="BI161" i="2"/>
  <c r="BI24" i="2"/>
  <c r="BI80" i="2"/>
  <c r="BI95" i="2"/>
  <c r="BI145" i="2"/>
  <c r="BI53" i="2"/>
  <c r="BI15" i="2"/>
  <c r="BI136" i="2"/>
  <c r="BI85" i="2"/>
  <c r="BI105" i="2"/>
  <c r="BI52" i="2"/>
  <c r="BI153" i="2"/>
  <c r="BI128" i="2"/>
  <c r="BI32" i="2"/>
  <c r="BI178" i="2"/>
  <c r="BI94" i="2"/>
  <c r="BI41" i="2"/>
  <c r="BI54" i="2"/>
  <c r="BI123" i="2"/>
  <c r="BI90" i="2"/>
  <c r="BI149" i="2"/>
  <c r="BI38" i="2"/>
  <c r="BI111" i="2"/>
  <c r="BI118" i="2"/>
  <c r="BI193" i="2"/>
  <c r="BI66" i="2"/>
  <c r="BI146" i="2"/>
  <c r="BI20" i="2"/>
  <c r="BI171" i="2"/>
  <c r="BI109" i="2"/>
  <c r="BI158" i="2"/>
  <c r="BI108" i="2"/>
  <c r="BI37" i="2"/>
  <c r="BI110" i="2"/>
  <c r="BI36" i="2"/>
  <c r="BI55" i="2"/>
  <c r="BI19" i="2"/>
  <c r="BI26" i="2"/>
  <c r="BI59" i="2"/>
  <c r="BI182" i="2"/>
  <c r="BI49" i="2"/>
  <c r="BI201" i="2"/>
  <c r="BI129" i="2"/>
  <c r="BI167" i="2"/>
  <c r="BI163" i="2"/>
  <c r="BI135" i="2"/>
  <c r="BI131" i="2"/>
  <c r="BI134" i="2"/>
  <c r="BI133" i="2"/>
  <c r="BI125" i="2"/>
  <c r="BI100" i="2"/>
  <c r="BI172" i="2"/>
  <c r="BI23" i="2"/>
  <c r="BI137" i="2"/>
  <c r="BI196" i="2"/>
  <c r="BI126" i="2"/>
  <c r="BI35" i="2"/>
  <c r="BI29" i="2"/>
  <c r="BI60" i="2"/>
  <c r="BI78" i="2"/>
  <c r="BI155" i="2"/>
  <c r="BI47" i="2"/>
  <c r="BI152" i="2"/>
  <c r="BI176" i="2"/>
  <c r="BI114" i="2"/>
  <c r="BI58" i="2"/>
  <c r="BI156" i="2"/>
  <c r="BI27" i="2"/>
  <c r="BI98" i="2"/>
  <c r="BI141" i="2"/>
  <c r="BI183" i="2"/>
  <c r="BI138" i="2"/>
  <c r="BI148" i="2"/>
  <c r="BI70" i="2"/>
  <c r="BI82" i="2"/>
  <c r="BI48" i="2"/>
  <c r="BI9" i="2"/>
  <c r="BI200" i="2"/>
  <c r="BI190" i="2"/>
  <c r="BI132" i="2"/>
  <c r="BI5" i="2"/>
  <c r="BI194" i="2"/>
  <c r="BI75" i="2"/>
  <c r="BI151" i="2"/>
  <c r="BI170" i="2"/>
  <c r="BI166" i="2"/>
  <c r="BI56" i="2"/>
  <c r="BI8" i="2"/>
  <c r="BI51" i="2"/>
  <c r="BI181" i="2"/>
  <c r="BI157" i="2"/>
  <c r="BI174" i="2"/>
  <c r="BI106" i="2"/>
  <c r="BI45" i="2"/>
  <c r="BI76" i="2"/>
  <c r="BI107" i="2"/>
  <c r="BI199" i="2"/>
  <c r="BI14" i="2"/>
  <c r="BI46" i="2"/>
  <c r="BI40" i="2"/>
  <c r="BI188" i="2"/>
  <c r="BI81" i="2"/>
  <c r="BI64" i="2"/>
  <c r="BI159" i="2"/>
  <c r="BI17" i="2"/>
  <c r="BI187" i="2"/>
  <c r="BI185" i="2"/>
  <c r="BI179" i="2"/>
  <c r="BI57" i="2"/>
  <c r="BI102" i="2"/>
  <c r="BI175" i="2"/>
  <c r="BI31" i="2"/>
  <c r="BI6" i="2"/>
  <c r="BI18" i="2"/>
  <c r="BI65" i="2"/>
  <c r="BI150" i="2"/>
  <c r="BI142" i="2"/>
  <c r="BI177" i="2"/>
  <c r="BI3" i="2"/>
  <c r="C8" i="4" s="1"/>
  <c r="E8" i="4" s="1"/>
  <c r="F8" i="4" s="1"/>
  <c r="G8" i="4" s="1"/>
  <c r="L8" i="4" s="1"/>
  <c r="BI13" i="2"/>
  <c r="BI7" i="2"/>
  <c r="BI67" i="2"/>
  <c r="BI30" i="2"/>
  <c r="BI130" i="2"/>
  <c r="BI147" i="2"/>
  <c r="BI203" i="2"/>
  <c r="BI115" i="2"/>
  <c r="BI93" i="2"/>
  <c r="BI25" i="2"/>
  <c r="BI104" i="2"/>
  <c r="BI50" i="2"/>
  <c r="BI10" i="2"/>
  <c r="BI184" i="2"/>
  <c r="BI21" i="2"/>
  <c r="BI127" i="2"/>
  <c r="BI61" i="2"/>
  <c r="BI87" i="2"/>
  <c r="BI62" i="2"/>
  <c r="BI113" i="2"/>
  <c r="BI173" i="2"/>
  <c r="BI12" i="2"/>
  <c r="BI96" i="2"/>
  <c r="BI20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<sst xmlns="http://schemas.openxmlformats.org/spreadsheetml/2006/main" count="1187" uniqueCount="329">
  <si>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</si>
  <si>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</si>
  <si>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</si>
  <si>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</si>
  <si>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</si>
  <si>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</si>
  <si>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</si>
  <si>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</si>
  <si>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</si>
  <si>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</si>
  <si>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</si>
  <si>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</si>
  <si>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</si>
  <si>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</si>
  <si>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</si>
  <si>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</si>
  <si>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</si>
  <si>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</si>
  <si>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</si>
  <si>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</si>
  <si>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</si>
  <si>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</si>
  <si>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</si>
  <si>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</si>
  <si>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</si>
  <si>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</si>
  <si>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</si>
  <si>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</si>
  <si>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</si>
  <si>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</si>
  <si>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</si>
  <si>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</si>
  <si>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</si>
  <si>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</si>
  <si>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</si>
  <si>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</si>
  <si>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</si>
  <si>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</si>
  <si>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</si>
  <si>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</si>
  <si>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</si>
  <si>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</si>
  <si>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</si>
  <si>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</si>
  <si>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</si>
  <si>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</si>
  <si>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</si>
  <si>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</si>
  <si>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</si>
  <si>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</si>
  <si>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</si>
  <si>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</si>
  <si>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</si>
  <si>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</si>
  <si>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</si>
  <si>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</si>
  <si>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</si>
  <si>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</si>
  <si>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</si>
  <si>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</si>
  <si>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</si>
  <si>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</si>
  <si>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</si>
  <si>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</si>
  <si>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</si>
  <si>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</si>
  <si>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</si>
  <si>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</si>
  <si>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</si>
  <si>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</si>
  <si>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</si>
  <si>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</si>
  <si>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</si>
  <si>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</si>
  <si>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</si>
  <si>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</si>
  <si>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</si>
  <si>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</si>
  <si>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</si>
  <si>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</si>
  <si>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</si>
  <si>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</si>
  <si>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</si>
  <si>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</si>
  <si>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</si>
  <si>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</si>
  <si>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</si>
  <si>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</si>
  <si>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</si>
  <si>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</si>
  <si>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</si>
  <si>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</si>
  <si>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</si>
  <si>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</si>
  <si>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</si>
  <si>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</si>
  <si>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</si>
  <si>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</si>
  <si>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</si>
  <si>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</si>
  <si>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</si>
  <si>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</si>
  <si>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</si>
  <si>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</si>
  <si>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</si>
  <si>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</si>
  <si>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</si>
  <si>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</si>
  <si>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</si>
  <si>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</si>
  <si>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</si>
  <si>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</si>
  <si>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</si>
  <si>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</si>
  <si>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</si>
  <si>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</si>
  <si>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</si>
  <si>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</si>
  <si>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</si>
  <si>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</si>
  <si>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</si>
  <si>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</si>
  <si>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</si>
  <si>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</si>
  <si>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</si>
  <si>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</si>
  <si>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</si>
  <si>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</si>
  <si>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</si>
  <si>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</si>
  <si>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</si>
  <si>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</si>
  <si>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</si>
  <si>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</si>
  <si>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</si>
  <si>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</si>
  <si>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</si>
  <si>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</si>
  <si>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</si>
  <si>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</si>
  <si>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</si>
  <si>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</si>
  <si>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</si>
  <si>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</si>
  <si>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</si>
  <si>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</si>
  <si>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</si>
  <si>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</si>
  <si>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</si>
  <si>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</si>
  <si>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</si>
  <si>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</si>
  <si>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</si>
  <si>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</si>
  <si>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</si>
  <si>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</si>
  <si>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</si>
  <si>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</si>
  <si>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</si>
  <si>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</si>
  <si>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</si>
  <si>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</si>
  <si>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</si>
  <si>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</si>
  <si>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</si>
  <si>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</si>
  <si>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</si>
  <si>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</si>
  <si>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</si>
  <si>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</si>
  <si>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</si>
  <si>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</si>
  <si>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</si>
  <si>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</si>
  <si>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</si>
  <si>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</si>
  <si>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</si>
  <si>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</si>
  <si>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</si>
  <si>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</si>
  <si>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</si>
  <si>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</si>
  <si>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</si>
  <si>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</si>
  <si>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</si>
  <si>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</si>
  <si>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</si>
  <si>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</si>
  <si>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</si>
  <si>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</si>
  <si>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</si>
  <si>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</si>
  <si>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</si>
  <si>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</si>
  <si>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</si>
  <si>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</si>
  <si>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</si>
  <si>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</si>
  <si>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</si>
  <si>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</si>
  <si>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</si>
  <si>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</si>
  <si>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</si>
  <si>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</si>
  <si>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</si>
  <si>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</si>
  <si>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</si>
  <si>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</si>
  <si>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</si>
  <si>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</si>
  <si>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</si>
  <si>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</si>
  <si>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</si>
  <si>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</si>
  <si>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</si>
  <si>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</si>
  <si>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</si>
  <si>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</si>
  <si>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</si>
  <si>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</si>
  <si>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</si>
  <si>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</si>
  <si>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</si>
  <si>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</si>
  <si>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</si>
  <si>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</si>
  <si>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</si>
  <si>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</si>
  <si>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</si>
  <si>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</si>
  <si>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</si>
  <si>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</si>
  <si>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</si>
  <si>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</si>
  <si>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</si>
  <si>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</si>
  <si>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</si>
  <si>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</si>
  <si>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</si>
  <si>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</si>
  <si>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</si>
  <si>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</si>
  <si>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</si>
  <si>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</si>
  <si>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</si>
  <si>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</si>
  <si>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</si>
  <si>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</si>
  <si>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</si>
  <si>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</si>
  <si>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</si>
  <si>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</si>
  <si>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</si>
  <si>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</si>
  <si>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</si>
  <si>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</si>
  <si>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</si>
  <si>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</si>
  <si>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</si>
  <si>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</si>
  <si>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</si>
  <si>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</si>
  <si>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</si>
  <si>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</si>
  <si>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</si>
  <si>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</si>
  <si>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</si>
  <si>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</si>
  <si>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</si>
  <si>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</si>
  <si>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</si>
  <si>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</si>
  <si>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</si>
  <si>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</si>
  <si>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</si>
  <si>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</si>
  <si>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</si>
  <si>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</si>
  <si>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</si>
  <si>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</si>
  <si>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</si>
  <si>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</si>
  <si>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</si>
  <si>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</si>
  <si>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</si>
  <si>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</si>
  <si>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</si>
  <si>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</si>
  <si>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</si>
  <si>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</si>
  <si>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</si>
  <si>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</si>
  <si>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</si>
  <si>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</si>
  <si>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</si>
  <si>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</si>
  <si>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</si>
  <si>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</si>
  <si>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</si>
  <si>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</si>
  <si>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</si>
  <si>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</si>
  <si>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</si>
  <si>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</si>
  <si>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</si>
  <si>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</si>
  <si>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</si>
  <si>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</si>
  <si>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</si>
  <si>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</si>
  <si>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</si>
  <si>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</si>
  <si>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</si>
  <si>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</si>
  <si>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</si>
  <si>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</si>
  <si>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</si>
  <si>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</si>
  <si>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</si>
  <si>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</si>
  <si>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</si>
  <si>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</si>
  <si>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</si>
  <si>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</si>
  <si>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ONF-F1</t>
  </si>
  <si>
    <t>ONF_CHS_F3</t>
  </si>
  <si>
    <t>CR</t>
  </si>
  <si>
    <t>UK F10</t>
  </si>
  <si>
    <t>Giurgiu, 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</si>
</sst>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0" xfId="0" applyNumberFormat="1" applyProtection="1">
      <protection locked="0"/>
    </xf>
    <xf numFmtId="1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2.5214086749849955</c:v>
                </c:pt>
                <c:pt idx="2">
                  <c:v>2.9476746959687219</c:v>
                </c:pt>
                <c:pt idx="3">
                  <c:v>3.4462679343355425</c:v>
                </c:pt>
                <c:pt idx="4">
                  <c:v>4.0295028091066616</c:v>
                </c:pt>
                <c:pt idx="5">
                  <c:v>4.7117971330513244</c:v>
                </c:pt>
                <c:pt idx="6">
                  <c:v>5.5100324614070191</c:v>
                </c:pt>
                <c:pt idx="7">
                  <c:v>6.443976345102846</c:v>
                </c:pt>
                <c:pt idx="8">
                  <c:v>7.5367771500501375</c:v>
                </c:pt>
                <c:pt idx="9">
                  <c:v>8.8155439445162127</c:v>
                </c:pt>
                <c:pt idx="10">
                  <c:v>10.312026115425956</c:v>
                </c:pt>
                <c:pt idx="11">
                  <c:v>12.063409906823109</c:v>
                </c:pt>
                <c:pt idx="12">
                  <c:v>14.113252044429068</c:v>
                </c:pt>
                <c:pt idx="13">
                  <c:v>16.512574095269713</c:v>
                </c:pt>
                <c:pt idx="14">
                  <c:v>19.321145299909375</c:v>
                </c:pt>
                <c:pt idx="15">
                  <c:v>22.608986411643873</c:v>
                </c:pt>
                <c:pt idx="16">
                  <c:v>26.458132704965564</c:v>
                </c:pt>
                <c:pt idx="17">
                  <c:v>30.964700918988459</c:v>
                </c:pt>
                <c:pt idx="18">
                  <c:v>36.241312649655946</c:v>
                </c:pt>
                <c:pt idx="19">
                  <c:v>42.419935796240964</c:v>
                </c:pt>
                <c:pt idx="20">
                  <c:v>49.655216336254263</c:v>
                </c:pt>
                <c:pt idx="21">
                  <c:v>58.12838522236234</c:v>
                </c:pt>
                <c:pt idx="22">
                  <c:v>68.05183988691067</c:v>
                </c:pt>
                <c:pt idx="23">
                  <c:v>79.674517081749613</c:v>
                </c:pt>
                <c:pt idx="24">
                  <c:v>93.288194016590026</c:v>
                </c:pt>
                <c:pt idx="25">
                  <c:v>109.23487850857845</c:v>
                </c:pt>
                <c:pt idx="26">
                  <c:v>127.91547673030321</c:v>
                </c:pt>
                <c:pt idx="27">
                  <c:v>149.79995986059552</c:v>
                </c:pt>
                <c:pt idx="28">
                  <c:v>175.43928934481758</c:v>
                </c:pt>
                <c:pt idx="29">
                  <c:v>205.47940554818516</c:v>
                </c:pt>
                <c:pt idx="30">
                  <c:v>240.67763749877909</c:v>
                </c:pt>
                <c:pt idx="31">
                  <c:v>281.92195353046623</c:v>
                </c:pt>
                <c:pt idx="32">
                  <c:v>186.15874891220116</c:v>
                </c:pt>
                <c:pt idx="33">
                  <c:v>209.83368794515187</c:v>
                </c:pt>
                <c:pt idx="34">
                  <c:v>233.44697549877742</c:v>
                </c:pt>
                <c:pt idx="35">
                  <c:v>257.00572454608067</c:v>
                </c:pt>
                <c:pt idx="36">
                  <c:v>280.51563609526079</c:v>
                </c:pt>
                <c:pt idx="37">
                  <c:v>303.9813769502631</c:v>
                </c:pt>
                <c:pt idx="38">
                  <c:v>249.93134365355093</c:v>
                </c:pt>
                <c:pt idx="39">
                  <c:v>275.24300456507007</c:v>
                </c:pt>
                <c:pt idx="40">
                  <c:v>300.50238084792096</c:v>
                </c:pt>
                <c:pt idx="41">
                  <c:v>325.71448267949529</c:v>
                </c:pt>
                <c:pt idx="42">
                  <c:v>350.88348121626149</c:v>
                </c:pt>
                <c:pt idx="43">
                  <c:v>376.01290047897925</c:v>
                </c:pt>
                <c:pt idx="44">
                  <c:v>401.10575519534768</c:v>
                </c:pt>
                <c:pt idx="45">
                  <c:v>325.22050406363837</c:v>
                </c:pt>
                <c:pt idx="46">
                  <c:v>350.81669879053698</c:v>
                </c:pt>
                <c:pt idx="47">
                  <c:v>376.37195036636803</c:v>
                </c:pt>
                <c:pt idx="48">
                  <c:v>401.88942714694684</c:v>
                </c:pt>
                <c:pt idx="49">
                  <c:v>427.3718625323624</c:v>
                </c:pt>
                <c:pt idx="50">
                  <c:v>452.82163758400475</c:v>
                </c:pt>
                <c:pt idx="51">
                  <c:v>478.24084409423403</c:v>
                </c:pt>
                <c:pt idx="52">
                  <c:v>404.40156465488667</c:v>
                </c:pt>
                <c:pt idx="53">
                  <c:v>429.70934519857565</c:v>
                </c:pt>
                <c:pt idx="54">
                  <c:v>454.98510429602402</c:v>
                </c:pt>
                <c:pt idx="55">
                  <c:v>480.23086913061974</c:v>
                </c:pt>
                <c:pt idx="56">
                  <c:v>505.44843654803253</c:v>
                </c:pt>
                <c:pt idx="57">
                  <c:v>530.63940964580081</c:v>
                </c:pt>
                <c:pt idx="58">
                  <c:v>555.8052270551816</c:v>
                </c:pt>
                <c:pt idx="59">
                  <c:v>484.25885843561099</c:v>
                </c:pt>
                <c:pt idx="60">
                  <c:v>508.95737395672654</c:v>
                </c:pt>
                <c:pt idx="61">
                  <c:v>533.63057203582343</c:v>
                </c:pt>
                <c:pt idx="62">
                  <c:v>558.27978660587723</c:v>
                </c:pt>
                <c:pt idx="63">
                  <c:v>582.90622432661985</c:v>
                </c:pt>
                <c:pt idx="64">
                  <c:v>607.51098169934687</c:v>
                </c:pt>
                <c:pt idx="65">
                  <c:v>632.09505926670727</c:v>
                </c:pt>
                <c:pt idx="66">
                  <c:v>555.18973040239189</c:v>
                </c:pt>
                <c:pt idx="67">
                  <c:v>578.99055234834634</c:v>
                </c:pt>
                <c:pt idx="68">
                  <c:v>602.77097241840545</c:v>
                </c:pt>
                <c:pt idx="69">
                  <c:v>626.53190782078082</c:v>
                </c:pt>
                <c:pt idx="70">
                  <c:v>650.27420060140787</c:v>
                </c:pt>
                <c:pt idx="71">
                  <c:v>673.99862637735123</c:v>
                </c:pt>
                <c:pt idx="72">
                  <c:v>697.7059017777359</c:v>
                </c:pt>
                <c:pt idx="73">
                  <c:v>602.93967730666452</c:v>
                </c:pt>
                <c:pt idx="74">
                  <c:v>625.51680524449841</c:v>
                </c:pt>
                <c:pt idx="75">
                  <c:v>648.07707164832061</c:v>
                </c:pt>
                <c:pt idx="76">
                  <c:v>670.62114542387724</c:v>
                </c:pt>
                <c:pt idx="77">
                  <c:v>693.14964688919997</c:v>
                </c:pt>
                <c:pt idx="78">
                  <c:v>715.6631527999167</c:v>
                </c:pt>
                <c:pt idx="79">
                  <c:v>738.16220070997394</c:v>
                </c:pt>
                <c:pt idx="80">
                  <c:v>760.6472927736221</c:v>
                </c:pt>
                <c:pt idx="81">
                  <c:v>783.11889907497971</c:v>
                </c:pt>
                <c:pt idx="82">
                  <c:v>649.41198661029523</c:v>
                </c:pt>
                <c:pt idx="83">
                  <c:v>670.53247445778163</c:v>
                </c:pt>
                <c:pt idx="84">
                  <c:v>691.63929237213654</c:v>
                </c:pt>
                <c:pt idx="85">
                  <c:v>712.73291578265901</c:v>
                </c:pt>
                <c:pt idx="86">
                  <c:v>733.81378971522111</c:v>
                </c:pt>
                <c:pt idx="87">
                  <c:v>754.88233157162733</c:v>
                </c:pt>
                <c:pt idx="88">
                  <c:v>775.93893358289245</c:v>
                </c:pt>
                <c:pt idx="89">
                  <c:v>796.98396498266914</c:v>
                </c:pt>
                <c:pt idx="90">
                  <c:v>818.01777393944451</c:v>
                </c:pt>
                <c:pt idx="91">
                  <c:v>680.82655733150739</c:v>
                </c:pt>
                <c:pt idx="92">
                  <c:v>700.70631747336199</c:v>
                </c:pt>
                <c:pt idx="93">
                  <c:v>720.57453904071701</c:v>
                </c:pt>
                <c:pt idx="94">
                  <c:v>740.43158463823545</c:v>
                </c:pt>
                <c:pt idx="95">
                  <c:v>760.27779585760072</c:v>
                </c:pt>
                <c:pt idx="96">
                  <c:v>780.11349502299515</c:v>
                </c:pt>
                <c:pt idx="97">
                  <c:v>799.93898675001083</c:v>
                </c:pt>
                <c:pt idx="98">
                  <c:v>819.75455934216086</c:v>
                </c:pt>
                <c:pt idx="99">
                  <c:v>839.56048604549721</c:v>
                </c:pt>
                <c:pt idx="100">
                  <c:v>450.03971253828541</c:v>
                </c:pt>
                <c:pt idx="101">
                  <c:v>462.6078555511578</c:v>
                </c:pt>
                <c:pt idx="102">
                  <c:v>323.18652647116113</c:v>
                </c:pt>
                <c:pt idx="103">
                  <c:v>331.85696738542345</c:v>
                </c:pt>
                <c:pt idx="104">
                  <c:v>232.05276952362252</c:v>
                </c:pt>
                <c:pt idx="105">
                  <c:v>238.1604703053099</c:v>
                </c:pt>
                <c:pt idx="106">
                  <c:v>244.26460221870877</c:v>
                </c:pt>
                <c:pt idx="107">
                  <c:v>1.4484243304663672E-12</c:v>
                </c:pt>
                <c:pt idx="108">
                  <c:v>1.4484243304663672E-12</c:v>
                </c:pt>
                <c:pt idx="109">
                  <c:v>1.4484243304663672E-12</c:v>
                </c:pt>
                <c:pt idx="110">
                  <c:v>1.4484243304663672E-12</c:v>
                </c:pt>
                <c:pt idx="111">
                  <c:v>1.4484243304663672E-12</c:v>
                </c:pt>
                <c:pt idx="112">
                  <c:v>1.4484243304663672E-12</c:v>
                </c:pt>
                <c:pt idx="113">
                  <c:v>1.4484243304663672E-12</c:v>
                </c:pt>
                <c:pt idx="114">
                  <c:v>1.4484243304663672E-12</c:v>
                </c:pt>
                <c:pt idx="115">
                  <c:v>1.4484243304663672E-12</c:v>
                </c:pt>
                <c:pt idx="116">
                  <c:v>1.4484243304663672E-12</c:v>
                </c:pt>
                <c:pt idx="117">
                  <c:v>1.4484243304663672E-12</c:v>
                </c:pt>
                <c:pt idx="118">
                  <c:v>1.4484243304663672E-12</c:v>
                </c:pt>
                <c:pt idx="119">
                  <c:v>1.4484243304663672E-12</c:v>
                </c:pt>
                <c:pt idx="120">
                  <c:v>1.4484243304663672E-12</c:v>
                </c:pt>
                <c:pt idx="121">
                  <c:v>1.4484243304663672E-12</c:v>
                </c:pt>
                <c:pt idx="122">
                  <c:v>1.4484243304663672E-12</c:v>
                </c:pt>
                <c:pt idx="123">
                  <c:v>1.4484243304663672E-12</c:v>
                </c:pt>
                <c:pt idx="124">
                  <c:v>1.4484243304663672E-12</c:v>
                </c:pt>
                <c:pt idx="125">
                  <c:v>1.4484243304663672E-12</c:v>
                </c:pt>
                <c:pt idx="126">
                  <c:v>1.4484243304663672E-12</c:v>
                </c:pt>
                <c:pt idx="127">
                  <c:v>1.4484243304663672E-12</c:v>
                </c:pt>
                <c:pt idx="128">
                  <c:v>1.4484243304663672E-12</c:v>
                </c:pt>
                <c:pt idx="129">
                  <c:v>1.4484243304663672E-12</c:v>
                </c:pt>
                <c:pt idx="130">
                  <c:v>1.4484243304663672E-12</c:v>
                </c:pt>
                <c:pt idx="131">
                  <c:v>1.4484243304663672E-12</c:v>
                </c:pt>
                <c:pt idx="132">
                  <c:v>1.4484243304663672E-12</c:v>
                </c:pt>
                <c:pt idx="133">
                  <c:v>1.4484243304663672E-12</c:v>
                </c:pt>
                <c:pt idx="134">
                  <c:v>1.4484243304663672E-12</c:v>
                </c:pt>
                <c:pt idx="135">
                  <c:v>1.4484243304663672E-12</c:v>
                </c:pt>
                <c:pt idx="136">
                  <c:v>1.4484243304663672E-12</c:v>
                </c:pt>
                <c:pt idx="137">
                  <c:v>1.4484243304663672E-12</c:v>
                </c:pt>
                <c:pt idx="138">
                  <c:v>1.4484243304663672E-12</c:v>
                </c:pt>
                <c:pt idx="139">
                  <c:v>1.4484243304663672E-12</c:v>
                </c:pt>
                <c:pt idx="140">
                  <c:v>1.4484243304663672E-12</c:v>
                </c:pt>
                <c:pt idx="141">
                  <c:v>1.4484243304663672E-12</c:v>
                </c:pt>
                <c:pt idx="142">
                  <c:v>1.4484243304663672E-12</c:v>
                </c:pt>
                <c:pt idx="143">
                  <c:v>1.4484243304663672E-12</c:v>
                </c:pt>
                <c:pt idx="144">
                  <c:v>1.4484243304663672E-12</c:v>
                </c:pt>
                <c:pt idx="145">
                  <c:v>1.4484243304663672E-12</c:v>
                </c:pt>
                <c:pt idx="146">
                  <c:v>1.4484243304663672E-12</c:v>
                </c:pt>
                <c:pt idx="147">
                  <c:v>1.4484243304663672E-12</c:v>
                </c:pt>
                <c:pt idx="148">
                  <c:v>1.4484243304663672E-12</c:v>
                </c:pt>
                <c:pt idx="149">
                  <c:v>1.4484243304663672E-12</c:v>
                </c:pt>
                <c:pt idx="150">
                  <c:v>1.4484243304663672E-12</c:v>
                </c:pt>
                <c:pt idx="151">
                  <c:v>1.4484243304663672E-12</c:v>
                </c:pt>
                <c:pt idx="152">
                  <c:v>1.4484243304663672E-12</c:v>
                </c:pt>
                <c:pt idx="153">
                  <c:v>1.4484243304663672E-12</c:v>
                </c:pt>
                <c:pt idx="154">
                  <c:v>1.4484243304663672E-12</c:v>
                </c:pt>
                <c:pt idx="155">
                  <c:v>1.4484243304663672E-12</c:v>
                </c:pt>
                <c:pt idx="156">
                  <c:v>1.4484243304663672E-12</c:v>
                </c:pt>
                <c:pt idx="157">
                  <c:v>1.4484243304663672E-12</c:v>
                </c:pt>
                <c:pt idx="158">
                  <c:v>1.4484243304663672E-12</c:v>
                </c:pt>
                <c:pt idx="159">
                  <c:v>1.4484243304663672E-12</c:v>
                </c:pt>
                <c:pt idx="160">
                  <c:v>1.4484243304663672E-12</c:v>
                </c:pt>
                <c:pt idx="161">
                  <c:v>1.4484243304663672E-12</c:v>
                </c:pt>
                <c:pt idx="162">
                  <c:v>1.4484243304663672E-12</c:v>
                </c:pt>
                <c:pt idx="163">
                  <c:v>1.4484243304663672E-12</c:v>
                </c:pt>
                <c:pt idx="164">
                  <c:v>1.4484243304663672E-12</c:v>
                </c:pt>
                <c:pt idx="165">
                  <c:v>1.4484243304663672E-12</c:v>
                </c:pt>
                <c:pt idx="166">
                  <c:v>1.4484243304663672E-12</c:v>
                </c:pt>
                <c:pt idx="167">
                  <c:v>1.4484243304663672E-12</c:v>
                </c:pt>
                <c:pt idx="168">
                  <c:v>1.4484243304663672E-12</c:v>
                </c:pt>
                <c:pt idx="169">
                  <c:v>1.4484243304663672E-12</c:v>
                </c:pt>
                <c:pt idx="170">
                  <c:v>1.4484243304663672E-12</c:v>
                </c:pt>
                <c:pt idx="171">
                  <c:v>1.4484243304663672E-12</c:v>
                </c:pt>
                <c:pt idx="172">
                  <c:v>1.4484243304663672E-12</c:v>
                </c:pt>
                <c:pt idx="173">
                  <c:v>1.4484243304663672E-12</c:v>
                </c:pt>
                <c:pt idx="174">
                  <c:v>1.4484243304663672E-12</c:v>
                </c:pt>
                <c:pt idx="175">
                  <c:v>1.4484243304663672E-12</c:v>
                </c:pt>
                <c:pt idx="176">
                  <c:v>1.4484243304663672E-12</c:v>
                </c:pt>
                <c:pt idx="177">
                  <c:v>1.4484243304663672E-12</c:v>
                </c:pt>
                <c:pt idx="178">
                  <c:v>1.4484243304663672E-12</c:v>
                </c:pt>
                <c:pt idx="179">
                  <c:v>1.4484243304663672E-12</c:v>
                </c:pt>
                <c:pt idx="180">
                  <c:v>1.4484243304663672E-12</c:v>
                </c:pt>
                <c:pt idx="181">
                  <c:v>1.4484243304663672E-12</c:v>
                </c:pt>
                <c:pt idx="182">
                  <c:v>1.4484243304663672E-12</c:v>
                </c:pt>
                <c:pt idx="183">
                  <c:v>1.4484243304663672E-12</c:v>
                </c:pt>
                <c:pt idx="184">
                  <c:v>1.4484243304663672E-12</c:v>
                </c:pt>
                <c:pt idx="185">
                  <c:v>1.4484243304663672E-12</c:v>
                </c:pt>
                <c:pt idx="186">
                  <c:v>1.4484243304663672E-12</c:v>
                </c:pt>
                <c:pt idx="187">
                  <c:v>1.4484243304663672E-12</c:v>
                </c:pt>
                <c:pt idx="188">
                  <c:v>1.4484243304663672E-12</c:v>
                </c:pt>
                <c:pt idx="189">
                  <c:v>1.4484243304663672E-12</c:v>
                </c:pt>
                <c:pt idx="190">
                  <c:v>1.4484243304663672E-12</c:v>
                </c:pt>
                <c:pt idx="191">
                  <c:v>1.4484243304663672E-12</c:v>
                </c:pt>
                <c:pt idx="192">
                  <c:v>1.4484243304663672E-12</c:v>
                </c:pt>
                <c:pt idx="193">
                  <c:v>1.4484243304663672E-12</c:v>
                </c:pt>
                <c:pt idx="194">
                  <c:v>1.4484243304663672E-12</c:v>
                </c:pt>
                <c:pt idx="195">
                  <c:v>1.4484243304663672E-12</c:v>
                </c:pt>
                <c:pt idx="196">
                  <c:v>1.4484243304663672E-12</c:v>
                </c:pt>
                <c:pt idx="197">
                  <c:v>1.4484243304663672E-12</c:v>
                </c:pt>
                <c:pt idx="198">
                  <c:v>1.4484243304663672E-12</c:v>
                </c:pt>
                <c:pt idx="199">
                  <c:v>1.4484243304663672E-12</c:v>
                </c:pt>
                <c:pt idx="200">
                  <c:v>1.4484243304663672E-12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73.254680870054571</c:v>
                </c:pt>
                <c:pt idx="17">
                  <c:v>85.422490193978277</c:v>
                </c:pt>
                <c:pt idx="18">
                  <c:v>97.546597090535627</c:v>
                </c:pt>
                <c:pt idx="19">
                  <c:v>109.63321184045054</c:v>
                </c:pt>
                <c:pt idx="20">
                  <c:v>121.68705766035139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138.21427227726232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151.32668038460238</c:v>
                </c:pt>
                <c:pt idx="27">
                  <c:v>163.10463194167394</c:v>
                </c:pt>
                <c:pt idx="28">
                  <c:v>174.86247286052671</c:v>
                </c:pt>
                <c:pt idx="29">
                  <c:v>186.60174701218966</c:v>
                </c:pt>
                <c:pt idx="30">
                  <c:v>198.3237879023018</c:v>
                </c:pt>
                <c:pt idx="31">
                  <c:v>185.29825703239024</c:v>
                </c:pt>
                <c:pt idx="32">
                  <c:v>196.46424765821192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229.87733196669731</c:v>
                </c:pt>
                <c:pt idx="36">
                  <c:v>215.22752536323196</c:v>
                </c:pt>
                <c:pt idx="37">
                  <c:v>225.61447053517372</c:v>
                </c:pt>
                <c:pt idx="38">
                  <c:v>235.99046358292779</c:v>
                </c:pt>
                <c:pt idx="39">
                  <c:v>246.3560542968282</c:v>
                </c:pt>
                <c:pt idx="40">
                  <c:v>256.71174238331622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265.76520570407035</c:v>
                </c:pt>
                <c:pt idx="47">
                  <c:v>274.81171839209094</c:v>
                </c:pt>
                <c:pt idx="48">
                  <c:v>283.85154171752504</c:v>
                </c:pt>
                <c:pt idx="49">
                  <c:v>292.88491893596603</c:v>
                </c:pt>
                <c:pt idx="50">
                  <c:v>301.91207706001939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305.96312075604675</c:v>
                </c:pt>
                <c:pt idx="57">
                  <c:v>313.69363540885178</c:v>
                </c:pt>
                <c:pt idx="58">
                  <c:v>321.41992623463273</c:v>
                </c:pt>
                <c:pt idx="59">
                  <c:v>329.14210918127696</c:v>
                </c:pt>
                <c:pt idx="60">
                  <c:v>336.86029430705378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340.35056918220135</c:v>
                </c:pt>
                <c:pt idx="67">
                  <c:v>347.51236094515156</c:v>
                </c:pt>
                <c:pt idx="68">
                  <c:v>354.67091326876124</c:v>
                </c:pt>
                <c:pt idx="69">
                  <c:v>361.82630081896741</c:v>
                </c:pt>
                <c:pt idx="70">
                  <c:v>368.9785950649777</c:v>
                </c:pt>
                <c:pt idx="71">
                  <c:v>355.40494358786822</c:v>
                </c:pt>
                <c:pt idx="72">
                  <c:v>362.0097313214273</c:v>
                </c:pt>
                <c:pt idx="73">
                  <c:v>368.61188489876866</c:v>
                </c:pt>
                <c:pt idx="74">
                  <c:v>375.21145820009184</c:v>
                </c:pt>
                <c:pt idx="75">
                  <c:v>381.80850305381131</c:v>
                </c:pt>
                <c:pt idx="76">
                  <c:v>368.61188489876872</c:v>
                </c:pt>
                <c:pt idx="77">
                  <c:v>374.66159103269365</c:v>
                </c:pt>
                <c:pt idx="78">
                  <c:v>380.70916902435778</c:v>
                </c:pt>
                <c:pt idx="79">
                  <c:v>386.75465748199412</c:v>
                </c:pt>
                <c:pt idx="80">
                  <c:v>392.79809370720199</c:v>
                </c:pt>
                <c:pt idx="81">
                  <c:v>380.34270900980073</c:v>
                </c:pt>
                <c:pt idx="82">
                  <c:v>386.20515297660967</c:v>
                </c:pt>
                <c:pt idx="83">
                  <c:v>392.06566407054515</c:v>
                </c:pt>
                <c:pt idx="84">
                  <c:v>397.92427528799885</c:v>
                </c:pt>
                <c:pt idx="85">
                  <c:v>403.78101857356393</c:v>
                </c:pt>
                <c:pt idx="86">
                  <c:v>391.8825520256982</c:v>
                </c:pt>
                <c:pt idx="87">
                  <c:v>397.37511032418206</c:v>
                </c:pt>
                <c:pt idx="88">
                  <c:v>402.86602430053199</c:v>
                </c:pt>
                <c:pt idx="89">
                  <c:v>408.35531955034395</c:v>
                </c:pt>
                <c:pt idx="90">
                  <c:v>413.84302092427475</c:v>
                </c:pt>
                <c:pt idx="91">
                  <c:v>401.76797181151147</c:v>
                </c:pt>
                <c:pt idx="92">
                  <c:v>407.07462745738638</c:v>
                </c:pt>
                <c:pt idx="93">
                  <c:v>412.37978836079873</c:v>
                </c:pt>
                <c:pt idx="94">
                  <c:v>417.68347648311237</c:v>
                </c:pt>
                <c:pt idx="95">
                  <c:v>422.98571318193211</c:v>
                </c:pt>
                <c:pt idx="96">
                  <c:v>411.6481300794</c:v>
                </c:pt>
                <c:pt idx="97">
                  <c:v>416.76915163430607</c:v>
                </c:pt>
                <c:pt idx="98">
                  <c:v>421.88881674752491</c:v>
                </c:pt>
                <c:pt idx="99">
                  <c:v>427.00714421800649</c:v>
                </c:pt>
                <c:pt idx="100">
                  <c:v>432.12415235683983</c:v>
                </c:pt>
                <c:pt idx="101">
                  <c:v>421.15751834664792</c:v>
                </c:pt>
                <c:pt idx="102">
                  <c:v>425.72768674484399</c:v>
                </c:pt>
                <c:pt idx="103">
                  <c:v>430.29679977258553</c:v>
                </c:pt>
                <c:pt idx="104">
                  <c:v>434.86487022897182</c:v>
                </c:pt>
                <c:pt idx="105">
                  <c:v>439.43191062199884</c:v>
                </c:pt>
                <c:pt idx="106">
                  <c:v>428.65203984890587</c:v>
                </c:pt>
                <c:pt idx="107">
                  <c:v>433.40320034685732</c:v>
                </c:pt>
                <c:pt idx="108">
                  <c:v>438.15324243063105</c:v>
                </c:pt>
                <c:pt idx="109">
                  <c:v>442.90217994739697</c:v>
                </c:pt>
                <c:pt idx="110">
                  <c:v>447.65002642287322</c:v>
                </c:pt>
                <c:pt idx="111">
                  <c:v>4.0650021179971913E-12</c:v>
                </c:pt>
                <c:pt idx="112">
                  <c:v>4.0650021179971913E-12</c:v>
                </c:pt>
                <c:pt idx="113">
                  <c:v>4.0650021179971913E-12</c:v>
                </c:pt>
                <c:pt idx="114">
                  <c:v>4.0650021179971913E-12</c:v>
                </c:pt>
                <c:pt idx="115">
                  <c:v>4.0650021179971913E-12</c:v>
                </c:pt>
                <c:pt idx="116">
                  <c:v>4.0650021179971913E-12</c:v>
                </c:pt>
                <c:pt idx="117">
                  <c:v>4.0650021179971913E-12</c:v>
                </c:pt>
                <c:pt idx="118">
                  <c:v>4.0650021179971913E-12</c:v>
                </c:pt>
                <c:pt idx="119">
                  <c:v>4.0650021179971913E-12</c:v>
                </c:pt>
                <c:pt idx="120">
                  <c:v>4.0650021179971913E-12</c:v>
                </c:pt>
                <c:pt idx="121">
                  <c:v>4.0650021179971913E-12</c:v>
                </c:pt>
                <c:pt idx="122">
                  <c:v>4.0650021179971913E-12</c:v>
                </c:pt>
                <c:pt idx="123">
                  <c:v>4.0650021179971913E-12</c:v>
                </c:pt>
                <c:pt idx="124">
                  <c:v>4.0650021179971913E-12</c:v>
                </c:pt>
                <c:pt idx="125">
                  <c:v>4.0650021179971913E-12</c:v>
                </c:pt>
                <c:pt idx="126">
                  <c:v>4.0650021179971913E-12</c:v>
                </c:pt>
                <c:pt idx="127">
                  <c:v>4.0650021179971913E-12</c:v>
                </c:pt>
                <c:pt idx="128">
                  <c:v>4.0650021179971913E-12</c:v>
                </c:pt>
                <c:pt idx="129">
                  <c:v>4.0650021179971913E-12</c:v>
                </c:pt>
                <c:pt idx="130">
                  <c:v>4.0650021179971913E-12</c:v>
                </c:pt>
                <c:pt idx="131">
                  <c:v>4.0650021179971913E-12</c:v>
                </c:pt>
                <c:pt idx="132">
                  <c:v>4.0650021179971913E-12</c:v>
                </c:pt>
                <c:pt idx="133">
                  <c:v>4.0650021179971913E-12</c:v>
                </c:pt>
                <c:pt idx="134">
                  <c:v>4.0650021179971913E-12</c:v>
                </c:pt>
                <c:pt idx="135">
                  <c:v>4.0650021179971913E-12</c:v>
                </c:pt>
                <c:pt idx="136">
                  <c:v>4.0650021179971913E-12</c:v>
                </c:pt>
                <c:pt idx="137">
                  <c:v>4.0650021179971913E-12</c:v>
                </c:pt>
                <c:pt idx="138">
                  <c:v>4.0650021179971913E-12</c:v>
                </c:pt>
                <c:pt idx="139">
                  <c:v>4.0650021179971913E-12</c:v>
                </c:pt>
                <c:pt idx="140">
                  <c:v>4.0650021179971913E-12</c:v>
                </c:pt>
                <c:pt idx="141">
                  <c:v>4.0650021179971913E-12</c:v>
                </c:pt>
                <c:pt idx="142">
                  <c:v>4.0650021179971913E-12</c:v>
                </c:pt>
                <c:pt idx="143">
                  <c:v>4.0650021179971913E-12</c:v>
                </c:pt>
                <c:pt idx="144">
                  <c:v>4.0650021179971913E-12</c:v>
                </c:pt>
                <c:pt idx="145">
                  <c:v>4.0650021179971913E-12</c:v>
                </c:pt>
                <c:pt idx="146">
                  <c:v>4.0650021179971913E-12</c:v>
                </c:pt>
                <c:pt idx="147">
                  <c:v>4.0650021179971913E-12</c:v>
                </c:pt>
                <c:pt idx="148">
                  <c:v>4.0650021179971913E-12</c:v>
                </c:pt>
                <c:pt idx="149">
                  <c:v>4.0650021179971913E-12</c:v>
                </c:pt>
                <c:pt idx="150">
                  <c:v>4.0650021179971913E-12</c:v>
                </c:pt>
                <c:pt idx="151">
                  <c:v>4.0650021179971913E-12</c:v>
                </c:pt>
                <c:pt idx="152">
                  <c:v>4.0650021179971913E-12</c:v>
                </c:pt>
                <c:pt idx="153">
                  <c:v>4.0650021179971913E-12</c:v>
                </c:pt>
                <c:pt idx="154">
                  <c:v>4.0650021179971913E-12</c:v>
                </c:pt>
                <c:pt idx="155">
                  <c:v>4.0650021179971913E-12</c:v>
                </c:pt>
                <c:pt idx="156">
                  <c:v>4.0650021179971913E-12</c:v>
                </c:pt>
                <c:pt idx="157">
                  <c:v>4.0650021179971913E-12</c:v>
                </c:pt>
                <c:pt idx="158">
                  <c:v>4.0650021179971913E-12</c:v>
                </c:pt>
                <c:pt idx="159">
                  <c:v>4.0650021179971913E-12</c:v>
                </c:pt>
                <c:pt idx="160">
                  <c:v>4.0650021179971913E-12</c:v>
                </c:pt>
                <c:pt idx="161">
                  <c:v>4.0650021179971913E-12</c:v>
                </c:pt>
                <c:pt idx="162">
                  <c:v>4.0650021179971913E-12</c:v>
                </c:pt>
                <c:pt idx="163">
                  <c:v>4.0650021179971913E-12</c:v>
                </c:pt>
                <c:pt idx="164">
                  <c:v>4.0650021179971913E-12</c:v>
                </c:pt>
                <c:pt idx="165">
                  <c:v>4.0650021179971913E-12</c:v>
                </c:pt>
                <c:pt idx="166">
                  <c:v>4.0650021179971913E-12</c:v>
                </c:pt>
                <c:pt idx="167">
                  <c:v>4.0650021179971913E-12</c:v>
                </c:pt>
                <c:pt idx="168">
                  <c:v>4.0650021179971913E-12</c:v>
                </c:pt>
                <c:pt idx="169">
                  <c:v>4.0650021179971913E-12</c:v>
                </c:pt>
                <c:pt idx="170">
                  <c:v>4.0650021179971913E-12</c:v>
                </c:pt>
                <c:pt idx="171">
                  <c:v>4.0650021179971913E-12</c:v>
                </c:pt>
                <c:pt idx="172">
                  <c:v>4.0650021179971913E-12</c:v>
                </c:pt>
                <c:pt idx="173">
                  <c:v>4.0650021179971913E-12</c:v>
                </c:pt>
                <c:pt idx="174">
                  <c:v>4.0650021179971913E-12</c:v>
                </c:pt>
                <c:pt idx="175">
                  <c:v>4.0650021179971913E-12</c:v>
                </c:pt>
                <c:pt idx="176">
                  <c:v>4.0650021179971913E-12</c:v>
                </c:pt>
                <c:pt idx="177">
                  <c:v>4.0650021179971913E-12</c:v>
                </c:pt>
                <c:pt idx="178">
                  <c:v>4.0650021179971913E-12</c:v>
                </c:pt>
                <c:pt idx="179">
                  <c:v>4.0650021179971913E-12</c:v>
                </c:pt>
                <c:pt idx="180">
                  <c:v>4.0650021179971913E-12</c:v>
                </c:pt>
                <c:pt idx="181">
                  <c:v>4.0650021179971913E-12</c:v>
                </c:pt>
                <c:pt idx="182">
                  <c:v>4.0650021179971913E-12</c:v>
                </c:pt>
                <c:pt idx="183">
                  <c:v>4.0650021179971913E-12</c:v>
                </c:pt>
                <c:pt idx="184">
                  <c:v>4.0650021179971913E-12</c:v>
                </c:pt>
                <c:pt idx="185">
                  <c:v>4.0650021179971913E-12</c:v>
                </c:pt>
                <c:pt idx="186">
                  <c:v>4.0650021179971913E-12</c:v>
                </c:pt>
                <c:pt idx="187">
                  <c:v>4.0650021179971913E-12</c:v>
                </c:pt>
                <c:pt idx="188">
                  <c:v>4.0650021179971913E-12</c:v>
                </c:pt>
                <c:pt idx="189">
                  <c:v>4.0650021179971913E-12</c:v>
                </c:pt>
                <c:pt idx="190">
                  <c:v>4.0650021179971913E-12</c:v>
                </c:pt>
                <c:pt idx="191">
                  <c:v>4.0650021179971913E-12</c:v>
                </c:pt>
                <c:pt idx="192">
                  <c:v>4.0650021179971913E-12</c:v>
                </c:pt>
                <c:pt idx="193">
                  <c:v>4.0650021179971913E-12</c:v>
                </c:pt>
                <c:pt idx="194">
                  <c:v>4.0650021179971913E-12</c:v>
                </c:pt>
                <c:pt idx="195">
                  <c:v>4.0650021179971913E-12</c:v>
                </c:pt>
                <c:pt idx="196">
                  <c:v>4.0650021179971913E-12</c:v>
                </c:pt>
                <c:pt idx="197">
                  <c:v>4.0650021179971913E-12</c:v>
                </c:pt>
                <c:pt idx="198">
                  <c:v>4.0650021179971913E-12</c:v>
                </c:pt>
                <c:pt idx="199">
                  <c:v>4.0650021179971913E-12</c:v>
                </c:pt>
                <c:pt idx="200">
                  <c:v>4.0650021179971913E-12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9.4285702060238972</c:v>
                </c:pt>
                <c:pt idx="2">
                  <c:v>18.444384777068841</c:v>
                </c:pt>
                <c:pt idx="3">
                  <c:v>27.326899997052351</c:v>
                </c:pt>
                <c:pt idx="4">
                  <c:v>36.127246395507832</c:v>
                </c:pt>
                <c:pt idx="5">
                  <c:v>44.868598004589423</c:v>
                </c:pt>
                <c:pt idx="6">
                  <c:v>53.564174259780692</c:v>
                </c:pt>
                <c:pt idx="7">
                  <c:v>62.222497220000982</c:v>
                </c:pt>
                <c:pt idx="8">
                  <c:v>70.849502835738306</c:v>
                </c:pt>
                <c:pt idx="9">
                  <c:v>79.4495541061127</c:v>
                </c:pt>
                <c:pt idx="10">
                  <c:v>88.025987595792586</c:v>
                </c:pt>
                <c:pt idx="11">
                  <c:v>96.581433940896787</c:v>
                </c:pt>
                <c:pt idx="12">
                  <c:v>105.11801804649811</c:v>
                </c:pt>
                <c:pt idx="13">
                  <c:v>113.63749047164845</c:v>
                </c:pt>
                <c:pt idx="14">
                  <c:v>122.14131715969658</c:v>
                </c:pt>
                <c:pt idx="15">
                  <c:v>130.63074276676096</c:v>
                </c:pt>
                <c:pt idx="16">
                  <c:v>139.10683660601836</c:v>
                </c:pt>
                <c:pt idx="17">
                  <c:v>147.57052677177674</c:v>
                </c:pt>
                <c:pt idx="18">
                  <c:v>156.02262600269316</c:v>
                </c:pt>
                <c:pt idx="19">
                  <c:v>164.46385163283787</c:v>
                </c:pt>
                <c:pt idx="20">
                  <c:v>172.89484122271199</c:v>
                </c:pt>
                <c:pt idx="21">
                  <c:v>181.31616497521915</c:v>
                </c:pt>
                <c:pt idx="22">
                  <c:v>189.72833571968431</c:v>
                </c:pt>
                <c:pt idx="23">
                  <c:v>198.13181702928179</c:v>
                </c:pt>
                <c:pt idx="24">
                  <c:v>206.52702988690271</c:v>
                </c:pt>
                <c:pt idx="25">
                  <c:v>214.91435820873895</c:v>
                </c:pt>
                <c:pt idx="26">
                  <c:v>223.29415345921657</c:v>
                </c:pt>
                <c:pt idx="27">
                  <c:v>231.66673853596896</c:v>
                </c:pt>
                <c:pt idx="28">
                  <c:v>240.03241106307971</c:v>
                </c:pt>
                <c:pt idx="29">
                  <c:v>248.39144620064033</c:v>
                </c:pt>
                <c:pt idx="30">
                  <c:v>256.7440990558967</c:v>
                </c:pt>
                <c:pt idx="31">
                  <c:v>265.09060676387742</c:v>
                </c:pt>
                <c:pt idx="32">
                  <c:v>273.43119029201307</c:v>
                </c:pt>
                <c:pt idx="33">
                  <c:v>281.76605601284024</c:v>
                </c:pt>
                <c:pt idx="34">
                  <c:v>290.09539708071998</c:v>
                </c:pt>
                <c:pt idx="35">
                  <c:v>298.41939464203716</c:v>
                </c:pt>
                <c:pt idx="36">
                  <c:v>306.73821890320409</c:v>
                </c:pt>
                <c:pt idx="37">
                  <c:v>315.05203007666051</c:v>
                </c:pt>
                <c:pt idx="38">
                  <c:v>323.36097922172905</c:v>
                </c:pt>
                <c:pt idx="39">
                  <c:v>194.97681309491369</c:v>
                </c:pt>
                <c:pt idx="40">
                  <c:v>215.48048133498818</c:v>
                </c:pt>
                <c:pt idx="41">
                  <c:v>235.93925225699118</c:v>
                </c:pt>
                <c:pt idx="42">
                  <c:v>256.35756636433331</c:v>
                </c:pt>
                <c:pt idx="43">
                  <c:v>276.73909854856475</c:v>
                </c:pt>
                <c:pt idx="44">
                  <c:v>297.08693798213505</c:v>
                </c:pt>
                <c:pt idx="45">
                  <c:v>317.4037160536642</c:v>
                </c:pt>
                <c:pt idx="46">
                  <c:v>251.67920291887444</c:v>
                </c:pt>
                <c:pt idx="47">
                  <c:v>272.46035487790169</c:v>
                </c:pt>
                <c:pt idx="48">
                  <c:v>293.20587424477088</c:v>
                </c:pt>
                <c:pt idx="49">
                  <c:v>313.91863581035426</c:v>
                </c:pt>
                <c:pt idx="50">
                  <c:v>334.60110401983258</c:v>
                </c:pt>
                <c:pt idx="51">
                  <c:v>355.25541382185821</c:v>
                </c:pt>
                <c:pt idx="52">
                  <c:v>375.88343171696397</c:v>
                </c:pt>
                <c:pt idx="53">
                  <c:v>304.57648734364972</c:v>
                </c:pt>
                <c:pt idx="54">
                  <c:v>325.0271579964969</c:v>
                </c:pt>
                <c:pt idx="55">
                  <c:v>345.44940499164642</c:v>
                </c:pt>
                <c:pt idx="56">
                  <c:v>365.84514419154061</c:v>
                </c:pt>
                <c:pt idx="57">
                  <c:v>386.21606047150499</c:v>
                </c:pt>
                <c:pt idx="58">
                  <c:v>406.5636465350504</c:v>
                </c:pt>
                <c:pt idx="59">
                  <c:v>426.88923355107414</c:v>
                </c:pt>
                <c:pt idx="60">
                  <c:v>360.87606837756579</c:v>
                </c:pt>
                <c:pt idx="61">
                  <c:v>380.98427318350554</c:v>
                </c:pt>
                <c:pt idx="62">
                  <c:v>401.06940214328887</c:v>
                </c:pt>
                <c:pt idx="63">
                  <c:v>421.13277277148086</c:v>
                </c:pt>
                <c:pt idx="64">
                  <c:v>441.17556686662056</c:v>
                </c:pt>
                <c:pt idx="65">
                  <c:v>461.19885014796415</c:v>
                </c:pt>
                <c:pt idx="66">
                  <c:v>481.203588304687</c:v>
                </c:pt>
                <c:pt idx="67">
                  <c:v>501.19066023780152</c:v>
                </c:pt>
                <c:pt idx="68">
                  <c:v>433.7048844965496</c:v>
                </c:pt>
                <c:pt idx="69">
                  <c:v>453.53773268068068</c:v>
                </c:pt>
                <c:pt idx="70">
                  <c:v>473.35204850604765</c:v>
                </c:pt>
                <c:pt idx="71">
                  <c:v>493.1487163597476</c:v>
                </c:pt>
                <c:pt idx="72">
                  <c:v>512.92854388067656</c:v>
                </c:pt>
                <c:pt idx="73">
                  <c:v>532.69227138282258</c:v>
                </c:pt>
                <c:pt idx="74">
                  <c:v>552.44057980788193</c:v>
                </c:pt>
                <c:pt idx="75">
                  <c:v>572.17409748212037</c:v>
                </c:pt>
                <c:pt idx="76">
                  <c:v>502.55034823623947</c:v>
                </c:pt>
                <c:pt idx="77">
                  <c:v>521.96936661047789</c:v>
                </c:pt>
                <c:pt idx="78">
                  <c:v>541.37316229989949</c:v>
                </c:pt>
                <c:pt idx="79">
                  <c:v>560.76235729121242</c:v>
                </c:pt>
                <c:pt idx="80">
                  <c:v>580.13752708503171</c:v>
                </c:pt>
                <c:pt idx="81">
                  <c:v>599.49920563816306</c:v>
                </c:pt>
                <c:pt idx="82">
                  <c:v>618.84788963461108</c:v>
                </c:pt>
                <c:pt idx="83">
                  <c:v>638.18404219503043</c:v>
                </c:pt>
                <c:pt idx="84">
                  <c:v>555.09861985800433</c:v>
                </c:pt>
                <c:pt idx="85">
                  <c:v>574.04937436864668</c:v>
                </c:pt>
                <c:pt idx="86">
                  <c:v>592.98707147934977</c:v>
                </c:pt>
                <c:pt idx="87">
                  <c:v>611.91218655843386</c:v>
                </c:pt>
                <c:pt idx="88">
                  <c:v>630.82516319719207</c:v>
                </c:pt>
                <c:pt idx="89">
                  <c:v>649.72641624245819</c:v>
                </c:pt>
                <c:pt idx="90">
                  <c:v>668.61633445820871</c:v>
                </c:pt>
                <c:pt idx="91">
                  <c:v>687.49528287098485</c:v>
                </c:pt>
                <c:pt idx="92">
                  <c:v>706.36360484451052</c:v>
                </c:pt>
                <c:pt idx="93">
                  <c:v>725.22162392131793</c:v>
                </c:pt>
                <c:pt idx="94">
                  <c:v>606.16494029793182</c:v>
                </c:pt>
                <c:pt idx="95">
                  <c:v>624.52080077170388</c:v>
                </c:pt>
                <c:pt idx="96">
                  <c:v>642.86549535668462</c:v>
                </c:pt>
                <c:pt idx="97">
                  <c:v>661.19938727372744</c:v>
                </c:pt>
                <c:pt idx="98">
                  <c:v>679.52281797625039</c:v>
                </c:pt>
                <c:pt idx="99">
                  <c:v>697.83610901843849</c:v>
                </c:pt>
                <c:pt idx="100">
                  <c:v>716.13956371731092</c:v>
                </c:pt>
                <c:pt idx="101">
                  <c:v>734.43346863618569</c:v>
                </c:pt>
                <c:pt idx="102">
                  <c:v>752.71809491279328</c:v>
                </c:pt>
                <c:pt idx="103">
                  <c:v>770.99369945175988</c:v>
                </c:pt>
                <c:pt idx="104">
                  <c:v>650.98962408106581</c:v>
                </c:pt>
                <c:pt idx="105">
                  <c:v>668.81996088931305</c:v>
                </c:pt>
                <c:pt idx="106">
                  <c:v>686.64052714981153</c:v>
                </c:pt>
                <c:pt idx="107">
                  <c:v>704.45161192588876</c:v>
                </c:pt>
                <c:pt idx="108">
                  <c:v>722.25348848544775</c:v>
                </c:pt>
                <c:pt idx="109">
                  <c:v>740.04641554004274</c:v>
                </c:pt>
                <c:pt idx="110">
                  <c:v>757.83063835870553</c:v>
                </c:pt>
                <c:pt idx="111">
                  <c:v>775.60638977188239</c:v>
                </c:pt>
                <c:pt idx="112">
                  <c:v>793.37389107864453</c:v>
                </c:pt>
                <c:pt idx="113">
                  <c:v>811.13335286849087</c:v>
                </c:pt>
                <c:pt idx="114">
                  <c:v>689.30647897077154</c:v>
                </c:pt>
                <c:pt idx="115">
                  <c:v>707.01040400708371</c:v>
                </c:pt>
                <c:pt idx="116">
                  <c:v>724.70526750807869</c:v>
                </c:pt>
                <c:pt idx="117">
                  <c:v>742.39132167884839</c:v>
                </c:pt>
                <c:pt idx="118">
                  <c:v>760.06880573985006</c:v>
                </c:pt>
                <c:pt idx="119">
                  <c:v>777.73794688799069</c:v>
                </c:pt>
                <c:pt idx="120">
                  <c:v>795.39896116591797</c:v>
                </c:pt>
                <c:pt idx="121">
                  <c:v>813.05205425017459</c:v>
                </c:pt>
                <c:pt idx="122">
                  <c:v>830.69742216741315</c:v>
                </c:pt>
                <c:pt idx="123">
                  <c:v>848.33525194666345</c:v>
                </c:pt>
                <c:pt idx="124">
                  <c:v>442.79312808926875</c:v>
                </c:pt>
                <c:pt idx="125">
                  <c:v>452.75247944860803</c:v>
                </c:pt>
                <c:pt idx="126">
                  <c:v>314.10340494024405</c:v>
                </c:pt>
                <c:pt idx="127">
                  <c:v>320.98250478919164</c:v>
                </c:pt>
                <c:pt idx="128">
                  <c:v>230.47698657275419</c:v>
                </c:pt>
                <c:pt idx="129">
                  <c:v>235.55343767349336</c:v>
                </c:pt>
                <c:pt idx="130">
                  <c:v>240.62739319105853</c:v>
                </c:pt>
                <c:pt idx="131">
                  <c:v>6.2563986848494188E-12</c:v>
                </c:pt>
                <c:pt idx="132">
                  <c:v>6.2563986848494188E-12</c:v>
                </c:pt>
                <c:pt idx="133">
                  <c:v>6.2563986848494188E-12</c:v>
                </c:pt>
                <c:pt idx="134">
                  <c:v>6.2563986848494188E-12</c:v>
                </c:pt>
                <c:pt idx="135">
                  <c:v>6.2563986848494188E-12</c:v>
                </c:pt>
                <c:pt idx="136">
                  <c:v>6.2563986848494188E-12</c:v>
                </c:pt>
                <c:pt idx="137">
                  <c:v>6.2563986848494188E-12</c:v>
                </c:pt>
                <c:pt idx="138">
                  <c:v>6.2563986848494188E-12</c:v>
                </c:pt>
                <c:pt idx="139">
                  <c:v>6.2563986848494188E-12</c:v>
                </c:pt>
                <c:pt idx="140">
                  <c:v>6.2563986848494188E-12</c:v>
                </c:pt>
                <c:pt idx="141">
                  <c:v>6.2563986848494188E-12</c:v>
                </c:pt>
                <c:pt idx="142">
                  <c:v>6.2563986848494188E-12</c:v>
                </c:pt>
                <c:pt idx="143">
                  <c:v>6.2563986848494188E-12</c:v>
                </c:pt>
                <c:pt idx="144">
                  <c:v>6.2563986848494188E-12</c:v>
                </c:pt>
                <c:pt idx="145">
                  <c:v>6.2563986848494188E-12</c:v>
                </c:pt>
                <c:pt idx="146">
                  <c:v>6.2563986848494188E-12</c:v>
                </c:pt>
                <c:pt idx="147">
                  <c:v>6.2563986848494188E-12</c:v>
                </c:pt>
                <c:pt idx="148">
                  <c:v>6.2563986848494188E-12</c:v>
                </c:pt>
                <c:pt idx="149">
                  <c:v>6.2563986848494188E-12</c:v>
                </c:pt>
                <c:pt idx="150">
                  <c:v>6.2563986848494188E-12</c:v>
                </c:pt>
                <c:pt idx="151">
                  <c:v>6.2563986848494188E-12</c:v>
                </c:pt>
                <c:pt idx="152">
                  <c:v>6.2563986848494188E-12</c:v>
                </c:pt>
                <c:pt idx="153">
                  <c:v>6.2563986848494188E-12</c:v>
                </c:pt>
                <c:pt idx="154">
                  <c:v>6.2563986848494188E-12</c:v>
                </c:pt>
                <c:pt idx="155">
                  <c:v>6.2563986848494188E-12</c:v>
                </c:pt>
                <c:pt idx="156">
                  <c:v>6.2563986848494188E-12</c:v>
                </c:pt>
                <c:pt idx="157">
                  <c:v>6.2563986848494188E-12</c:v>
                </c:pt>
                <c:pt idx="158">
                  <c:v>6.2563986848494188E-12</c:v>
                </c:pt>
                <c:pt idx="159">
                  <c:v>6.2563986848494188E-12</c:v>
                </c:pt>
                <c:pt idx="160">
                  <c:v>6.2563986848494188E-12</c:v>
                </c:pt>
                <c:pt idx="161">
                  <c:v>6.2563986848494188E-12</c:v>
                </c:pt>
                <c:pt idx="162">
                  <c:v>6.2563986848494188E-12</c:v>
                </c:pt>
                <c:pt idx="163">
                  <c:v>6.2563986848494188E-12</c:v>
                </c:pt>
                <c:pt idx="164">
                  <c:v>6.2563986848494188E-12</c:v>
                </c:pt>
                <c:pt idx="165">
                  <c:v>6.2563986848494188E-12</c:v>
                </c:pt>
                <c:pt idx="166">
                  <c:v>6.2563986848494188E-12</c:v>
                </c:pt>
                <c:pt idx="167">
                  <c:v>6.2563986848494188E-12</c:v>
                </c:pt>
                <c:pt idx="168">
                  <c:v>6.2563986848494188E-12</c:v>
                </c:pt>
                <c:pt idx="169">
                  <c:v>6.2563986848494188E-12</c:v>
                </c:pt>
                <c:pt idx="170">
                  <c:v>6.2563986848494188E-12</c:v>
                </c:pt>
                <c:pt idx="171">
                  <c:v>6.2563986848494188E-12</c:v>
                </c:pt>
                <c:pt idx="172">
                  <c:v>6.2563986848494188E-12</c:v>
                </c:pt>
                <c:pt idx="173">
                  <c:v>6.2563986848494188E-12</c:v>
                </c:pt>
                <c:pt idx="174">
                  <c:v>6.2563986848494188E-12</c:v>
                </c:pt>
                <c:pt idx="175">
                  <c:v>6.2563986848494188E-12</c:v>
                </c:pt>
                <c:pt idx="176">
                  <c:v>6.2563986848494188E-12</c:v>
                </c:pt>
                <c:pt idx="177">
                  <c:v>6.2563986848494188E-12</c:v>
                </c:pt>
                <c:pt idx="178">
                  <c:v>6.2563986848494188E-12</c:v>
                </c:pt>
                <c:pt idx="179">
                  <c:v>6.2563986848494188E-12</c:v>
                </c:pt>
                <c:pt idx="180">
                  <c:v>6.2563986848494188E-12</c:v>
                </c:pt>
                <c:pt idx="181">
                  <c:v>6.2563986848494188E-12</c:v>
                </c:pt>
                <c:pt idx="182">
                  <c:v>6.2563986848494188E-12</c:v>
                </c:pt>
                <c:pt idx="183">
                  <c:v>6.2563986848494188E-12</c:v>
                </c:pt>
                <c:pt idx="184">
                  <c:v>6.2563986848494188E-12</c:v>
                </c:pt>
                <c:pt idx="185">
                  <c:v>6.2563986848494188E-12</c:v>
                </c:pt>
                <c:pt idx="186">
                  <c:v>6.2563986848494188E-12</c:v>
                </c:pt>
                <c:pt idx="187">
                  <c:v>6.2563986848494188E-12</c:v>
                </c:pt>
                <c:pt idx="188">
                  <c:v>6.2563986848494188E-12</c:v>
                </c:pt>
                <c:pt idx="189">
                  <c:v>6.2563986848494188E-12</c:v>
                </c:pt>
                <c:pt idx="190">
                  <c:v>6.2563986848494188E-12</c:v>
                </c:pt>
                <c:pt idx="191">
                  <c:v>6.2563986848494188E-12</c:v>
                </c:pt>
                <c:pt idx="192">
                  <c:v>6.2563986848494188E-12</c:v>
                </c:pt>
                <c:pt idx="193">
                  <c:v>6.2563986848494188E-12</c:v>
                </c:pt>
                <c:pt idx="194">
                  <c:v>6.2563986848494188E-12</c:v>
                </c:pt>
                <c:pt idx="195">
                  <c:v>6.2563986848494188E-12</c:v>
                </c:pt>
                <c:pt idx="196">
                  <c:v>6.2563986848494188E-12</c:v>
                </c:pt>
                <c:pt idx="197">
                  <c:v>6.2563986848494188E-12</c:v>
                </c:pt>
                <c:pt idx="198">
                  <c:v>6.2563986848494188E-12</c:v>
                </c:pt>
                <c:pt idx="199">
                  <c:v>6.2563986848494188E-12</c:v>
                </c:pt>
                <c:pt idx="200">
                  <c:v>6.2563986848494188E-12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10.456419929936711</c:v>
                </c:pt>
                <c:pt idx="2">
                  <c:v>20.459167029721723</c:v>
                </c:pt>
                <c:pt idx="3">
                  <c:v>30.315400578319224</c:v>
                </c:pt>
                <c:pt idx="4">
                  <c:v>40.081319764970452</c:v>
                </c:pt>
                <c:pt idx="5">
                  <c:v>49.782395904570798</c:v>
                </c:pt>
                <c:pt idx="6">
                  <c:v>59.433158898593696</c:v>
                </c:pt>
                <c:pt idx="7">
                  <c:v>69.042975612712198</c:v>
                </c:pt>
                <c:pt idx="8">
                  <c:v>78.618370438671249</c:v>
                </c:pt>
                <c:pt idx="9">
                  <c:v>88.164138887400284</c:v>
                </c:pt>
                <c:pt idx="10">
                  <c:v>97.683948283117005</c:v>
                </c:pt>
                <c:pt idx="11">
                  <c:v>107.18069004154528</c:v>
                </c:pt>
                <c:pt idx="12">
                  <c:v>116.6566997133511</c:v>
                </c:pt>
                <c:pt idx="13">
                  <c:v>126.1139013935974</c:v>
                </c:pt>
                <c:pt idx="14">
                  <c:v>135.55390634718643</c:v>
                </c:pt>
                <c:pt idx="15">
                  <c:v>144.97808261519626</c:v>
                </c:pt>
                <c:pt idx="16">
                  <c:v>154.3876055137076</c:v>
                </c:pt>
                <c:pt idx="17">
                  <c:v>163.78349514065653</c:v>
                </c:pt>
                <c:pt idx="18">
                  <c:v>173.16664480291877</c:v>
                </c:pt>
                <c:pt idx="19">
                  <c:v>182.53784294515813</c:v>
                </c:pt>
                <c:pt idx="20">
                  <c:v>191.89779033037416</c:v>
                </c:pt>
                <c:pt idx="21">
                  <c:v>201.24711368669179</c:v>
                </c:pt>
                <c:pt idx="22">
                  <c:v>210.58637668111251</c:v>
                </c:pt>
                <c:pt idx="23">
                  <c:v>219.91608884163847</c:v>
                </c:pt>
                <c:pt idx="24">
                  <c:v>229.2367128839384</c:v>
                </c:pt>
                <c:pt idx="25">
                  <c:v>238.54867078249427</c:v>
                </c:pt>
                <c:pt idx="26">
                  <c:v>247.85234884302153</c:v>
                </c:pt>
                <c:pt idx="27">
                  <c:v>257.14810197256651</c:v>
                </c:pt>
                <c:pt idx="28">
                  <c:v>266.43625729921371</c:v>
                </c:pt>
                <c:pt idx="29">
                  <c:v>275.71711726016053</c:v>
                </c:pt>
                <c:pt idx="30">
                  <c:v>284.99096225188504</c:v>
                </c:pt>
                <c:pt idx="31">
                  <c:v>294.25805291702977</c:v>
                </c:pt>
                <c:pt idx="32">
                  <c:v>303.51863212791704</c:v>
                </c:pt>
                <c:pt idx="33">
                  <c:v>312.77292671515772</c:v>
                </c:pt>
                <c:pt idx="34">
                  <c:v>322.02114898084585</c:v>
                </c:pt>
                <c:pt idx="35">
                  <c:v>331.26349802872716</c:v>
                </c:pt>
                <c:pt idx="36">
                  <c:v>340.50016093807625</c:v>
                </c:pt>
                <c:pt idx="37">
                  <c:v>349.73131380347536</c:v>
                </c:pt>
                <c:pt idx="38">
                  <c:v>358.95712265902421</c:v>
                </c:pt>
                <c:pt idx="39">
                  <c:v>216.41332970439461</c:v>
                </c:pt>
                <c:pt idx="40">
                  <c:v>239.17720708947249</c:v>
                </c:pt>
                <c:pt idx="41">
                  <c:v>261.89173640603332</c:v>
                </c:pt>
                <c:pt idx="42">
                  <c:v>284.56179835243455</c:v>
                </c:pt>
                <c:pt idx="43">
                  <c:v>307.1914321187167</c:v>
                </c:pt>
                <c:pt idx="44">
                  <c:v>329.78403311245108</c:v>
                </c:pt>
                <c:pt idx="45">
                  <c:v>352.3424935764595</c:v>
                </c:pt>
                <c:pt idx="46">
                  <c:v>279.36746368278273</c:v>
                </c:pt>
                <c:pt idx="47">
                  <c:v>302.4407068263049</c:v>
                </c:pt>
                <c:pt idx="48">
                  <c:v>325.47478505586827</c:v>
                </c:pt>
                <c:pt idx="49">
                  <c:v>348.47285814544199</c:v>
                </c:pt>
                <c:pt idx="50">
                  <c:v>371.43763484501079</c:v>
                </c:pt>
                <c:pt idx="51">
                  <c:v>394.3714617444582</c:v>
                </c:pt>
                <c:pt idx="52">
                  <c:v>417.27639037381169</c:v>
                </c:pt>
                <c:pt idx="53">
                  <c:v>338.09991414791068</c:v>
                </c:pt>
                <c:pt idx="54">
                  <c:v>360.80716410152644</c:v>
                </c:pt>
                <c:pt idx="55">
                  <c:v>383.48317271005044</c:v>
                </c:pt>
                <c:pt idx="56">
                  <c:v>406.13004575875283</c:v>
                </c:pt>
                <c:pt idx="57">
                  <c:v>428.74963514762658</c:v>
                </c:pt>
                <c:pt idx="58">
                  <c:v>451.34358155451793</c:v>
                </c:pt>
                <c:pt idx="59">
                  <c:v>473.91334810944858</c:v>
                </c:pt>
                <c:pt idx="60">
                  <c:v>400.6124929737191</c:v>
                </c:pt>
                <c:pt idx="61">
                  <c:v>422.94030373624128</c:v>
                </c:pt>
                <c:pt idx="62">
                  <c:v>445.24275110321702</c:v>
                </c:pt>
                <c:pt idx="63">
                  <c:v>467.52128319675768</c:v>
                </c:pt>
                <c:pt idx="64">
                  <c:v>489.77719896917915</c:v>
                </c:pt>
                <c:pt idx="65">
                  <c:v>512.01166978636945</c:v>
                </c:pt>
                <c:pt idx="66">
                  <c:v>534.22575706797772</c:v>
                </c:pt>
                <c:pt idx="67">
                  <c:v>556.42042684202681</c:v>
                </c:pt>
                <c:pt idx="68">
                  <c:v>481.48157884405776</c:v>
                </c:pt>
                <c:pt idx="69">
                  <c:v>503.50450353369575</c:v>
                </c:pt>
                <c:pt idx="70">
                  <c:v>525.50705871911032</c:v>
                </c:pt>
                <c:pt idx="71">
                  <c:v>547.49021645825394</c:v>
                </c:pt>
                <c:pt idx="72">
                  <c:v>569.45486445269285</c:v>
                </c:pt>
                <c:pt idx="73">
                  <c:v>591.40181640504818</c:v>
                </c:pt>
                <c:pt idx="74">
                  <c:v>613.3318207599699</c:v>
                </c:pt>
                <c:pt idx="75">
                  <c:v>635.24556813081563</c:v>
                </c:pt>
                <c:pt idx="76">
                  <c:v>557.9303011671384</c:v>
                </c:pt>
                <c:pt idx="77">
                  <c:v>579.49437061279025</c:v>
                </c:pt>
                <c:pt idx="78">
                  <c:v>601.0417083219902</c:v>
                </c:pt>
                <c:pt idx="79">
                  <c:v>622.57299794008793</c:v>
                </c:pt>
                <c:pt idx="80">
                  <c:v>644.08887201809068</c:v>
                </c:pt>
                <c:pt idx="81">
                  <c:v>665.58991744488594</c:v>
                </c:pt>
                <c:pt idx="82">
                  <c:v>687.07668014164062</c:v>
                </c:pt>
                <c:pt idx="83">
                  <c:v>708.54966913897795</c:v>
                </c:pt>
                <c:pt idx="84">
                  <c:v>616.28352096154731</c:v>
                </c:pt>
                <c:pt idx="85">
                  <c:v>637.3280408187228</c:v>
                </c:pt>
                <c:pt idx="86">
                  <c:v>658.35820887283887</c:v>
                </c:pt>
                <c:pt idx="87">
                  <c:v>679.37454761631727</c:v>
                </c:pt>
                <c:pt idx="88">
                  <c:v>700.3775446144391</c:v>
                </c:pt>
                <c:pt idx="89">
                  <c:v>721.36765583853776</c:v>
                </c:pt>
                <c:pt idx="90">
                  <c:v>742.34530859144991</c:v>
                </c:pt>
                <c:pt idx="91">
                  <c:v>763.31090408544162</c:v>
                </c:pt>
                <c:pt idx="92">
                  <c:v>784.2648197224903</c:v>
                </c:pt>
                <c:pt idx="93">
                  <c:v>805.2074111184703</c:v>
                </c:pt>
                <c:pt idx="94">
                  <c:v>672.99221629850854</c:v>
                </c:pt>
                <c:pt idx="95">
                  <c:v>693.37648961420962</c:v>
                </c:pt>
                <c:pt idx="96">
                  <c:v>713.74849014684048</c:v>
                </c:pt>
                <c:pt idx="97">
                  <c:v>734.10861712397957</c:v>
                </c:pt>
                <c:pt idx="98">
                  <c:v>754.45724584792481</c:v>
                </c:pt>
                <c:pt idx="99">
                  <c:v>774.79472974909584</c:v>
                </c:pt>
                <c:pt idx="100">
                  <c:v>795.1214022128637</c:v>
                </c:pt>
                <c:pt idx="101">
                  <c:v>815.43757821007432</c:v>
                </c:pt>
                <c:pt idx="102">
                  <c:v>835.74355575682057</c:v>
                </c:pt>
                <c:pt idx="103">
                  <c:v>856.03961722513759</c:v>
                </c:pt>
                <c:pt idx="104">
                  <c:v>722.77047081753142</c:v>
                </c:pt>
                <c:pt idx="105">
                  <c:v>742.57144072777692</c:v>
                </c:pt>
                <c:pt idx="106">
                  <c:v>762.36167151861753</c:v>
                </c:pt>
                <c:pt idx="107">
                  <c:v>782.14148090873778</c:v>
                </c:pt>
                <c:pt idx="108">
                  <c:v>801.91116925557162</c:v>
                </c:pt>
                <c:pt idx="109">
                  <c:v>821.67102091720653</c:v>
                </c:pt>
                <c:pt idx="110">
                  <c:v>841.42130547662589</c:v>
                </c:pt>
                <c:pt idx="111">
                  <c:v>861.16227884517014</c:v>
                </c:pt>
                <c:pt idx="112">
                  <c:v>880.89418425967813</c:v>
                </c:pt>
                <c:pt idx="113">
                  <c:v>900.61725318575793</c:v>
                </c:pt>
                <c:pt idx="114">
                  <c:v>765.32229398494985</c:v>
                </c:pt>
                <c:pt idx="115">
                  <c:v>784.98311437515633</c:v>
                </c:pt>
                <c:pt idx="116">
                  <c:v>804.63397494404364</c:v>
                </c:pt>
                <c:pt idx="117">
                  <c:v>824.27515289823998</c:v>
                </c:pt>
                <c:pt idx="118">
                  <c:v>843.90691117254892</c:v>
                </c:pt>
                <c:pt idx="119">
                  <c:v>863.52949948630805</c:v>
                </c:pt>
                <c:pt idx="120">
                  <c:v>883.14315529885516</c:v>
                </c:pt>
                <c:pt idx="121">
                  <c:v>902.74810467581119</c:v>
                </c:pt>
                <c:pt idx="122">
                  <c:v>922.34456307629682</c:v>
                </c:pt>
                <c:pt idx="123">
                  <c:v>941.93273606986043</c:v>
                </c:pt>
                <c:pt idx="124">
                  <c:v>491.57338077028345</c:v>
                </c:pt>
                <c:pt idx="125">
                  <c:v>502.63253330701883</c:v>
                </c:pt>
                <c:pt idx="126">
                  <c:v>348.67801506682321</c:v>
                </c:pt>
                <c:pt idx="127">
                  <c:v>356.31618749430459</c:v>
                </c:pt>
                <c:pt idx="128">
                  <c:v>255.82716222376891</c:v>
                </c:pt>
                <c:pt idx="129">
                  <c:v>261.46337808167078</c:v>
                </c:pt>
                <c:pt idx="130">
                  <c:v>267.09685096483059</c:v>
                </c:pt>
                <c:pt idx="131">
                  <c:v>6.88254062580301E-12</c:v>
                </c:pt>
                <c:pt idx="132">
                  <c:v>6.88254062580301E-12</c:v>
                </c:pt>
                <c:pt idx="133">
                  <c:v>6.88254062580301E-12</c:v>
                </c:pt>
                <c:pt idx="134">
                  <c:v>6.88254062580301E-12</c:v>
                </c:pt>
                <c:pt idx="135">
                  <c:v>6.88254062580301E-12</c:v>
                </c:pt>
                <c:pt idx="136">
                  <c:v>6.88254062580301E-12</c:v>
                </c:pt>
                <c:pt idx="137">
                  <c:v>6.88254062580301E-12</c:v>
                </c:pt>
                <c:pt idx="138">
                  <c:v>6.88254062580301E-12</c:v>
                </c:pt>
                <c:pt idx="139">
                  <c:v>6.88254062580301E-12</c:v>
                </c:pt>
                <c:pt idx="140">
                  <c:v>6.88254062580301E-12</c:v>
                </c:pt>
                <c:pt idx="141">
                  <c:v>6.88254062580301E-12</c:v>
                </c:pt>
                <c:pt idx="142">
                  <c:v>6.88254062580301E-12</c:v>
                </c:pt>
                <c:pt idx="143">
                  <c:v>6.88254062580301E-12</c:v>
                </c:pt>
                <c:pt idx="144">
                  <c:v>6.88254062580301E-12</c:v>
                </c:pt>
                <c:pt idx="145">
                  <c:v>6.88254062580301E-12</c:v>
                </c:pt>
                <c:pt idx="146">
                  <c:v>6.88254062580301E-12</c:v>
                </c:pt>
                <c:pt idx="147">
                  <c:v>6.88254062580301E-12</c:v>
                </c:pt>
                <c:pt idx="148">
                  <c:v>6.88254062580301E-12</c:v>
                </c:pt>
                <c:pt idx="149">
                  <c:v>6.88254062580301E-12</c:v>
                </c:pt>
                <c:pt idx="150">
                  <c:v>6.88254062580301E-12</c:v>
                </c:pt>
                <c:pt idx="151">
                  <c:v>6.88254062580301E-12</c:v>
                </c:pt>
                <c:pt idx="152">
                  <c:v>6.88254062580301E-12</c:v>
                </c:pt>
                <c:pt idx="153">
                  <c:v>6.88254062580301E-12</c:v>
                </c:pt>
                <c:pt idx="154">
                  <c:v>6.88254062580301E-12</c:v>
                </c:pt>
                <c:pt idx="155">
                  <c:v>6.88254062580301E-12</c:v>
                </c:pt>
                <c:pt idx="156">
                  <c:v>6.88254062580301E-12</c:v>
                </c:pt>
                <c:pt idx="157">
                  <c:v>6.88254062580301E-12</c:v>
                </c:pt>
                <c:pt idx="158">
                  <c:v>6.88254062580301E-12</c:v>
                </c:pt>
                <c:pt idx="159">
                  <c:v>6.88254062580301E-12</c:v>
                </c:pt>
                <c:pt idx="160">
                  <c:v>6.88254062580301E-12</c:v>
                </c:pt>
                <c:pt idx="161">
                  <c:v>6.88254062580301E-12</c:v>
                </c:pt>
                <c:pt idx="162">
                  <c:v>6.88254062580301E-12</c:v>
                </c:pt>
                <c:pt idx="163">
                  <c:v>6.88254062580301E-12</c:v>
                </c:pt>
                <c:pt idx="164">
                  <c:v>6.88254062580301E-12</c:v>
                </c:pt>
                <c:pt idx="165">
                  <c:v>6.88254062580301E-12</c:v>
                </c:pt>
                <c:pt idx="166">
                  <c:v>6.88254062580301E-12</c:v>
                </c:pt>
                <c:pt idx="167">
                  <c:v>6.88254062580301E-12</c:v>
                </c:pt>
                <c:pt idx="168">
                  <c:v>6.88254062580301E-12</c:v>
                </c:pt>
                <c:pt idx="169">
                  <c:v>6.88254062580301E-12</c:v>
                </c:pt>
                <c:pt idx="170">
                  <c:v>6.88254062580301E-12</c:v>
                </c:pt>
                <c:pt idx="171">
                  <c:v>6.88254062580301E-12</c:v>
                </c:pt>
                <c:pt idx="172">
                  <c:v>6.88254062580301E-12</c:v>
                </c:pt>
                <c:pt idx="173">
                  <c:v>6.88254062580301E-12</c:v>
                </c:pt>
                <c:pt idx="174">
                  <c:v>6.88254062580301E-12</c:v>
                </c:pt>
                <c:pt idx="175">
                  <c:v>6.88254062580301E-12</c:v>
                </c:pt>
                <c:pt idx="176">
                  <c:v>6.88254062580301E-12</c:v>
                </c:pt>
                <c:pt idx="177">
                  <c:v>6.88254062580301E-12</c:v>
                </c:pt>
                <c:pt idx="178">
                  <c:v>6.88254062580301E-12</c:v>
                </c:pt>
                <c:pt idx="179">
                  <c:v>6.88254062580301E-12</c:v>
                </c:pt>
                <c:pt idx="180">
                  <c:v>6.88254062580301E-12</c:v>
                </c:pt>
                <c:pt idx="181">
                  <c:v>6.88254062580301E-12</c:v>
                </c:pt>
                <c:pt idx="182">
                  <c:v>6.88254062580301E-12</c:v>
                </c:pt>
                <c:pt idx="183">
                  <c:v>6.88254062580301E-12</c:v>
                </c:pt>
                <c:pt idx="184">
                  <c:v>6.88254062580301E-12</c:v>
                </c:pt>
                <c:pt idx="185">
                  <c:v>6.88254062580301E-12</c:v>
                </c:pt>
                <c:pt idx="186">
                  <c:v>6.88254062580301E-12</c:v>
                </c:pt>
                <c:pt idx="187">
                  <c:v>6.88254062580301E-12</c:v>
                </c:pt>
                <c:pt idx="188">
                  <c:v>6.88254062580301E-12</c:v>
                </c:pt>
                <c:pt idx="189">
                  <c:v>6.88254062580301E-12</c:v>
                </c:pt>
                <c:pt idx="190">
                  <c:v>6.88254062580301E-12</c:v>
                </c:pt>
                <c:pt idx="191">
                  <c:v>6.88254062580301E-12</c:v>
                </c:pt>
                <c:pt idx="192">
                  <c:v>6.88254062580301E-12</c:v>
                </c:pt>
                <c:pt idx="193">
                  <c:v>6.88254062580301E-12</c:v>
                </c:pt>
                <c:pt idx="194">
                  <c:v>6.88254062580301E-12</c:v>
                </c:pt>
                <c:pt idx="195">
                  <c:v>6.88254062580301E-12</c:v>
                </c:pt>
                <c:pt idx="196">
                  <c:v>6.88254062580301E-12</c:v>
                </c:pt>
                <c:pt idx="197">
                  <c:v>6.88254062580301E-12</c:v>
                </c:pt>
                <c:pt idx="198">
                  <c:v>6.88254062580301E-12</c:v>
                </c:pt>
                <c:pt idx="199">
                  <c:v>6.88254062580301E-12</c:v>
                </c:pt>
                <c:pt idx="200">
                  <c:v>6.88254062580301E-12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2.7193115141557311</c:v>
                </c:pt>
                <c:pt idx="2">
                  <c:v>3.5559454568361653</c:v>
                </c:pt>
                <c:pt idx="3">
                  <c:v>4.6510192406473019</c:v>
                </c:pt>
                <c:pt idx="4">
                  <c:v>6.0846677762653014</c:v>
                </c:pt>
                <c:pt idx="5">
                  <c:v>7.9619609229961332</c:v>
                </c:pt>
                <c:pt idx="6">
                  <c:v>10.420687505232264</c:v>
                </c:pt>
                <c:pt idx="7">
                  <c:v>13.641576533971696</c:v>
                </c:pt>
                <c:pt idx="8">
                  <c:v>17.861720807718925</c:v>
                </c:pt>
                <c:pt idx="9">
                  <c:v>23.392208891031569</c:v>
                </c:pt>
                <c:pt idx="10">
                  <c:v>30.641288256631608</c:v>
                </c:pt>
                <c:pt idx="11">
                  <c:v>40.14479913782214</c:v>
                </c:pt>
                <c:pt idx="12">
                  <c:v>52.606166983560222</c:v>
                </c:pt>
                <c:pt idx="13">
                  <c:v>68.948962963662908</c:v>
                </c:pt>
                <c:pt idx="14">
                  <c:v>90.385991550742531</c:v>
                </c:pt>
                <c:pt idx="15">
                  <c:v>118.51011399861339</c:v>
                </c:pt>
                <c:pt idx="16">
                  <c:v>86.075914671005776</c:v>
                </c:pt>
                <c:pt idx="17">
                  <c:v>110.69162732463077</c:v>
                </c:pt>
                <c:pt idx="18">
                  <c:v>135.17221080393281</c:v>
                </c:pt>
                <c:pt idx="19">
                  <c:v>159.54570617746938</c:v>
                </c:pt>
                <c:pt idx="20">
                  <c:v>183.83081652024472</c:v>
                </c:pt>
                <c:pt idx="21">
                  <c:v>148.25402389766143</c:v>
                </c:pt>
                <c:pt idx="22">
                  <c:v>174.33753126581527</c:v>
                </c:pt>
                <c:pt idx="23">
                  <c:v>200.32921613632394</c:v>
                </c:pt>
                <c:pt idx="24">
                  <c:v>226.24267877776924</c:v>
                </c:pt>
                <c:pt idx="25">
                  <c:v>252.08814071355724</c:v>
                </c:pt>
                <c:pt idx="26">
                  <c:v>215.74593348274445</c:v>
                </c:pt>
                <c:pt idx="27">
                  <c:v>240.57031057620057</c:v>
                </c:pt>
                <c:pt idx="28">
                  <c:v>265.33636719298863</c:v>
                </c:pt>
                <c:pt idx="29">
                  <c:v>290.05031041971233</c:v>
                </c:pt>
                <c:pt idx="30">
                  <c:v>314.7172026142477</c:v>
                </c:pt>
                <c:pt idx="31">
                  <c:v>276.13305084516702</c:v>
                </c:pt>
                <c:pt idx="32">
                  <c:v>298.39345366223546</c:v>
                </c:pt>
                <c:pt idx="33">
                  <c:v>320.6168590632679</c:v>
                </c:pt>
                <c:pt idx="34">
                  <c:v>342.80619071488059</c:v>
                </c:pt>
                <c:pt idx="35">
                  <c:v>364.96396296815789</c:v>
                </c:pt>
                <c:pt idx="36">
                  <c:v>324.08611998804474</c:v>
                </c:pt>
                <c:pt idx="37">
                  <c:v>343.84552311327383</c:v>
                </c:pt>
                <c:pt idx="38">
                  <c:v>363.5799840007133</c:v>
                </c:pt>
                <c:pt idx="39">
                  <c:v>383.29104626329899</c:v>
                </c:pt>
                <c:pt idx="40">
                  <c:v>402.9800818512519</c:v>
                </c:pt>
                <c:pt idx="41">
                  <c:v>359.4273541272596</c:v>
                </c:pt>
                <c:pt idx="42">
                  <c:v>376.37745953930607</c:v>
                </c:pt>
                <c:pt idx="43">
                  <c:v>393.31094714884654</c:v>
                </c:pt>
                <c:pt idx="44">
                  <c:v>410.22863289640105</c:v>
                </c:pt>
                <c:pt idx="45">
                  <c:v>427.13125995293154</c:v>
                </c:pt>
                <c:pt idx="46">
                  <c:v>400.56327392899146</c:v>
                </c:pt>
                <c:pt idx="47">
                  <c:v>415.40447321133956</c:v>
                </c:pt>
                <c:pt idx="48">
                  <c:v>430.23424187074426</c:v>
                </c:pt>
                <c:pt idx="49">
                  <c:v>445.05302932092837</c:v>
                </c:pt>
                <c:pt idx="50">
                  <c:v>459.86125261266943</c:v>
                </c:pt>
                <c:pt idx="51">
                  <c:v>439.88490533840962</c:v>
                </c:pt>
                <c:pt idx="52">
                  <c:v>452.63062434570611</c:v>
                </c:pt>
                <c:pt idx="53">
                  <c:v>465.3686716138655</c:v>
                </c:pt>
                <c:pt idx="54">
                  <c:v>478.09928670594991</c:v>
                </c:pt>
                <c:pt idx="55">
                  <c:v>490.82269538774045</c:v>
                </c:pt>
                <c:pt idx="56">
                  <c:v>473.97123882058969</c:v>
                </c:pt>
                <c:pt idx="57">
                  <c:v>484.63381543198619</c:v>
                </c:pt>
                <c:pt idx="58">
                  <c:v>495.29141143690708</c:v>
                </c:pt>
                <c:pt idx="59">
                  <c:v>505.94414912103224</c:v>
                </c:pt>
                <c:pt idx="60">
                  <c:v>516.59214520035403</c:v>
                </c:pt>
                <c:pt idx="61">
                  <c:v>501.47745591010658</c:v>
                </c:pt>
                <c:pt idx="62">
                  <c:v>510.41000854334516</c:v>
                </c:pt>
                <c:pt idx="63">
                  <c:v>519.33925918522516</c:v>
                </c:pt>
                <c:pt idx="64">
                  <c:v>528.26527262385048</c:v>
                </c:pt>
                <c:pt idx="65">
                  <c:v>537.18811127897254</c:v>
                </c:pt>
                <c:pt idx="66">
                  <c:v>522.77272091773659</c:v>
                </c:pt>
                <c:pt idx="67">
                  <c:v>530.66788510705476</c:v>
                </c:pt>
                <c:pt idx="68">
                  <c:v>538.56057776581395</c:v>
                </c:pt>
                <c:pt idx="69">
                  <c:v>546.4508402313171</c:v>
                </c:pt>
                <c:pt idx="70">
                  <c:v>554.33871254949031</c:v>
                </c:pt>
                <c:pt idx="71">
                  <c:v>539.24678343342578</c:v>
                </c:pt>
                <c:pt idx="72">
                  <c:v>546.4508402313171</c:v>
                </c:pt>
                <c:pt idx="73">
                  <c:v>553.65290450097075</c:v>
                </c:pt>
                <c:pt idx="74">
                  <c:v>560.85300582428658</c:v>
                </c:pt>
                <c:pt idx="75">
                  <c:v>568.05117296149081</c:v>
                </c:pt>
                <c:pt idx="76">
                  <c:v>553.65290450097075</c:v>
                </c:pt>
                <c:pt idx="77">
                  <c:v>559.8245390026176</c:v>
                </c:pt>
                <c:pt idx="78">
                  <c:v>565.99474949990611</c:v>
                </c:pt>
                <c:pt idx="79">
                  <c:v>572.16355371171983</c:v>
                </c:pt>
                <c:pt idx="80">
                  <c:v>578.33096894357811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9.2921937322638239</c:v>
                </c:pt>
                <c:pt idx="2">
                  <c:v>18.177089899913412</c:v>
                </c:pt>
                <c:pt idx="3">
                  <c:v>26.930449399251376</c:v>
                </c:pt>
                <c:pt idx="4">
                  <c:v>35.602726635721403</c:v>
                </c:pt>
                <c:pt idx="5">
                  <c:v>44.216789199875343</c:v>
                </c:pt>
                <c:pt idx="6">
                  <c:v>52.785681720112542</c:v>
                </c:pt>
                <c:pt idx="7">
                  <c:v>61.317813563984139</c:v>
                </c:pt>
                <c:pt idx="8">
                  <c:v>69.819042187991144</c:v>
                </c:pt>
                <c:pt idx="9">
                  <c:v>78.293672897174659</c:v>
                </c:pt>
                <c:pt idx="10">
                  <c:v>86.744998135170761</c:v>
                </c:pt>
                <c:pt idx="11">
                  <c:v>95.175613751905487</c:v>
                </c:pt>
                <c:pt idx="12">
                  <c:v>103.58761655378898</c:v>
                </c:pt>
                <c:pt idx="13">
                  <c:v>111.98273395137143</c:v>
                </c:pt>
                <c:pt idx="14">
                  <c:v>120.36241250311315</c:v>
                </c:pt>
                <c:pt idx="15">
                  <c:v>128.7278804064338</c:v>
                </c:pt>
                <c:pt idx="16">
                  <c:v>137.08019283445722</c:v>
                </c:pt>
                <c:pt idx="17">
                  <c:v>145.42026560884469</c:v>
                </c:pt>
                <c:pt idx="18">
                  <c:v>153.74890072101104</c:v>
                </c:pt>
                <c:pt idx="19">
                  <c:v>162.06680601936617</c:v>
                </c:pt>
                <c:pt idx="20">
                  <c:v>170.37461063363551</c:v>
                </c:pt>
                <c:pt idx="21">
                  <c:v>178.67287722665</c:v>
                </c:pt>
                <c:pt idx="22">
                  <c:v>186.96211184634055</c:v>
                </c:pt>
                <c:pt idx="23">
                  <c:v>195.24277193582597</c:v>
                </c:pt>
                <c:pt idx="24">
                  <c:v>203.51527291113393</c:v>
                </c:pt>
                <c:pt idx="25">
                  <c:v>211.77999361174412</c:v>
                </c:pt>
                <c:pt idx="26">
                  <c:v>220.03728085449575</c:v>
                </c:pt>
                <c:pt idx="27">
                  <c:v>228.28745326718865</c:v>
                </c:pt>
                <c:pt idx="28">
                  <c:v>236.53080453827673</c:v>
                </c:pt>
                <c:pt idx="29">
                  <c:v>244.76760618927483</c:v>
                </c:pt>
                <c:pt idx="30">
                  <c:v>252.99810995402035</c:v>
                </c:pt>
                <c:pt idx="31">
                  <c:v>261.22254983178902</c:v>
                </c:pt>
                <c:pt idx="32">
                  <c:v>269.44114386805046</c:v>
                </c:pt>
                <c:pt idx="33">
                  <c:v>277.65409570637627</c:v>
                </c:pt>
                <c:pt idx="34">
                  <c:v>285.86159594695238</c:v>
                </c:pt>
                <c:pt idx="35">
                  <c:v>294.06382334077597</c:v>
                </c:pt>
                <c:pt idx="36">
                  <c:v>302.26094584353649</c:v>
                </c:pt>
                <c:pt idx="37">
                  <c:v>310.45312154910624</c:v>
                </c:pt>
                <c:pt idx="38">
                  <c:v>318.64049951927569</c:v>
                </c:pt>
                <c:pt idx="39">
                  <c:v>326.82322052369108</c:v>
                </c:pt>
                <c:pt idx="40">
                  <c:v>335.00141770176555</c:v>
                </c:pt>
                <c:pt idx="41">
                  <c:v>343.17521715653567</c:v>
                </c:pt>
                <c:pt idx="42">
                  <c:v>351.34473848895027</c:v>
                </c:pt>
                <c:pt idx="43">
                  <c:v>359.5100952798403</c:v>
                </c:pt>
                <c:pt idx="44">
                  <c:v>367.6713955257913</c:v>
                </c:pt>
                <c:pt idx="45">
                  <c:v>375.82874203427474</c:v>
                </c:pt>
                <c:pt idx="46">
                  <c:v>383.98223278266511</c:v>
                </c:pt>
                <c:pt idx="47">
                  <c:v>392.13196124515889</c:v>
                </c:pt>
                <c:pt idx="48">
                  <c:v>400.27801669108413</c:v>
                </c:pt>
                <c:pt idx="49">
                  <c:v>408.42048445765022</c:v>
                </c:pt>
                <c:pt idx="50">
                  <c:v>416.55944619980323</c:v>
                </c:pt>
                <c:pt idx="51">
                  <c:v>424.69498011952811</c:v>
                </c:pt>
                <c:pt idx="52">
                  <c:v>432.82716117665836</c:v>
                </c:pt>
                <c:pt idx="53">
                  <c:v>440.95606128301159</c:v>
                </c:pt>
                <c:pt idx="54">
                  <c:v>449.08174948145785</c:v>
                </c:pt>
                <c:pt idx="55">
                  <c:v>457.20429211135001</c:v>
                </c:pt>
                <c:pt idx="56">
                  <c:v>465.32375296158119</c:v>
                </c:pt>
                <c:pt idx="57">
                  <c:v>473.44019341240033</c:v>
                </c:pt>
                <c:pt idx="58">
                  <c:v>481.55367256699475</c:v>
                </c:pt>
                <c:pt idx="59">
                  <c:v>489.66424737373995</c:v>
                </c:pt>
                <c:pt idx="60">
                  <c:v>497.77197273992761</c:v>
                </c:pt>
                <c:pt idx="61">
                  <c:v>337.99381912917073</c:v>
                </c:pt>
                <c:pt idx="62">
                  <c:v>354.75361283544322</c:v>
                </c:pt>
                <c:pt idx="63">
                  <c:v>371.4960677901409</c:v>
                </c:pt>
                <c:pt idx="64">
                  <c:v>388.22207520036437</c:v>
                </c:pt>
                <c:pt idx="65">
                  <c:v>404.93244323061884</c:v>
                </c:pt>
                <c:pt idx="66">
                  <c:v>421.6279079194253</c:v>
                </c:pt>
                <c:pt idx="67">
                  <c:v>438.30914227662203</c:v>
                </c:pt>
                <c:pt idx="68">
                  <c:v>454.97676392363013</c:v>
                </c:pt>
                <c:pt idx="69">
                  <c:v>471.63134155593411</c:v>
                </c:pt>
                <c:pt idx="70">
                  <c:v>385.77341475380621</c:v>
                </c:pt>
                <c:pt idx="71">
                  <c:v>402.12352873367144</c:v>
                </c:pt>
                <c:pt idx="72">
                  <c:v>418.45926535082413</c:v>
                </c:pt>
                <c:pt idx="73">
                  <c:v>434.78126470985643</c:v>
                </c:pt>
                <c:pt idx="74">
                  <c:v>451.09011494954387</c:v>
                </c:pt>
                <c:pt idx="75">
                  <c:v>467.38635822676127</c:v>
                </c:pt>
                <c:pt idx="76">
                  <c:v>483.67049582249541</c:v>
                </c:pt>
                <c:pt idx="77">
                  <c:v>499.94299252456011</c:v>
                </c:pt>
                <c:pt idx="78">
                  <c:v>434.22346793695078</c:v>
                </c:pt>
                <c:pt idx="79">
                  <c:v>450.53443732842976</c:v>
                </c:pt>
                <c:pt idx="80">
                  <c:v>466.83277937674598</c:v>
                </c:pt>
                <c:pt idx="81">
                  <c:v>483.11899683366778</c:v>
                </c:pt>
                <c:pt idx="82">
                  <c:v>499.39355580421892</c:v>
                </c:pt>
                <c:pt idx="83">
                  <c:v>515.65688954981795</c:v>
                </c:pt>
                <c:pt idx="84">
                  <c:v>531.90940178680432</c:v>
                </c:pt>
                <c:pt idx="85">
                  <c:v>548.15146956098692</c:v>
                </c:pt>
                <c:pt idx="86">
                  <c:v>564.38344576390512</c:v>
                </c:pt>
                <c:pt idx="87">
                  <c:v>490.22008003438185</c:v>
                </c:pt>
                <c:pt idx="88">
                  <c:v>506.52720231700965</c:v>
                </c:pt>
                <c:pt idx="89">
                  <c:v>522.82322886599707</c:v>
                </c:pt>
                <c:pt idx="90">
                  <c:v>539.10855405682867</c:v>
                </c:pt>
                <c:pt idx="91">
                  <c:v>555.38354650797817</c:v>
                </c:pt>
                <c:pt idx="92">
                  <c:v>571.64855148415324</c:v>
                </c:pt>
                <c:pt idx="93">
                  <c:v>587.90389301192556</c:v>
                </c:pt>
                <c:pt idx="94">
                  <c:v>604.14987574932786</c:v>
                </c:pt>
                <c:pt idx="95">
                  <c:v>620.38678664400345</c:v>
                </c:pt>
                <c:pt idx="96">
                  <c:v>535.20146005564482</c:v>
                </c:pt>
                <c:pt idx="97">
                  <c:v>551.5216935459855</c:v>
                </c:pt>
                <c:pt idx="98">
                  <c:v>567.83180658091271</c:v>
                </c:pt>
                <c:pt idx="99">
                  <c:v>584.13213062540228</c:v>
                </c:pt>
                <c:pt idx="100">
                  <c:v>600.42297714807262</c:v>
                </c:pt>
                <c:pt idx="101">
                  <c:v>616.70463934847601</c:v>
                </c:pt>
                <c:pt idx="102">
                  <c:v>632.97739369260296</c:v>
                </c:pt>
                <c:pt idx="103">
                  <c:v>649.24150128237454</c:v>
                </c:pt>
                <c:pt idx="104">
                  <c:v>665.49720908086226</c:v>
                </c:pt>
                <c:pt idx="105">
                  <c:v>587.42577263819874</c:v>
                </c:pt>
                <c:pt idx="106">
                  <c:v>603.96300828048697</c:v>
                </c:pt>
                <c:pt idx="107">
                  <c:v>620.49084073562256</c:v>
                </c:pt>
                <c:pt idx="108">
                  <c:v>637.00955557694726</c:v>
                </c:pt>
                <c:pt idx="109">
                  <c:v>653.51942237008052</c:v>
                </c:pt>
                <c:pt idx="110">
                  <c:v>670.02069596024683</c:v>
                </c:pt>
                <c:pt idx="111">
                  <c:v>686.51361762628574</c:v>
                </c:pt>
                <c:pt idx="112">
                  <c:v>702.99841611808426</c:v>
                </c:pt>
                <c:pt idx="113">
                  <c:v>719.47530859171786</c:v>
                </c:pt>
                <c:pt idx="114">
                  <c:v>636.44956471430385</c:v>
                </c:pt>
                <c:pt idx="115">
                  <c:v>653.24757170569728</c:v>
                </c:pt>
                <c:pt idx="116">
                  <c:v>670.0366788968978</c:v>
                </c:pt>
                <c:pt idx="117">
                  <c:v>686.81714052237476</c:v>
                </c:pt>
                <c:pt idx="118">
                  <c:v>703.58919739092244</c:v>
                </c:pt>
                <c:pt idx="119">
                  <c:v>720.35307790432523</c:v>
                </c:pt>
                <c:pt idx="120">
                  <c:v>737.10899897634272</c:v>
                </c:pt>
                <c:pt idx="121">
                  <c:v>753.85716686386866</c:v>
                </c:pt>
                <c:pt idx="122">
                  <c:v>770.5977779204519</c:v>
                </c:pt>
                <c:pt idx="123">
                  <c:v>677.92250701858995</c:v>
                </c:pt>
                <c:pt idx="124">
                  <c:v>694.96703714366186</c:v>
                </c:pt>
                <c:pt idx="125">
                  <c:v>712.00300777439281</c:v>
                </c:pt>
                <c:pt idx="126">
                  <c:v>729.03065237867622</c:v>
                </c:pt>
                <c:pt idx="127">
                  <c:v>746.05019263912936</c:v>
                </c:pt>
                <c:pt idx="128">
                  <c:v>763.06183930876557</c:v>
                </c:pt>
                <c:pt idx="129">
                  <c:v>780.06579298646784</c:v>
                </c:pt>
                <c:pt idx="130">
                  <c:v>797.06224482139839</c:v>
                </c:pt>
                <c:pt idx="131">
                  <c:v>814.05137715426144</c:v>
                </c:pt>
                <c:pt idx="132">
                  <c:v>831.03336410230793</c:v>
                </c:pt>
                <c:pt idx="133">
                  <c:v>732.17890267223913</c:v>
                </c:pt>
                <c:pt idx="134">
                  <c:v>749.73396149321979</c:v>
                </c:pt>
                <c:pt idx="135">
                  <c:v>767.28066763444167</c:v>
                </c:pt>
                <c:pt idx="136">
                  <c:v>784.81923882471767</c:v>
                </c:pt>
                <c:pt idx="137">
                  <c:v>802.34988227819213</c:v>
                </c:pt>
                <c:pt idx="138">
                  <c:v>819.87279542542262</c:v>
                </c:pt>
                <c:pt idx="139">
                  <c:v>837.38816657878067</c:v>
                </c:pt>
                <c:pt idx="140">
                  <c:v>854.89617553934602</c:v>
                </c:pt>
                <c:pt idx="141">
                  <c:v>872.39699415155883</c:v>
                </c:pt>
                <c:pt idx="142">
                  <c:v>889.89078681110277</c:v>
                </c:pt>
                <c:pt idx="143">
                  <c:v>907.37771093082313</c:v>
                </c:pt>
                <c:pt idx="144">
                  <c:v>924.85791736890758</c:v>
                </c:pt>
                <c:pt idx="145">
                  <c:v>797.409042492558</c:v>
                </c:pt>
                <c:pt idx="146">
                  <c:v>815.36791546575341</c:v>
                </c:pt>
                <c:pt idx="147">
                  <c:v>833.31881835529202</c:v>
                </c:pt>
                <c:pt idx="148">
                  <c:v>851.26194683884012</c:v>
                </c:pt>
                <c:pt idx="149">
                  <c:v>869.19748768192801</c:v>
                </c:pt>
                <c:pt idx="150">
                  <c:v>887.12561932309336</c:v>
                </c:pt>
                <c:pt idx="151">
                  <c:v>905.04651240931889</c:v>
                </c:pt>
                <c:pt idx="152">
                  <c:v>922.96033028691181</c:v>
                </c:pt>
                <c:pt idx="153">
                  <c:v>940.86722945233839</c:v>
                </c:pt>
                <c:pt idx="154">
                  <c:v>958.76735996699881</c:v>
                </c:pt>
                <c:pt idx="155">
                  <c:v>976.66086583945616</c:v>
                </c:pt>
                <c:pt idx="156">
                  <c:v>994.54788537823799</c:v>
                </c:pt>
                <c:pt idx="157">
                  <c:v>856.37124988532958</c:v>
                </c:pt>
                <c:pt idx="158">
                  <c:v>874.68419914242725</c:v>
                </c:pt>
                <c:pt idx="159">
                  <c:v>892.98947746092699</c:v>
                </c:pt>
                <c:pt idx="160">
                  <c:v>911.28726404279223</c:v>
                </c:pt>
                <c:pt idx="161">
                  <c:v>929.57773031589704</c:v>
                </c:pt>
                <c:pt idx="162">
                  <c:v>947.86104042068712</c:v>
                </c:pt>
                <c:pt idx="163">
                  <c:v>966.13735165739001</c:v>
                </c:pt>
                <c:pt idx="164">
                  <c:v>984.40681489767428</c:v>
                </c:pt>
                <c:pt idx="165">
                  <c:v>1002.6695749642014</c:v>
                </c:pt>
                <c:pt idx="166">
                  <c:v>1020.9257709811267</c:v>
                </c:pt>
                <c:pt idx="167">
                  <c:v>1039.1755366982613</c:v>
                </c:pt>
                <c:pt idx="168">
                  <c:v>1057.4190007913146</c:v>
                </c:pt>
                <c:pt idx="169">
                  <c:v>905.91427234119362</c:v>
                </c:pt>
                <c:pt idx="170">
                  <c:v>924.23069005295258</c:v>
                </c:pt>
                <c:pt idx="171">
                  <c:v>942.53988555489889</c:v>
                </c:pt>
                <c:pt idx="172">
                  <c:v>960.84201872187566</c:v>
                </c:pt>
                <c:pt idx="173">
                  <c:v>979.13724284962302</c:v>
                </c:pt>
                <c:pt idx="174">
                  <c:v>997.42570504586217</c:v>
                </c:pt>
                <c:pt idx="175">
                  <c:v>1015.7075465912441</c:v>
                </c:pt>
                <c:pt idx="176">
                  <c:v>1033.9829032730006</c:v>
                </c:pt>
                <c:pt idx="177">
                  <c:v>1052.2519056938124</c:v>
                </c:pt>
                <c:pt idx="178">
                  <c:v>1070.5146795581438</c:v>
                </c:pt>
                <c:pt idx="179">
                  <c:v>1088.7713459380532</c:v>
                </c:pt>
                <c:pt idx="180">
                  <c:v>1107.0220215202758</c:v>
                </c:pt>
                <c:pt idx="181">
                  <c:v>699.95320311844034</c:v>
                </c:pt>
                <c:pt idx="182">
                  <c:v>711.44270042631854</c:v>
                </c:pt>
                <c:pt idx="183">
                  <c:v>722.92840698891132</c:v>
                </c:pt>
                <c:pt idx="184">
                  <c:v>734.41039149114465</c:v>
                </c:pt>
                <c:pt idx="185">
                  <c:v>498.74292576727026</c:v>
                </c:pt>
                <c:pt idx="186">
                  <c:v>506.17753727481869</c:v>
                </c:pt>
                <c:pt idx="187">
                  <c:v>513.60984023935839</c:v>
                </c:pt>
                <c:pt idx="188">
                  <c:v>521.03987279064233</c:v>
                </c:pt>
                <c:pt idx="189">
                  <c:v>351.17297949147724</c:v>
                </c:pt>
                <c:pt idx="190">
                  <c:v>355.96857950935151</c:v>
                </c:pt>
                <c:pt idx="191">
                  <c:v>360.76276478117251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25" x14ac:dyDescent="0.45"/>
  <cols>
    <col min="1" max="1" width="6.53125" customWidth="1"/>
    <col min="2" max="13" width="15.86328125" customWidth="1"/>
  </cols>
  <sheetData>
    <row r="12" spans="2:13" ht="15" customHeight="1" x14ac:dyDescent="0.4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4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4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4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4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4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4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4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4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4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4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4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4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4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4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4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4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4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4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I25" sqref="I25"/>
    </sheetView>
  </sheetViews>
  <sheetFormatPr baseColWidth="10" defaultColWidth="11.46484375" defaultRowHeight="14.25" x14ac:dyDescent="0.45"/>
  <cols>
    <col min="1" max="1" width="13.5312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33203125" style="23" customWidth="1"/>
    <col min="6" max="6" width="28.86328125" style="23" bestFit="1" customWidth="1"/>
    <col min="7" max="8" width="14.5312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70" t="s">
        <v>231</v>
      </c>
      <c r="B5" s="270"/>
      <c r="C5" s="24">
        <v>10.64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11</v>
      </c>
      <c r="C9" s="32">
        <v>0.32258064516129031</v>
      </c>
      <c r="D9" s="33">
        <f t="shared" ref="D9:D18" si="0">C9*$C$5</f>
        <v>3.4322580645161289</v>
      </c>
      <c r="E9" s="34">
        <v>106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21</v>
      </c>
      <c r="C10" s="32">
        <v>0.16129032258064516</v>
      </c>
      <c r="D10" s="33">
        <f t="shared" si="0"/>
        <v>1.7161290322580645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12</v>
      </c>
      <c r="C11" s="32">
        <v>7.7419354838709681E-2</v>
      </c>
      <c r="D11" s="33">
        <f t="shared" si="0"/>
        <v>0.82374193548387109</v>
      </c>
      <c r="E11" s="34">
        <v>191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 t="s">
        <v>29</v>
      </c>
      <c r="C12" s="32">
        <v>0.11935483870967742</v>
      </c>
      <c r="D12" s="33">
        <f t="shared" si="0"/>
        <v>1.2699354838709678</v>
      </c>
      <c r="E12" s="34">
        <v>69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 t="s">
        <v>50</v>
      </c>
      <c r="C13" s="32">
        <v>0.2</v>
      </c>
      <c r="D13" s="33">
        <f t="shared" si="0"/>
        <v>2.1280000000000001</v>
      </c>
      <c r="E13" s="34">
        <v>110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 t="s">
        <v>1</v>
      </c>
      <c r="C14" s="32">
        <v>2.903225806451613E-2</v>
      </c>
      <c r="D14" s="33">
        <f t="shared" si="0"/>
        <v>0.30890322580645163</v>
      </c>
      <c r="E14" s="34">
        <v>130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 t="s">
        <v>52</v>
      </c>
      <c r="C15" s="32">
        <v>2.903225806451613E-2</v>
      </c>
      <c r="D15" s="33">
        <f t="shared" si="0"/>
        <v>0.30890322580645163</v>
      </c>
      <c r="E15" s="34">
        <v>130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 t="s">
        <v>30</v>
      </c>
      <c r="C16" s="32">
        <v>5.1612903225806452E-2</v>
      </c>
      <c r="D16" s="33">
        <f t="shared" si="0"/>
        <v>0.54916129032258065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 t="s">
        <v>16</v>
      </c>
      <c r="C17" s="32">
        <v>9.6774193548387101E-3</v>
      </c>
      <c r="D17" s="33">
        <f t="shared" si="0"/>
        <v>0.10296774193548389</v>
      </c>
      <c r="E17" s="34">
        <v>191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10.639999999999999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324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Chêne pédonculé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31</v>
      </c>
      <c r="B36" s="60">
        <v>152.27000000000001</v>
      </c>
      <c r="C36" s="60">
        <v>1</v>
      </c>
      <c r="D36" s="60">
        <v>65.77000000000001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4.9119354838709679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37</v>
      </c>
      <c r="B37" s="60">
        <v>164.49</v>
      </c>
      <c r="C37" s="60">
        <v>2</v>
      </c>
      <c r="D37" s="60">
        <v>43.890000000000015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12.998333333333335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44</v>
      </c>
      <c r="B38" s="60">
        <v>218.51</v>
      </c>
      <c r="C38" s="60">
        <v>3</v>
      </c>
      <c r="D38" s="60">
        <v>56.45999999999998</v>
      </c>
      <c r="E38" s="51">
        <v>0.35</v>
      </c>
      <c r="F38" s="51">
        <v>0.2</v>
      </c>
      <c r="G38" s="51">
        <v>0.1</v>
      </c>
      <c r="H38" s="51">
        <v>0.35</v>
      </c>
      <c r="I38" s="53">
        <f t="shared" si="1"/>
        <v>13.987142857142857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51</v>
      </c>
      <c r="B39" s="60">
        <v>261.62</v>
      </c>
      <c r="C39" s="60">
        <v>4</v>
      </c>
      <c r="D39" s="60">
        <v>55.400000000000006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14.224285714285713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58</v>
      </c>
      <c r="B40" s="60">
        <v>305.12</v>
      </c>
      <c r="C40" s="60">
        <v>5</v>
      </c>
      <c r="D40" s="60">
        <v>53.97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14.12857142857143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65</v>
      </c>
      <c r="B41" s="60">
        <v>348.03</v>
      </c>
      <c r="C41" s="60">
        <v>6</v>
      </c>
      <c r="D41" s="60">
        <v>56.629999999999995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13.839999999999995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72</v>
      </c>
      <c r="B42" s="60">
        <v>385.02</v>
      </c>
      <c r="C42" s="60">
        <v>7</v>
      </c>
      <c r="D42" s="60">
        <v>66.109999999999957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13.374285714285715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81</v>
      </c>
      <c r="B43" s="60">
        <v>433.28</v>
      </c>
      <c r="C43" s="60">
        <v>8</v>
      </c>
      <c r="D43" s="60">
        <v>87.399999999999977</v>
      </c>
      <c r="E43" s="51">
        <v>0.5</v>
      </c>
      <c r="F43" s="51">
        <v>0.2</v>
      </c>
      <c r="G43" s="51">
        <v>0</v>
      </c>
      <c r="H43" s="51">
        <v>0.3</v>
      </c>
      <c r="I43" s="49">
        <f t="shared" si="1"/>
        <v>12.707777777777771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90</v>
      </c>
      <c r="B44" s="60">
        <v>453.03</v>
      </c>
      <c r="C44" s="60">
        <v>9</v>
      </c>
      <c r="D44" s="60">
        <v>88.75</v>
      </c>
      <c r="E44" s="51">
        <v>0.5</v>
      </c>
      <c r="F44" s="51">
        <v>0.2</v>
      </c>
      <c r="G44" s="51">
        <v>0</v>
      </c>
      <c r="H44" s="51">
        <v>0.3</v>
      </c>
      <c r="I44" s="49">
        <f t="shared" si="1"/>
        <v>11.905555555555553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99</v>
      </c>
      <c r="B45" s="60">
        <v>465.23</v>
      </c>
      <c r="C45" s="60">
        <v>10</v>
      </c>
      <c r="D45" s="60">
        <v>226.42000000000002</v>
      </c>
      <c r="E45" s="51">
        <v>0.45</v>
      </c>
      <c r="F45" s="51">
        <v>0.05</v>
      </c>
      <c r="G45" s="51">
        <v>0.05</v>
      </c>
      <c r="H45" s="51">
        <v>0.45</v>
      </c>
      <c r="I45" s="49">
        <f t="shared" si="1"/>
        <v>11.216666666666672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101</v>
      </c>
      <c r="B46" s="60">
        <v>252.87</v>
      </c>
      <c r="C46" s="60">
        <v>11</v>
      </c>
      <c r="D46" s="60">
        <v>82.539999999999992</v>
      </c>
      <c r="E46" s="51">
        <v>0.45</v>
      </c>
      <c r="F46" s="51">
        <v>0.05</v>
      </c>
      <c r="G46" s="51">
        <v>0.05</v>
      </c>
      <c r="H46" s="51">
        <v>0.45</v>
      </c>
      <c r="I46" s="49">
        <f t="shared" si="1"/>
        <v>7.0300000000000011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103</v>
      </c>
      <c r="B47" s="60">
        <v>179.96</v>
      </c>
      <c r="C47" s="60">
        <v>12</v>
      </c>
      <c r="D47" s="60">
        <v>58.600000000000009</v>
      </c>
      <c r="E47" s="51">
        <v>0.45</v>
      </c>
      <c r="F47" s="51">
        <v>0.05</v>
      </c>
      <c r="G47" s="51">
        <v>0.05</v>
      </c>
      <c r="H47" s="51">
        <v>0.45</v>
      </c>
      <c r="I47" s="49">
        <f t="shared" si="1"/>
        <v>4.8149999999999977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106</v>
      </c>
      <c r="B48" s="60">
        <v>131.46</v>
      </c>
      <c r="C48" s="60" t="s">
        <v>326</v>
      </c>
      <c r="D48" s="60">
        <v>131.46</v>
      </c>
      <c r="E48" s="51">
        <v>0.45</v>
      </c>
      <c r="F48" s="51">
        <v>0.05</v>
      </c>
      <c r="G48" s="51">
        <v>0.05</v>
      </c>
      <c r="H48" s="51">
        <v>0.45</v>
      </c>
      <c r="I48" s="49">
        <f t="shared" si="1"/>
        <v>3.3666666666666694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327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Erable champêtre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15</v>
      </c>
      <c r="B62" s="60">
        <v>65</v>
      </c>
      <c r="C62" s="60">
        <v>1</v>
      </c>
      <c r="D62" s="60">
        <v>32</v>
      </c>
      <c r="E62" s="51">
        <v>0</v>
      </c>
      <c r="F62" s="51">
        <v>0.25</v>
      </c>
      <c r="G62" s="51">
        <v>0.25</v>
      </c>
      <c r="H62" s="51">
        <v>0.5</v>
      </c>
      <c r="I62" s="53">
        <f>IFERROR(B62/A62,"")</f>
        <v>4.333333333333333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20</v>
      </c>
      <c r="B63" s="60">
        <v>102</v>
      </c>
      <c r="C63" s="60">
        <v>2</v>
      </c>
      <c r="D63" s="60">
        <v>35</v>
      </c>
      <c r="E63" s="51">
        <v>0</v>
      </c>
      <c r="F63" s="51">
        <v>0.25</v>
      </c>
      <c r="G63" s="51">
        <v>0.25</v>
      </c>
      <c r="H63" s="51">
        <v>0.5</v>
      </c>
      <c r="I63" s="49">
        <f>IF(A63&lt;&gt;0,(B63-(B62-D62))/(A63-A62),"")</f>
        <v>13.8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25</v>
      </c>
      <c r="B64" s="60">
        <v>141</v>
      </c>
      <c r="C64" s="60">
        <v>3</v>
      </c>
      <c r="D64" s="60">
        <v>35</v>
      </c>
      <c r="E64" s="51">
        <v>0</v>
      </c>
      <c r="F64" s="51">
        <v>0.25</v>
      </c>
      <c r="G64" s="51">
        <v>0.25</v>
      </c>
      <c r="H64" s="51">
        <v>0.5</v>
      </c>
      <c r="I64" s="49">
        <f>IF(A64&lt;&gt;0,(B64-(B63-D63))/(A64-A63),"")</f>
        <v>14.8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30</v>
      </c>
      <c r="B65" s="60">
        <v>177</v>
      </c>
      <c r="C65" s="60">
        <v>4</v>
      </c>
      <c r="D65" s="60">
        <v>35</v>
      </c>
      <c r="E65" s="51">
        <v>0.25</v>
      </c>
      <c r="F65" s="51">
        <v>0.25</v>
      </c>
      <c r="G65" s="51">
        <v>0.25</v>
      </c>
      <c r="H65" s="51">
        <v>0.25</v>
      </c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35</v>
      </c>
      <c r="B66" s="60">
        <v>206</v>
      </c>
      <c r="C66" s="60">
        <v>5</v>
      </c>
      <c r="D66" s="60">
        <v>35</v>
      </c>
      <c r="E66" s="51">
        <v>0.25</v>
      </c>
      <c r="F66" s="51">
        <v>0.25</v>
      </c>
      <c r="G66" s="51">
        <v>0.25</v>
      </c>
      <c r="H66" s="51">
        <v>0.25</v>
      </c>
      <c r="I66" s="49">
        <f t="shared" ref="I66:I81" si="2">IF(A66&lt;&gt;0,(B66-(B65-D65))/(A66-A65),"")</f>
        <v>12.8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40</v>
      </c>
      <c r="B67" s="60">
        <v>228</v>
      </c>
      <c r="C67" s="60">
        <v>6</v>
      </c>
      <c r="D67" s="60">
        <v>35</v>
      </c>
      <c r="E67" s="51">
        <v>0.25</v>
      </c>
      <c r="F67" s="51">
        <v>0.25</v>
      </c>
      <c r="G67" s="51">
        <v>0.25</v>
      </c>
      <c r="H67" s="51">
        <v>0.25</v>
      </c>
      <c r="I67" s="49">
        <f t="shared" si="2"/>
        <v>11.4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45</v>
      </c>
      <c r="B68" s="60">
        <v>242</v>
      </c>
      <c r="C68" s="60">
        <v>7</v>
      </c>
      <c r="D68" s="60">
        <v>24</v>
      </c>
      <c r="E68" s="51">
        <v>0.25</v>
      </c>
      <c r="F68" s="51">
        <v>0.25</v>
      </c>
      <c r="G68" s="51">
        <v>0.25</v>
      </c>
      <c r="H68" s="51">
        <v>0.25</v>
      </c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50</v>
      </c>
      <c r="B69" s="50">
        <v>261</v>
      </c>
      <c r="C69" s="50">
        <v>8</v>
      </c>
      <c r="D69" s="50">
        <v>19</v>
      </c>
      <c r="E69" s="51">
        <v>0.25</v>
      </c>
      <c r="F69" s="51">
        <v>0.25</v>
      </c>
      <c r="G69" s="51">
        <v>0.25</v>
      </c>
      <c r="H69" s="51">
        <v>0.25</v>
      </c>
      <c r="I69" s="49">
        <f t="shared" si="2"/>
        <v>8.6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55</v>
      </c>
      <c r="B70" s="50">
        <v>279</v>
      </c>
      <c r="C70" s="50">
        <v>9</v>
      </c>
      <c r="D70" s="50">
        <v>16</v>
      </c>
      <c r="E70" s="51">
        <v>0.25</v>
      </c>
      <c r="F70" s="51">
        <v>0.25</v>
      </c>
      <c r="G70" s="51">
        <v>0.25</v>
      </c>
      <c r="H70" s="51">
        <v>0.25</v>
      </c>
      <c r="I70" s="49">
        <f t="shared" si="2"/>
        <v>7.4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60</v>
      </c>
      <c r="B71" s="50">
        <v>294</v>
      </c>
      <c r="C71" s="50">
        <v>10</v>
      </c>
      <c r="D71" s="50">
        <v>14</v>
      </c>
      <c r="E71" s="51">
        <v>0.25</v>
      </c>
      <c r="F71" s="51">
        <v>0.25</v>
      </c>
      <c r="G71" s="51">
        <v>0.25</v>
      </c>
      <c r="H71" s="51">
        <v>0.25</v>
      </c>
      <c r="I71" s="49">
        <f t="shared" si="2"/>
        <v>6.2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65</v>
      </c>
      <c r="B72" s="50">
        <v>306</v>
      </c>
      <c r="C72" s="50">
        <v>11</v>
      </c>
      <c r="D72" s="50">
        <v>13</v>
      </c>
      <c r="E72" s="51">
        <v>0.25</v>
      </c>
      <c r="F72" s="51">
        <v>0.25</v>
      </c>
      <c r="G72" s="51">
        <v>0.25</v>
      </c>
      <c r="H72" s="51">
        <v>0.25</v>
      </c>
      <c r="I72" s="49">
        <f t="shared" si="2"/>
        <v>5.2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70</v>
      </c>
      <c r="B73" s="50">
        <v>316</v>
      </c>
      <c r="C73" s="50">
        <v>12</v>
      </c>
      <c r="D73" s="50">
        <v>13</v>
      </c>
      <c r="E73" s="51">
        <v>0.25</v>
      </c>
      <c r="F73" s="51">
        <v>0.25</v>
      </c>
      <c r="G73" s="51">
        <v>0.25</v>
      </c>
      <c r="H73" s="51">
        <v>0.25</v>
      </c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75</v>
      </c>
      <c r="B74" s="50">
        <v>324</v>
      </c>
      <c r="C74" s="50">
        <v>13</v>
      </c>
      <c r="D74" s="50">
        <v>12</v>
      </c>
      <c r="E74" s="51">
        <v>0.25</v>
      </c>
      <c r="F74" s="51">
        <v>0.25</v>
      </c>
      <c r="G74" s="51">
        <v>0.25</v>
      </c>
      <c r="H74" s="51">
        <v>0.25</v>
      </c>
      <c r="I74" s="49">
        <f t="shared" si="2"/>
        <v>4.2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80</v>
      </c>
      <c r="B75" s="50">
        <v>330</v>
      </c>
      <c r="C75" s="50">
        <v>14</v>
      </c>
      <c r="D75" s="50">
        <v>330</v>
      </c>
      <c r="E75" s="51">
        <v>0.25</v>
      </c>
      <c r="F75" s="51">
        <v>0.25</v>
      </c>
      <c r="G75" s="51">
        <v>0.25</v>
      </c>
      <c r="H75" s="51">
        <v>0.25</v>
      </c>
      <c r="I75" s="49">
        <f t="shared" si="2"/>
        <v>3.6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C83" s="23" t="s">
        <v>325</v>
      </c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60</v>
      </c>
      <c r="B88" s="60">
        <v>201.62</v>
      </c>
      <c r="C88" s="60">
        <v>1</v>
      </c>
      <c r="D88" s="60">
        <v>72.87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3.3603333333333336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69</v>
      </c>
      <c r="B89" s="60">
        <v>190.79</v>
      </c>
      <c r="C89" s="60">
        <v>2</v>
      </c>
      <c r="D89" s="60">
        <v>42.22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6.8933333333333326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77</v>
      </c>
      <c r="B90" s="60">
        <v>202.52</v>
      </c>
      <c r="C90" s="60">
        <v>3</v>
      </c>
      <c r="D90" s="60">
        <v>33.950000000000017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6.7437500000000021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86</v>
      </c>
      <c r="B91" s="60">
        <v>229.27</v>
      </c>
      <c r="C91" s="60">
        <v>4</v>
      </c>
      <c r="D91" s="60">
        <v>37.54000000000002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6.7444444444444462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95</v>
      </c>
      <c r="B92" s="60">
        <v>252.57</v>
      </c>
      <c r="C92" s="60">
        <v>5</v>
      </c>
      <c r="D92" s="60">
        <v>42.199999999999989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6.7600000000000007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104</v>
      </c>
      <c r="B93" s="60">
        <v>271.37</v>
      </c>
      <c r="C93" s="60">
        <v>6</v>
      </c>
      <c r="D93" s="60">
        <v>39.400000000000006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6.7777777777777777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113</v>
      </c>
      <c r="B94" s="60">
        <v>293.89999999999998</v>
      </c>
      <c r="C94" s="60">
        <v>7</v>
      </c>
      <c r="D94" s="60">
        <v>41.639999999999986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6.8811111111111085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122</v>
      </c>
      <c r="B95" s="60">
        <v>315.27</v>
      </c>
      <c r="C95" s="60">
        <v>8</v>
      </c>
      <c r="D95" s="60">
        <v>45.829999999999984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7.0011111111111104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132</v>
      </c>
      <c r="B96" s="60">
        <v>340.57</v>
      </c>
      <c r="C96" s="60">
        <v>9</v>
      </c>
      <c r="D96" s="60">
        <v>48.699999999999989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7.1129999999999995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144</v>
      </c>
      <c r="B97" s="60">
        <v>379.92</v>
      </c>
      <c r="C97" s="60">
        <v>10</v>
      </c>
      <c r="D97" s="60">
        <v>60.949999999999989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7.3375000000000012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156</v>
      </c>
      <c r="B98" s="60">
        <v>409.2</v>
      </c>
      <c r="C98" s="60">
        <v>11</v>
      </c>
      <c r="D98" s="60">
        <v>65.69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7.5191666666666634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168</v>
      </c>
      <c r="B99" s="60">
        <v>435.65</v>
      </c>
      <c r="C99" s="60">
        <v>12</v>
      </c>
      <c r="D99" s="60">
        <v>71.37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7.6783333333333319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>
        <v>180</v>
      </c>
      <c r="B100" s="60">
        <v>456.54</v>
      </c>
      <c r="C100" s="60">
        <v>13</v>
      </c>
      <c r="D100" s="60">
        <v>175.59000000000003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7.688333333333337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>
        <v>184</v>
      </c>
      <c r="B101" s="60">
        <v>300.14</v>
      </c>
      <c r="C101" s="60">
        <v>14</v>
      </c>
      <c r="D101" s="60">
        <v>101.19999999999999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4.7974999999999994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>
        <v>188</v>
      </c>
      <c r="B102" s="50">
        <v>211.27</v>
      </c>
      <c r="C102" s="60">
        <v>15</v>
      </c>
      <c r="D102" s="50">
        <v>72.180000000000007</v>
      </c>
      <c r="E102" s="54">
        <v>0.5</v>
      </c>
      <c r="F102" s="54">
        <v>0.2</v>
      </c>
      <c r="G102" s="54">
        <v>0</v>
      </c>
      <c r="H102" s="54">
        <v>0.3</v>
      </c>
      <c r="I102" s="53">
        <f t="shared" si="3"/>
        <v>3.0825000000000031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>
        <v>191</v>
      </c>
      <c r="B103" s="50">
        <v>145.01</v>
      </c>
      <c r="C103" s="60" t="s">
        <v>326</v>
      </c>
      <c r="D103" s="50">
        <v>145.01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1.9733333333333292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>
        <v>15</v>
      </c>
      <c r="B114" s="60">
        <v>40</v>
      </c>
      <c r="C114" s="50">
        <v>1</v>
      </c>
      <c r="D114" s="60">
        <v>3</v>
      </c>
      <c r="E114" s="51">
        <v>0</v>
      </c>
      <c r="F114" s="51">
        <v>0.25</v>
      </c>
      <c r="G114" s="51">
        <v>0.25</v>
      </c>
      <c r="H114" s="51">
        <v>0.5</v>
      </c>
      <c r="I114" s="53">
        <f>IFERROR(B114/A114,"")</f>
        <v>2.6666666666666665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>
        <v>20</v>
      </c>
      <c r="B115" s="60">
        <v>85</v>
      </c>
      <c r="C115" s="50">
        <v>2</v>
      </c>
      <c r="D115" s="60">
        <v>25</v>
      </c>
      <c r="E115" s="51">
        <v>0</v>
      </c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9.6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>
        <v>25</v>
      </c>
      <c r="B116" s="60">
        <v>113</v>
      </c>
      <c r="C116" s="50">
        <v>3</v>
      </c>
      <c r="D116" s="60">
        <v>27</v>
      </c>
      <c r="E116" s="51">
        <v>0</v>
      </c>
      <c r="F116" s="51">
        <v>0.25</v>
      </c>
      <c r="G116" s="51">
        <v>0.25</v>
      </c>
      <c r="H116" s="51">
        <v>0.5</v>
      </c>
      <c r="I116" s="53">
        <f t="shared" si="4"/>
        <v>10.6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>
        <v>31</v>
      </c>
      <c r="B117" s="60">
        <v>155</v>
      </c>
      <c r="C117" s="50">
        <v>4</v>
      </c>
      <c r="D117" s="60">
        <v>36</v>
      </c>
      <c r="E117" s="51">
        <v>0.25</v>
      </c>
      <c r="F117" s="51">
        <v>0.25</v>
      </c>
      <c r="G117" s="51">
        <v>0.25</v>
      </c>
      <c r="H117" s="51">
        <v>0.25</v>
      </c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>
        <v>37</v>
      </c>
      <c r="B118" s="60">
        <v>188</v>
      </c>
      <c r="C118" s="50">
        <v>5</v>
      </c>
      <c r="D118" s="60">
        <v>36</v>
      </c>
      <c r="E118" s="51">
        <v>0.25</v>
      </c>
      <c r="F118" s="51">
        <v>0.25</v>
      </c>
      <c r="G118" s="51">
        <v>0.25</v>
      </c>
      <c r="H118" s="51">
        <v>0.25</v>
      </c>
      <c r="I118" s="53">
        <f t="shared" si="4"/>
        <v>11.5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>
        <v>44</v>
      </c>
      <c r="B119" s="60">
        <v>230</v>
      </c>
      <c r="C119" s="50">
        <v>6</v>
      </c>
      <c r="D119" s="60">
        <v>43</v>
      </c>
      <c r="E119" s="51">
        <v>0.25</v>
      </c>
      <c r="F119" s="51">
        <v>0.25</v>
      </c>
      <c r="G119" s="51">
        <v>0.25</v>
      </c>
      <c r="H119" s="51">
        <v>0.25</v>
      </c>
      <c r="I119" s="53">
        <f t="shared" si="4"/>
        <v>11.142857142857142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>
        <v>52</v>
      </c>
      <c r="B120" s="60">
        <v>270</v>
      </c>
      <c r="C120" s="60">
        <v>7</v>
      </c>
      <c r="D120" s="60">
        <v>48</v>
      </c>
      <c r="E120" s="87">
        <v>0.25</v>
      </c>
      <c r="F120" s="87">
        <v>0.25</v>
      </c>
      <c r="G120" s="87">
        <v>0.25</v>
      </c>
      <c r="H120" s="87">
        <v>0.25</v>
      </c>
      <c r="I120" s="53">
        <f t="shared" si="4"/>
        <v>10.375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>
        <v>60</v>
      </c>
      <c r="B121" s="60">
        <v>297</v>
      </c>
      <c r="C121" s="60">
        <v>8</v>
      </c>
      <c r="D121" s="60">
        <v>47</v>
      </c>
      <c r="E121" s="87">
        <v>0.25</v>
      </c>
      <c r="F121" s="87">
        <v>0.25</v>
      </c>
      <c r="G121" s="87">
        <v>0.25</v>
      </c>
      <c r="H121" s="87">
        <v>0.25</v>
      </c>
      <c r="I121" s="53">
        <f t="shared" si="4"/>
        <v>9.375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>
        <v>69</v>
      </c>
      <c r="B122" s="60">
        <v>328</v>
      </c>
      <c r="C122" s="60">
        <v>9</v>
      </c>
      <c r="D122" s="60">
        <v>328</v>
      </c>
      <c r="E122" s="87">
        <v>0.25</v>
      </c>
      <c r="F122" s="87">
        <v>0.25</v>
      </c>
      <c r="G122" s="87">
        <v>0.25</v>
      </c>
      <c r="H122" s="87">
        <v>0.25</v>
      </c>
      <c r="I122" s="53">
        <f t="shared" si="4"/>
        <v>8.6666666666666661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>Tilleul</v>
      </c>
      <c r="C136" s="23" t="s">
        <v>328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>
        <v>15</v>
      </c>
      <c r="B140" s="60">
        <v>50</v>
      </c>
      <c r="C140" s="50">
        <v>1</v>
      </c>
      <c r="D140" s="60">
        <v>10.256410256410255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3.3333333333333335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>
        <v>20</v>
      </c>
      <c r="B141" s="60">
        <v>80.769230769230759</v>
      </c>
      <c r="C141" s="50">
        <v>2</v>
      </c>
      <c r="D141" s="60">
        <v>14.102564102564102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8.2051282051282026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>
        <v>25</v>
      </c>
      <c r="B142" s="60">
        <v>108.97435897435896</v>
      </c>
      <c r="C142" s="50">
        <v>3</v>
      </c>
      <c r="D142" s="60">
        <v>16.025641025641026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8.4615384615384617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>
        <v>30</v>
      </c>
      <c r="B143" s="60">
        <v>133.33333333333334</v>
      </c>
      <c r="C143" s="50">
        <v>4</v>
      </c>
      <c r="D143" s="60">
        <v>16.666666666666668</v>
      </c>
      <c r="E143" s="51">
        <v>0</v>
      </c>
      <c r="F143" s="51">
        <v>0.25</v>
      </c>
      <c r="G143" s="51">
        <v>0.25</v>
      </c>
      <c r="H143" s="51">
        <v>0.5</v>
      </c>
      <c r="I143" s="57">
        <f t="shared" si="5"/>
        <v>8.0769230769230802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>
        <v>35</v>
      </c>
      <c r="B144" s="60">
        <v>155.12820512820511</v>
      </c>
      <c r="C144" s="50">
        <v>5</v>
      </c>
      <c r="D144" s="60">
        <v>17.307692307692307</v>
      </c>
      <c r="E144" s="51">
        <v>0</v>
      </c>
      <c r="F144" s="51">
        <v>0.25</v>
      </c>
      <c r="G144" s="51">
        <v>0.25</v>
      </c>
      <c r="H144" s="51">
        <v>0.5</v>
      </c>
      <c r="I144" s="57">
        <f t="shared" si="5"/>
        <v>7.6923076923076881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>
        <v>40</v>
      </c>
      <c r="B145" s="60">
        <v>173.7179487179487</v>
      </c>
      <c r="C145" s="50">
        <v>6</v>
      </c>
      <c r="D145" s="60">
        <v>17.307692307692307</v>
      </c>
      <c r="E145" s="51">
        <v>0</v>
      </c>
      <c r="F145" s="51">
        <v>0.25</v>
      </c>
      <c r="G145" s="51">
        <v>0.25</v>
      </c>
      <c r="H145" s="51">
        <v>0.5</v>
      </c>
      <c r="I145" s="57">
        <f t="shared" si="5"/>
        <v>7.1794871794871771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>
        <v>45</v>
      </c>
      <c r="B146" s="60">
        <v>190.38461538461539</v>
      </c>
      <c r="C146" s="50">
        <v>7</v>
      </c>
      <c r="D146" s="60">
        <v>16.666666666666668</v>
      </c>
      <c r="E146" s="51">
        <v>0</v>
      </c>
      <c r="F146" s="51">
        <v>0.25</v>
      </c>
      <c r="G146" s="51">
        <v>0.25</v>
      </c>
      <c r="H146" s="51">
        <v>0.5</v>
      </c>
      <c r="I146" s="57">
        <f t="shared" si="5"/>
        <v>6.7948717948717956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>
        <v>50</v>
      </c>
      <c r="B147" s="60">
        <v>205.12820512820511</v>
      </c>
      <c r="C147" s="50">
        <v>8</v>
      </c>
      <c r="D147" s="60">
        <v>16.025641025641026</v>
      </c>
      <c r="E147" s="51">
        <v>0</v>
      </c>
      <c r="F147" s="51">
        <v>0.25</v>
      </c>
      <c r="G147" s="51">
        <v>0.25</v>
      </c>
      <c r="H147" s="51">
        <v>0.5</v>
      </c>
      <c r="I147" s="57">
        <f>IF(A147&lt;&gt;0,(B147-(B146-D146))/(A147-A146),"")</f>
        <v>6.2820512820512757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>
        <v>55</v>
      </c>
      <c r="B148" s="60">
        <v>217.94871794871793</v>
      </c>
      <c r="C148" s="50">
        <v>9</v>
      </c>
      <c r="D148" s="60">
        <v>15.384615384615383</v>
      </c>
      <c r="E148" s="51">
        <v>0</v>
      </c>
      <c r="F148" s="51">
        <v>0.25</v>
      </c>
      <c r="G148" s="51">
        <v>0.25</v>
      </c>
      <c r="H148" s="51">
        <v>0.5</v>
      </c>
      <c r="I148" s="57">
        <f t="shared" si="5"/>
        <v>5.7692307692307683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>
        <v>60</v>
      </c>
      <c r="B149" s="60">
        <v>229.48717948717947</v>
      </c>
      <c r="C149" s="50">
        <v>10</v>
      </c>
      <c r="D149" s="60">
        <v>14.743589743589743</v>
      </c>
      <c r="E149" s="51">
        <v>0.25</v>
      </c>
      <c r="F149" s="51">
        <v>0.25</v>
      </c>
      <c r="G149" s="51">
        <v>0.25</v>
      </c>
      <c r="H149" s="51">
        <v>0.25</v>
      </c>
      <c r="I149" s="57">
        <f t="shared" si="5"/>
        <v>5.3846153846153868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>
        <v>65</v>
      </c>
      <c r="B150" s="60">
        <v>240.38461538461539</v>
      </c>
      <c r="C150" s="50">
        <v>11</v>
      </c>
      <c r="D150" s="60">
        <v>13.461538461538462</v>
      </c>
      <c r="E150" s="51">
        <v>0.25</v>
      </c>
      <c r="F150" s="51">
        <v>0.25</v>
      </c>
      <c r="G150" s="51">
        <v>0.25</v>
      </c>
      <c r="H150" s="51">
        <v>0.25</v>
      </c>
      <c r="I150" s="57">
        <f t="shared" si="5"/>
        <v>5.1282051282051331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>
        <v>70</v>
      </c>
      <c r="B151" s="60">
        <v>251.92307692307691</v>
      </c>
      <c r="C151" s="50">
        <v>12</v>
      </c>
      <c r="D151" s="60">
        <v>14.102564102564102</v>
      </c>
      <c r="E151" s="51">
        <v>0.25</v>
      </c>
      <c r="F151" s="51">
        <v>0.25</v>
      </c>
      <c r="G151" s="51">
        <v>0.25</v>
      </c>
      <c r="H151" s="51">
        <v>0.25</v>
      </c>
      <c r="I151" s="57">
        <f t="shared" si="5"/>
        <v>4.9999999999999947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>
        <v>75</v>
      </c>
      <c r="B152" s="60">
        <v>260.89743589743591</v>
      </c>
      <c r="C152" s="50">
        <v>13</v>
      </c>
      <c r="D152" s="60">
        <v>13.461538461538462</v>
      </c>
      <c r="E152" s="54">
        <v>0.25</v>
      </c>
      <c r="F152" s="54">
        <v>0.25</v>
      </c>
      <c r="G152" s="54">
        <v>0.25</v>
      </c>
      <c r="H152" s="54">
        <v>0.25</v>
      </c>
      <c r="I152" s="57">
        <f t="shared" si="5"/>
        <v>4.6153846153846185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>
        <v>80</v>
      </c>
      <c r="B153" s="60">
        <v>268.58974358974359</v>
      </c>
      <c r="C153" s="50">
        <v>14</v>
      </c>
      <c r="D153" s="60">
        <v>12.820512820512819</v>
      </c>
      <c r="E153" s="54">
        <v>0.25</v>
      </c>
      <c r="F153" s="54">
        <v>0.25</v>
      </c>
      <c r="G153" s="54">
        <v>0.25</v>
      </c>
      <c r="H153" s="54">
        <v>0.25</v>
      </c>
      <c r="I153" s="57">
        <f t="shared" si="5"/>
        <v>4.2307692307692264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>
        <v>85</v>
      </c>
      <c r="B154" s="56">
        <v>276.28205128205127</v>
      </c>
      <c r="C154" s="50">
        <v>15</v>
      </c>
      <c r="D154" s="50">
        <v>12.179487179487179</v>
      </c>
      <c r="E154" s="54">
        <v>0.25</v>
      </c>
      <c r="F154" s="54">
        <v>0.25</v>
      </c>
      <c r="G154" s="54">
        <v>0.25</v>
      </c>
      <c r="H154" s="54">
        <v>0.25</v>
      </c>
      <c r="I154" s="57">
        <f t="shared" si="5"/>
        <v>4.1025641025640995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>
        <v>90</v>
      </c>
      <c r="B155" s="56">
        <v>283.33333333333331</v>
      </c>
      <c r="C155" s="50">
        <v>16</v>
      </c>
      <c r="D155" s="50">
        <v>12.179487179487179</v>
      </c>
      <c r="E155" s="54">
        <v>0.25</v>
      </c>
      <c r="F155" s="54">
        <v>0.25</v>
      </c>
      <c r="G155" s="54">
        <v>0.25</v>
      </c>
      <c r="H155" s="54">
        <v>0.25</v>
      </c>
      <c r="I155" s="57">
        <f t="shared" si="5"/>
        <v>3.8461538461538454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>
        <v>95</v>
      </c>
      <c r="B156" s="56">
        <v>289.74358974358972</v>
      </c>
      <c r="C156" s="50">
        <v>17</v>
      </c>
      <c r="D156" s="50">
        <v>11.538461538461538</v>
      </c>
      <c r="E156" s="54">
        <v>0.25</v>
      </c>
      <c r="F156" s="54">
        <v>0.25</v>
      </c>
      <c r="G156" s="54">
        <v>0.25</v>
      </c>
      <c r="H156" s="54">
        <v>0.25</v>
      </c>
      <c r="I156" s="57">
        <f t="shared" si="5"/>
        <v>3.7179487179487181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>
        <v>100</v>
      </c>
      <c r="B157" s="56">
        <v>296.15384615384613</v>
      </c>
      <c r="C157" s="50">
        <v>18</v>
      </c>
      <c r="D157" s="50">
        <v>10.897435897435898</v>
      </c>
      <c r="E157" s="54">
        <v>0.25</v>
      </c>
      <c r="F157" s="54">
        <v>0.25</v>
      </c>
      <c r="G157" s="54">
        <v>0.25</v>
      </c>
      <c r="H157" s="54">
        <v>0.25</v>
      </c>
      <c r="I157" s="57">
        <f t="shared" si="5"/>
        <v>3.5897435897435912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>
        <v>105</v>
      </c>
      <c r="B158" s="56">
        <v>301.28205128205127</v>
      </c>
      <c r="C158" s="50">
        <v>19</v>
      </c>
      <c r="D158" s="50">
        <v>10.897435897435898</v>
      </c>
      <c r="E158" s="54">
        <v>0.25</v>
      </c>
      <c r="F158" s="54">
        <v>0.25</v>
      </c>
      <c r="G158" s="54">
        <v>0.25</v>
      </c>
      <c r="H158" s="54">
        <v>0.25</v>
      </c>
      <c r="I158" s="57">
        <f t="shared" si="5"/>
        <v>3.2051282051282102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>
        <v>110</v>
      </c>
      <c r="B159" s="56">
        <v>307.05128205128204</v>
      </c>
      <c r="C159" s="50">
        <v>20</v>
      </c>
      <c r="D159" s="58">
        <v>307.05128205128204</v>
      </c>
      <c r="E159" s="54">
        <v>0.25</v>
      </c>
      <c r="F159" s="54">
        <v>0.25</v>
      </c>
      <c r="G159" s="54">
        <v>0.25</v>
      </c>
      <c r="H159" s="54">
        <v>0.25</v>
      </c>
      <c r="I159" s="57">
        <f t="shared" si="5"/>
        <v>3.333333333333337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>
        <v>38</v>
      </c>
      <c r="B166" s="60">
        <v>152.63</v>
      </c>
      <c r="C166" s="60">
        <v>1</v>
      </c>
      <c r="D166" s="60">
        <v>71.569999999999993</v>
      </c>
      <c r="E166" s="51">
        <v>0</v>
      </c>
      <c r="F166" s="51">
        <v>0.8</v>
      </c>
      <c r="G166" s="51">
        <v>0.2</v>
      </c>
      <c r="H166" s="51">
        <v>0</v>
      </c>
      <c r="I166" s="49">
        <f>IFERROR(B166/A166,"")</f>
        <v>4.016578947368421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>
        <v>45</v>
      </c>
      <c r="B167" s="60">
        <v>149.75</v>
      </c>
      <c r="C167" s="60">
        <v>2</v>
      </c>
      <c r="D167" s="60">
        <v>41.69</v>
      </c>
      <c r="E167" s="51">
        <v>0</v>
      </c>
      <c r="F167" s="51">
        <v>0.8</v>
      </c>
      <c r="G167" s="51">
        <v>0.2</v>
      </c>
      <c r="H167" s="51">
        <v>0</v>
      </c>
      <c r="I167" s="49">
        <f t="shared" ref="I167:I185" si="6">IF(A167&lt;&gt;0,(B167-(B166-D166))/(A167-A166),"")</f>
        <v>9.8128571428571423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>
        <v>52</v>
      </c>
      <c r="B168" s="60">
        <v>178.07</v>
      </c>
      <c r="C168" s="60">
        <v>3</v>
      </c>
      <c r="D168" s="60">
        <v>44.400000000000006</v>
      </c>
      <c r="E168" s="51">
        <v>0.35</v>
      </c>
      <c r="F168" s="51">
        <v>0.2</v>
      </c>
      <c r="G168" s="51">
        <v>0.1</v>
      </c>
      <c r="H168" s="51">
        <v>0.35</v>
      </c>
      <c r="I168" s="49">
        <f t="shared" si="6"/>
        <v>10.001428571428571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>
        <v>59</v>
      </c>
      <c r="B169" s="60">
        <v>202.85</v>
      </c>
      <c r="C169" s="60">
        <v>4</v>
      </c>
      <c r="D169" s="60">
        <v>41.81</v>
      </c>
      <c r="E169" s="51">
        <v>0.35</v>
      </c>
      <c r="F169" s="51">
        <v>0.2</v>
      </c>
      <c r="G169" s="51">
        <v>0.1</v>
      </c>
      <c r="H169" s="51">
        <v>0.35</v>
      </c>
      <c r="I169" s="49">
        <f t="shared" si="6"/>
        <v>9.8828571428571443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>
        <v>67</v>
      </c>
      <c r="B170" s="60">
        <v>239.06</v>
      </c>
      <c r="C170" s="60">
        <v>5</v>
      </c>
      <c r="D170" s="60">
        <v>42.550000000000011</v>
      </c>
      <c r="E170" s="51">
        <v>0.35</v>
      </c>
      <c r="F170" s="51">
        <v>0.2</v>
      </c>
      <c r="G170" s="51">
        <v>0.1</v>
      </c>
      <c r="H170" s="51">
        <v>0.35</v>
      </c>
      <c r="I170" s="49">
        <f t="shared" si="6"/>
        <v>9.7525000000000013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>
        <v>75</v>
      </c>
      <c r="B171" s="60">
        <v>273.76</v>
      </c>
      <c r="C171" s="60">
        <v>6</v>
      </c>
      <c r="D171" s="60">
        <v>43.519999999999982</v>
      </c>
      <c r="E171" s="51">
        <v>0.35</v>
      </c>
      <c r="F171" s="51">
        <v>0.2</v>
      </c>
      <c r="G171" s="51">
        <v>0.1</v>
      </c>
      <c r="H171" s="51">
        <v>0.35</v>
      </c>
      <c r="I171" s="49">
        <f t="shared" si="6"/>
        <v>9.65625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>
        <v>83</v>
      </c>
      <c r="B172" s="60">
        <v>306.11</v>
      </c>
      <c r="C172" s="60">
        <v>7</v>
      </c>
      <c r="D172" s="60">
        <v>49.980000000000018</v>
      </c>
      <c r="E172" s="51">
        <v>0.35</v>
      </c>
      <c r="F172" s="51">
        <v>0.2</v>
      </c>
      <c r="G172" s="51">
        <v>0.1</v>
      </c>
      <c r="H172" s="51">
        <v>0.35</v>
      </c>
      <c r="I172" s="49">
        <f t="shared" si="6"/>
        <v>9.4837500000000006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>
        <v>93</v>
      </c>
      <c r="B173" s="50">
        <v>348.87</v>
      </c>
      <c r="C173" s="50">
        <v>8</v>
      </c>
      <c r="D173" s="50">
        <v>67.45999999999998</v>
      </c>
      <c r="E173" s="51">
        <v>0.5</v>
      </c>
      <c r="F173" s="51">
        <v>0.2</v>
      </c>
      <c r="G173" s="51">
        <v>0</v>
      </c>
      <c r="H173" s="51">
        <v>0.3</v>
      </c>
      <c r="I173" s="49">
        <f t="shared" si="6"/>
        <v>9.2740000000000009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>
        <v>103</v>
      </c>
      <c r="B174" s="50">
        <v>371.4</v>
      </c>
      <c r="C174" s="50">
        <v>9</v>
      </c>
      <c r="D174" s="50">
        <v>67.759999999999991</v>
      </c>
      <c r="E174" s="51">
        <v>0.5</v>
      </c>
      <c r="F174" s="51">
        <v>0.2</v>
      </c>
      <c r="G174" s="51">
        <v>0</v>
      </c>
      <c r="H174" s="51">
        <v>0.3</v>
      </c>
      <c r="I174" s="49">
        <f t="shared" si="6"/>
        <v>8.9989999999999952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>
        <v>113</v>
      </c>
      <c r="B175" s="50">
        <v>391.18</v>
      </c>
      <c r="C175" s="50">
        <v>10</v>
      </c>
      <c r="D175" s="50">
        <v>68.670000000000016</v>
      </c>
      <c r="E175" s="51">
        <v>0.5</v>
      </c>
      <c r="F175" s="51">
        <v>0.2</v>
      </c>
      <c r="G175" s="51">
        <v>0</v>
      </c>
      <c r="H175" s="51">
        <v>0.3</v>
      </c>
      <c r="I175" s="49">
        <f t="shared" si="6"/>
        <v>8.7540000000000013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>
        <v>123</v>
      </c>
      <c r="B176" s="50">
        <v>409.53</v>
      </c>
      <c r="C176" s="50">
        <v>11</v>
      </c>
      <c r="D176" s="50">
        <v>203.78999999999996</v>
      </c>
      <c r="E176" s="51">
        <v>0.45</v>
      </c>
      <c r="F176" s="51">
        <v>0.05</v>
      </c>
      <c r="G176" s="51">
        <v>0.05</v>
      </c>
      <c r="H176" s="51">
        <v>0.45</v>
      </c>
      <c r="I176" s="49">
        <f t="shared" si="6"/>
        <v>8.7019999999999982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>
        <v>125</v>
      </c>
      <c r="B177" s="50">
        <v>215.44</v>
      </c>
      <c r="C177" s="50">
        <v>12</v>
      </c>
      <c r="D177" s="50">
        <v>70.609999999999985</v>
      </c>
      <c r="E177" s="51">
        <v>0.45</v>
      </c>
      <c r="F177" s="51">
        <v>0.05</v>
      </c>
      <c r="G177" s="51">
        <v>0.05</v>
      </c>
      <c r="H177" s="51">
        <v>0.45</v>
      </c>
      <c r="I177" s="49">
        <f t="shared" si="6"/>
        <v>4.8499999999999943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>
        <v>127</v>
      </c>
      <c r="B178" s="50">
        <v>151.47999999999999</v>
      </c>
      <c r="C178" s="50">
        <v>13</v>
      </c>
      <c r="D178" s="50">
        <v>46.039999999999992</v>
      </c>
      <c r="E178" s="51">
        <v>0.45</v>
      </c>
      <c r="F178" s="51">
        <v>0.05</v>
      </c>
      <c r="G178" s="51">
        <v>0.05</v>
      </c>
      <c r="H178" s="51">
        <v>0.45</v>
      </c>
      <c r="I178" s="49">
        <f t="shared" si="6"/>
        <v>3.3249999999999886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>
        <v>130</v>
      </c>
      <c r="B179" s="50">
        <v>112.75</v>
      </c>
      <c r="C179" s="50">
        <v>14</v>
      </c>
      <c r="D179" s="50">
        <v>112.75</v>
      </c>
      <c r="E179" s="51">
        <v>0.45</v>
      </c>
      <c r="F179" s="51">
        <v>0.05</v>
      </c>
      <c r="G179" s="51">
        <v>0.05</v>
      </c>
      <c r="H179" s="51">
        <v>0.45</v>
      </c>
      <c r="I179" s="49">
        <f t="shared" si="6"/>
        <v>2.4366666666666674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>
        <v>38</v>
      </c>
      <c r="B192" s="60">
        <v>152.63</v>
      </c>
      <c r="C192" s="60">
        <v>1</v>
      </c>
      <c r="D192" s="60">
        <v>71.569999999999993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4.016578947368421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>
        <v>45</v>
      </c>
      <c r="B193" s="60">
        <v>149.75</v>
      </c>
      <c r="C193" s="60">
        <v>2</v>
      </c>
      <c r="D193" s="60">
        <v>41.69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9.8128571428571423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>
        <v>52</v>
      </c>
      <c r="B194" s="60">
        <v>178.07</v>
      </c>
      <c r="C194" s="60">
        <v>3</v>
      </c>
      <c r="D194" s="60">
        <v>44.400000000000006</v>
      </c>
      <c r="E194" s="51">
        <v>0.35</v>
      </c>
      <c r="F194" s="51">
        <v>0.2</v>
      </c>
      <c r="G194" s="51">
        <v>0.1</v>
      </c>
      <c r="H194" s="51">
        <v>0.35</v>
      </c>
      <c r="I194" s="49">
        <f t="shared" si="7"/>
        <v>10.001428571428571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>
        <v>59</v>
      </c>
      <c r="B195" s="60">
        <v>202.85</v>
      </c>
      <c r="C195" s="60">
        <v>4</v>
      </c>
      <c r="D195" s="60">
        <v>41.81</v>
      </c>
      <c r="E195" s="51">
        <v>0.35</v>
      </c>
      <c r="F195" s="51">
        <v>0.2</v>
      </c>
      <c r="G195" s="51">
        <v>0.1</v>
      </c>
      <c r="H195" s="51">
        <v>0.35</v>
      </c>
      <c r="I195" s="49">
        <f t="shared" si="7"/>
        <v>9.8828571428571443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>
        <v>67</v>
      </c>
      <c r="B196" s="60">
        <v>239.06</v>
      </c>
      <c r="C196" s="60">
        <v>5</v>
      </c>
      <c r="D196" s="60">
        <v>42.550000000000011</v>
      </c>
      <c r="E196" s="51">
        <v>0.35</v>
      </c>
      <c r="F196" s="51">
        <v>0.2</v>
      </c>
      <c r="G196" s="51">
        <v>0.1</v>
      </c>
      <c r="H196" s="51">
        <v>0.35</v>
      </c>
      <c r="I196" s="49">
        <f t="shared" si="7"/>
        <v>9.7525000000000013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>
        <v>75</v>
      </c>
      <c r="B197" s="60">
        <v>273.76</v>
      </c>
      <c r="C197" s="60">
        <v>6</v>
      </c>
      <c r="D197" s="60">
        <v>43.519999999999982</v>
      </c>
      <c r="E197" s="51">
        <v>0.35</v>
      </c>
      <c r="F197" s="51">
        <v>0.2</v>
      </c>
      <c r="G197" s="51">
        <v>0.1</v>
      </c>
      <c r="H197" s="51">
        <v>0.35</v>
      </c>
      <c r="I197" s="49">
        <f t="shared" si="7"/>
        <v>9.65625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>
        <v>83</v>
      </c>
      <c r="B198" s="60">
        <v>306.11</v>
      </c>
      <c r="C198" s="60">
        <v>7</v>
      </c>
      <c r="D198" s="60">
        <v>49.980000000000018</v>
      </c>
      <c r="E198" s="51">
        <v>0.35</v>
      </c>
      <c r="F198" s="51">
        <v>0.2</v>
      </c>
      <c r="G198" s="51">
        <v>0.1</v>
      </c>
      <c r="H198" s="51">
        <v>0.35</v>
      </c>
      <c r="I198" s="49">
        <f t="shared" si="7"/>
        <v>9.4837500000000006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>
        <v>93</v>
      </c>
      <c r="B199" s="50">
        <v>348.87</v>
      </c>
      <c r="C199" s="50">
        <v>8</v>
      </c>
      <c r="D199" s="50">
        <v>67.45999999999998</v>
      </c>
      <c r="E199" s="51">
        <v>0.5</v>
      </c>
      <c r="F199" s="51">
        <v>0.2</v>
      </c>
      <c r="G199" s="51">
        <v>0</v>
      </c>
      <c r="H199" s="51">
        <v>0.3</v>
      </c>
      <c r="I199" s="49">
        <f t="shared" si="7"/>
        <v>9.2740000000000009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>
        <v>103</v>
      </c>
      <c r="B200" s="50">
        <v>371.4</v>
      </c>
      <c r="C200" s="50">
        <v>9</v>
      </c>
      <c r="D200" s="50">
        <v>67.759999999999991</v>
      </c>
      <c r="E200" s="51">
        <v>0.5</v>
      </c>
      <c r="F200" s="51">
        <v>0.2</v>
      </c>
      <c r="G200" s="51">
        <v>0</v>
      </c>
      <c r="H200" s="51">
        <v>0.3</v>
      </c>
      <c r="I200" s="49">
        <f t="shared" si="7"/>
        <v>8.9989999999999952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>
        <v>113</v>
      </c>
      <c r="B201" s="50">
        <v>391.18</v>
      </c>
      <c r="C201" s="50">
        <v>10</v>
      </c>
      <c r="D201" s="50">
        <v>68.670000000000016</v>
      </c>
      <c r="E201" s="51">
        <v>0.5</v>
      </c>
      <c r="F201" s="51">
        <v>0.2</v>
      </c>
      <c r="G201" s="51">
        <v>0</v>
      </c>
      <c r="H201" s="51">
        <v>0.3</v>
      </c>
      <c r="I201" s="49">
        <f t="shared" si="7"/>
        <v>8.7540000000000013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>
        <v>123</v>
      </c>
      <c r="B202" s="50">
        <v>409.53</v>
      </c>
      <c r="C202" s="50">
        <v>11</v>
      </c>
      <c r="D202" s="50">
        <v>203.78999999999996</v>
      </c>
      <c r="E202" s="51">
        <v>0.45</v>
      </c>
      <c r="F202" s="51">
        <v>0.05</v>
      </c>
      <c r="G202" s="51">
        <v>0.05</v>
      </c>
      <c r="H202" s="51">
        <v>0.45</v>
      </c>
      <c r="I202" s="49">
        <f t="shared" si="7"/>
        <v>8.7019999999999982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>
        <v>125</v>
      </c>
      <c r="B203" s="50">
        <v>215.44</v>
      </c>
      <c r="C203" s="50">
        <v>12</v>
      </c>
      <c r="D203" s="50">
        <v>70.609999999999985</v>
      </c>
      <c r="E203" s="51">
        <v>0.45</v>
      </c>
      <c r="F203" s="51">
        <v>0.05</v>
      </c>
      <c r="G203" s="51">
        <v>0.05</v>
      </c>
      <c r="H203" s="51">
        <v>0.45</v>
      </c>
      <c r="I203" s="49">
        <f t="shared" si="7"/>
        <v>4.8499999999999943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>
        <v>127</v>
      </c>
      <c r="B204" s="50">
        <v>151.47999999999999</v>
      </c>
      <c r="C204" s="50">
        <v>13</v>
      </c>
      <c r="D204" s="50">
        <v>46.039999999999992</v>
      </c>
      <c r="E204" s="51">
        <v>0.45</v>
      </c>
      <c r="F204" s="51">
        <v>0.05</v>
      </c>
      <c r="G204" s="51">
        <v>0.05</v>
      </c>
      <c r="H204" s="51">
        <v>0.45</v>
      </c>
      <c r="I204" s="49">
        <f t="shared" si="7"/>
        <v>3.3249999999999886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>
        <v>130</v>
      </c>
      <c r="B205" s="50">
        <v>112.75</v>
      </c>
      <c r="C205" s="50">
        <v>14</v>
      </c>
      <c r="D205" s="50">
        <v>112.75</v>
      </c>
      <c r="E205" s="51">
        <v>0.45</v>
      </c>
      <c r="F205" s="51">
        <v>0.05</v>
      </c>
      <c r="G205" s="51">
        <v>0.05</v>
      </c>
      <c r="H205" s="51">
        <v>0.45</v>
      </c>
      <c r="I205" s="49">
        <f t="shared" si="7"/>
        <v>2.4366666666666674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C213" s="23" t="s">
        <v>327</v>
      </c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>Noyer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>
        <v>15</v>
      </c>
      <c r="B218" s="60">
        <v>65</v>
      </c>
      <c r="C218" s="50">
        <v>1</v>
      </c>
      <c r="D218" s="60">
        <v>32</v>
      </c>
      <c r="E218" s="63">
        <v>0</v>
      </c>
      <c r="F218" s="63">
        <v>0.25</v>
      </c>
      <c r="G218" s="63">
        <v>0.25</v>
      </c>
      <c r="H218" s="63">
        <v>0.5</v>
      </c>
      <c r="I218" s="53">
        <f>IFERROR(B218/A218,"")</f>
        <v>4.333333333333333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>
        <v>20</v>
      </c>
      <c r="B219" s="60">
        <v>102</v>
      </c>
      <c r="C219" s="50">
        <v>2</v>
      </c>
      <c r="D219" s="60">
        <v>35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13.8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>
        <v>25</v>
      </c>
      <c r="B220" s="60">
        <v>141</v>
      </c>
      <c r="C220" s="50">
        <v>3</v>
      </c>
      <c r="D220" s="60">
        <v>35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14.8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>
        <v>30</v>
      </c>
      <c r="B221" s="55">
        <v>177</v>
      </c>
      <c r="C221" s="55">
        <v>4</v>
      </c>
      <c r="D221" s="55">
        <v>35</v>
      </c>
      <c r="E221" s="63">
        <v>0.25</v>
      </c>
      <c r="F221" s="63">
        <v>0.25</v>
      </c>
      <c r="G221" s="63">
        <v>0.25</v>
      </c>
      <c r="H221" s="63">
        <v>0.25</v>
      </c>
      <c r="I221" s="53">
        <f t="shared" si="8"/>
        <v>14.2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>
        <v>35</v>
      </c>
      <c r="B222" s="55">
        <v>206</v>
      </c>
      <c r="C222" s="55">
        <v>5</v>
      </c>
      <c r="D222" s="55">
        <v>35</v>
      </c>
      <c r="E222" s="63">
        <v>0.25</v>
      </c>
      <c r="F222" s="63">
        <v>0.25</v>
      </c>
      <c r="G222" s="63">
        <v>0.25</v>
      </c>
      <c r="H222" s="63">
        <v>0.25</v>
      </c>
      <c r="I222" s="53">
        <f t="shared" si="8"/>
        <v>12.8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>
        <v>40</v>
      </c>
      <c r="B223" s="55">
        <v>228</v>
      </c>
      <c r="C223" s="55">
        <v>6</v>
      </c>
      <c r="D223" s="55">
        <v>35</v>
      </c>
      <c r="E223" s="63">
        <v>0.25</v>
      </c>
      <c r="F223" s="63">
        <v>0.25</v>
      </c>
      <c r="G223" s="63">
        <v>0.25</v>
      </c>
      <c r="H223" s="63">
        <v>0.25</v>
      </c>
      <c r="I223" s="53">
        <f t="shared" si="8"/>
        <v>11.4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>
        <v>45</v>
      </c>
      <c r="B224" s="55">
        <v>242</v>
      </c>
      <c r="C224" s="55">
        <v>7</v>
      </c>
      <c r="D224" s="55">
        <v>24</v>
      </c>
      <c r="E224" s="63">
        <v>0.25</v>
      </c>
      <c r="F224" s="63">
        <v>0.25</v>
      </c>
      <c r="G224" s="63">
        <v>0.25</v>
      </c>
      <c r="H224" s="63">
        <v>0.25</v>
      </c>
      <c r="I224" s="53">
        <f t="shared" si="8"/>
        <v>9.8000000000000007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>
        <v>50</v>
      </c>
      <c r="B225" s="55">
        <v>261</v>
      </c>
      <c r="C225" s="55">
        <v>8</v>
      </c>
      <c r="D225" s="55">
        <v>19</v>
      </c>
      <c r="E225" s="63">
        <v>0.25</v>
      </c>
      <c r="F225" s="63">
        <v>0.25</v>
      </c>
      <c r="G225" s="63">
        <v>0.25</v>
      </c>
      <c r="H225" s="63">
        <v>0.25</v>
      </c>
      <c r="I225" s="53">
        <f t="shared" si="8"/>
        <v>8.6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>
        <v>55</v>
      </c>
      <c r="B226" s="55">
        <v>279</v>
      </c>
      <c r="C226" s="55">
        <v>9</v>
      </c>
      <c r="D226" s="55">
        <v>16</v>
      </c>
      <c r="E226" s="63">
        <v>0.25</v>
      </c>
      <c r="F226" s="63">
        <v>0.25</v>
      </c>
      <c r="G226" s="63">
        <v>0.25</v>
      </c>
      <c r="H226" s="63">
        <v>0.25</v>
      </c>
      <c r="I226" s="53">
        <f t="shared" si="8"/>
        <v>7.4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>
        <v>60</v>
      </c>
      <c r="B227" s="55">
        <v>294</v>
      </c>
      <c r="C227" s="55">
        <v>10</v>
      </c>
      <c r="D227" s="55">
        <v>14</v>
      </c>
      <c r="E227" s="63">
        <v>0.25</v>
      </c>
      <c r="F227" s="63">
        <v>0.25</v>
      </c>
      <c r="G227" s="63">
        <v>0.25</v>
      </c>
      <c r="H227" s="63">
        <v>0.25</v>
      </c>
      <c r="I227" s="53">
        <f t="shared" si="8"/>
        <v>6.2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>
        <v>65</v>
      </c>
      <c r="B228" s="55">
        <v>306</v>
      </c>
      <c r="C228" s="55">
        <v>11</v>
      </c>
      <c r="D228" s="55">
        <v>13</v>
      </c>
      <c r="E228" s="63">
        <v>0.25</v>
      </c>
      <c r="F228" s="63">
        <v>0.25</v>
      </c>
      <c r="G228" s="63">
        <v>0.25</v>
      </c>
      <c r="H228" s="63">
        <v>0.25</v>
      </c>
      <c r="I228" s="53">
        <f t="shared" si="8"/>
        <v>5.2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>
        <v>70</v>
      </c>
      <c r="B229" s="55">
        <v>316</v>
      </c>
      <c r="C229" s="55">
        <v>12</v>
      </c>
      <c r="D229" s="55">
        <v>13</v>
      </c>
      <c r="E229" s="63">
        <v>0.25</v>
      </c>
      <c r="F229" s="63">
        <v>0.25</v>
      </c>
      <c r="G229" s="63">
        <v>0.25</v>
      </c>
      <c r="H229" s="63">
        <v>0.25</v>
      </c>
      <c r="I229" s="53">
        <f t="shared" si="8"/>
        <v>4.5999999999999996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>
        <v>75</v>
      </c>
      <c r="B230" s="55">
        <v>324</v>
      </c>
      <c r="C230" s="55">
        <v>13</v>
      </c>
      <c r="D230" s="55">
        <v>12</v>
      </c>
      <c r="E230" s="64">
        <v>0.25</v>
      </c>
      <c r="F230" s="64">
        <v>0.25</v>
      </c>
      <c r="G230" s="64">
        <v>0.25</v>
      </c>
      <c r="H230" s="64">
        <v>0.25</v>
      </c>
      <c r="I230" s="53">
        <f t="shared" si="8"/>
        <v>4.2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>
        <v>80</v>
      </c>
      <c r="B231" s="60">
        <v>330</v>
      </c>
      <c r="C231" s="88">
        <v>14</v>
      </c>
      <c r="D231" s="60">
        <v>330</v>
      </c>
      <c r="E231" s="54">
        <v>0.25</v>
      </c>
      <c r="F231" s="54">
        <v>0.25</v>
      </c>
      <c r="G231" s="54">
        <v>0.25</v>
      </c>
      <c r="H231" s="54">
        <v>0.25</v>
      </c>
      <c r="I231" s="53">
        <f t="shared" si="8"/>
        <v>3.6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C239" s="23" t="s">
        <v>325</v>
      </c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>Chêne vert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>
        <v>60</v>
      </c>
      <c r="B244" s="60">
        <v>201.62</v>
      </c>
      <c r="C244" s="60">
        <v>1</v>
      </c>
      <c r="D244" s="60">
        <v>72.87</v>
      </c>
      <c r="E244" s="51">
        <v>0</v>
      </c>
      <c r="F244" s="51">
        <v>0.8</v>
      </c>
      <c r="G244" s="51">
        <v>0.2</v>
      </c>
      <c r="H244" s="63">
        <v>0</v>
      </c>
      <c r="I244" s="53">
        <f>IFERROR(B244/A244,"")</f>
        <v>3.3603333333333336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>
        <v>69</v>
      </c>
      <c r="B245" s="60">
        <v>190.79</v>
      </c>
      <c r="C245" s="60">
        <v>2</v>
      </c>
      <c r="D245" s="60">
        <v>42.22</v>
      </c>
      <c r="E245" s="63">
        <v>0</v>
      </c>
      <c r="F245" s="63">
        <v>0.8</v>
      </c>
      <c r="G245" s="63">
        <v>0.2</v>
      </c>
      <c r="H245" s="63">
        <v>0</v>
      </c>
      <c r="I245" s="53">
        <f>IF(A245&lt;&gt;0,(B245-(B244-D244))/(A245-A244),"")</f>
        <v>6.8933333333333326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>
        <v>77</v>
      </c>
      <c r="B246" s="60">
        <v>202.52</v>
      </c>
      <c r="C246" s="60">
        <v>3</v>
      </c>
      <c r="D246" s="60">
        <v>33.950000000000017</v>
      </c>
      <c r="E246" s="63">
        <v>0</v>
      </c>
      <c r="F246" s="63">
        <v>0.8</v>
      </c>
      <c r="G246" s="63">
        <v>0.2</v>
      </c>
      <c r="H246" s="63">
        <v>0</v>
      </c>
      <c r="I246" s="53">
        <f>IF(A246&lt;&gt;0,(B246-(B245-D245))/(A246-A245),"")</f>
        <v>6.7437500000000021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>
        <v>86</v>
      </c>
      <c r="B247" s="60">
        <v>229.27</v>
      </c>
      <c r="C247" s="60">
        <v>4</v>
      </c>
      <c r="D247" s="60">
        <v>37.54000000000002</v>
      </c>
      <c r="E247" s="63">
        <v>0.35</v>
      </c>
      <c r="F247" s="63">
        <v>0.2</v>
      </c>
      <c r="G247" s="63">
        <v>0.1</v>
      </c>
      <c r="H247" s="63">
        <v>0.35</v>
      </c>
      <c r="I247" s="53">
        <f t="shared" ref="I247:I263" si="9">IF(A247&lt;&gt;0,(B247-(B246-D246))/(A247-A246),"")</f>
        <v>6.7444444444444462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>
        <v>95</v>
      </c>
      <c r="B248" s="60">
        <v>252.57</v>
      </c>
      <c r="C248" s="60">
        <v>5</v>
      </c>
      <c r="D248" s="60">
        <v>42.199999999999989</v>
      </c>
      <c r="E248" s="63">
        <v>0.35</v>
      </c>
      <c r="F248" s="63">
        <v>0.2</v>
      </c>
      <c r="G248" s="63">
        <v>0.1</v>
      </c>
      <c r="H248" s="63">
        <v>0.35</v>
      </c>
      <c r="I248" s="53">
        <f t="shared" si="9"/>
        <v>6.7600000000000007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>
        <v>104</v>
      </c>
      <c r="B249" s="60">
        <v>271.37</v>
      </c>
      <c r="C249" s="60">
        <v>6</v>
      </c>
      <c r="D249" s="60">
        <v>39.400000000000006</v>
      </c>
      <c r="E249" s="63">
        <v>0.35</v>
      </c>
      <c r="F249" s="63">
        <v>0.2</v>
      </c>
      <c r="G249" s="63">
        <v>0.1</v>
      </c>
      <c r="H249" s="63">
        <v>0.35</v>
      </c>
      <c r="I249" s="53">
        <f t="shared" si="9"/>
        <v>6.7777777777777777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>
        <v>113</v>
      </c>
      <c r="B250" s="60">
        <v>293.89999999999998</v>
      </c>
      <c r="C250" s="60">
        <v>7</v>
      </c>
      <c r="D250" s="60">
        <v>41.639999999999986</v>
      </c>
      <c r="E250" s="63">
        <v>0.35</v>
      </c>
      <c r="F250" s="63">
        <v>0.2</v>
      </c>
      <c r="G250" s="63">
        <v>0.1</v>
      </c>
      <c r="H250" s="63">
        <v>0.35</v>
      </c>
      <c r="I250" s="53">
        <f t="shared" si="9"/>
        <v>6.8811111111111085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>
        <v>122</v>
      </c>
      <c r="B251" s="55">
        <v>315.27</v>
      </c>
      <c r="C251" s="55">
        <v>8</v>
      </c>
      <c r="D251" s="55">
        <v>45.829999999999984</v>
      </c>
      <c r="E251" s="63">
        <v>0.35</v>
      </c>
      <c r="F251" s="63">
        <v>0.2</v>
      </c>
      <c r="G251" s="63">
        <v>0.1</v>
      </c>
      <c r="H251" s="63">
        <v>0.35</v>
      </c>
      <c r="I251" s="53">
        <f t="shared" si="9"/>
        <v>7.0011111111111104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>
        <v>132</v>
      </c>
      <c r="B252" s="55">
        <v>340.57</v>
      </c>
      <c r="C252" s="55">
        <v>9</v>
      </c>
      <c r="D252" s="55">
        <v>48.699999999999989</v>
      </c>
      <c r="E252" s="63">
        <v>0.35</v>
      </c>
      <c r="F252" s="63">
        <v>0.2</v>
      </c>
      <c r="G252" s="63">
        <v>0.1</v>
      </c>
      <c r="H252" s="63">
        <v>0.35</v>
      </c>
      <c r="I252" s="53">
        <f t="shared" si="9"/>
        <v>7.1129999999999995</v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>
        <v>144</v>
      </c>
      <c r="B253" s="55">
        <v>379.92</v>
      </c>
      <c r="C253" s="55">
        <v>10</v>
      </c>
      <c r="D253" s="55">
        <v>60.949999999999989</v>
      </c>
      <c r="E253" s="63">
        <v>0.35</v>
      </c>
      <c r="F253" s="63">
        <v>0.2</v>
      </c>
      <c r="G253" s="63">
        <v>0.1</v>
      </c>
      <c r="H253" s="63">
        <v>0.35</v>
      </c>
      <c r="I253" s="53">
        <f t="shared" si="9"/>
        <v>7.3375000000000012</v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>
        <v>156</v>
      </c>
      <c r="B254" s="55">
        <v>409.2</v>
      </c>
      <c r="C254" s="55">
        <v>11</v>
      </c>
      <c r="D254" s="55">
        <v>65.69</v>
      </c>
      <c r="E254" s="63">
        <v>0.5</v>
      </c>
      <c r="F254" s="63">
        <v>0.2</v>
      </c>
      <c r="G254" s="63">
        <v>0</v>
      </c>
      <c r="H254" s="63">
        <v>0.3</v>
      </c>
      <c r="I254" s="53">
        <f t="shared" si="9"/>
        <v>7.5191666666666634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>
        <v>168</v>
      </c>
      <c r="B255" s="55">
        <v>435.65</v>
      </c>
      <c r="C255" s="55">
        <v>12</v>
      </c>
      <c r="D255" s="55">
        <v>71.37</v>
      </c>
      <c r="E255" s="63">
        <v>0.5</v>
      </c>
      <c r="F255" s="63">
        <v>0.2</v>
      </c>
      <c r="G255" s="63">
        <v>0</v>
      </c>
      <c r="H255" s="63">
        <v>0.3</v>
      </c>
      <c r="I255" s="53">
        <f t="shared" si="9"/>
        <v>7.6783333333333319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>
        <v>180</v>
      </c>
      <c r="B256" s="55">
        <v>456.54</v>
      </c>
      <c r="C256" s="55">
        <v>13</v>
      </c>
      <c r="D256" s="55">
        <v>175.59000000000003</v>
      </c>
      <c r="E256" s="64">
        <v>0.5</v>
      </c>
      <c r="F256" s="64">
        <v>0.2</v>
      </c>
      <c r="G256" s="64">
        <v>0</v>
      </c>
      <c r="H256" s="64">
        <v>0.3</v>
      </c>
      <c r="I256" s="53">
        <f t="shared" si="9"/>
        <v>7.688333333333337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>
        <v>184</v>
      </c>
      <c r="B257" s="60">
        <v>300.14</v>
      </c>
      <c r="C257" s="88">
        <v>14</v>
      </c>
      <c r="D257" s="60">
        <v>101.19999999999999</v>
      </c>
      <c r="E257" s="54">
        <v>0.5</v>
      </c>
      <c r="F257" s="54">
        <v>0.2</v>
      </c>
      <c r="G257" s="54">
        <v>0</v>
      </c>
      <c r="H257" s="54">
        <v>0.3</v>
      </c>
      <c r="I257" s="53">
        <f t="shared" si="9"/>
        <v>4.7974999999999994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>
        <v>188</v>
      </c>
      <c r="B258" s="50">
        <v>211.27</v>
      </c>
      <c r="C258" s="50">
        <v>15</v>
      </c>
      <c r="D258" s="50">
        <v>72.180000000000007</v>
      </c>
      <c r="E258" s="54">
        <v>0.5</v>
      </c>
      <c r="F258" s="54">
        <v>0.2</v>
      </c>
      <c r="G258" s="54">
        <v>0</v>
      </c>
      <c r="H258" s="54">
        <v>0.3</v>
      </c>
      <c r="I258" s="53">
        <f t="shared" si="9"/>
        <v>3.0825000000000031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>
        <v>191</v>
      </c>
      <c r="B259" s="50">
        <v>145.01</v>
      </c>
      <c r="C259" s="50" t="s">
        <v>326</v>
      </c>
      <c r="D259" s="50">
        <v>145.01</v>
      </c>
      <c r="E259" s="54">
        <v>0.45</v>
      </c>
      <c r="F259" s="54">
        <v>0.05</v>
      </c>
      <c r="G259" s="54">
        <v>0.05</v>
      </c>
      <c r="H259" s="54">
        <v>0.45</v>
      </c>
      <c r="I259" s="53">
        <f t="shared" si="9"/>
        <v>1.9733333333333292</v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F15" sqref="F15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531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3125" style="4" bestFit="1" customWidth="1"/>
    <col min="25" max="25" width="14.53125" style="4" bestFit="1" customWidth="1"/>
    <col min="26" max="26" width="12.46484375" style="4" bestFit="1" customWidth="1"/>
    <col min="27" max="27" width="9.531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3125" style="4" bestFit="1" customWidth="1"/>
    <col min="46" max="46" width="8.46484375" style="4" bestFit="1" customWidth="1"/>
    <col min="47" max="47" width="9.46484375" style="4" bestFit="1" customWidth="1"/>
    <col min="48" max="48" width="9.531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3125" style="4" bestFit="1" customWidth="1"/>
    <col min="67" max="67" width="8.46484375" style="4" bestFit="1" customWidth="1"/>
    <col min="68" max="68" width="9.46484375" style="4" bestFit="1" customWidth="1"/>
    <col min="69" max="69" width="9.531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3125" style="4" bestFit="1" customWidth="1"/>
    <col min="88" max="88" width="8.46484375" style="4" bestFit="1" customWidth="1"/>
    <col min="89" max="89" width="9.46484375" style="4" bestFit="1" customWidth="1"/>
    <col min="90" max="90" width="9.531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3125" style="4" bestFit="1" customWidth="1"/>
    <col min="109" max="109" width="8.46484375" style="4" bestFit="1" customWidth="1"/>
    <col min="110" max="110" width="9.46484375" style="4" bestFit="1" customWidth="1"/>
    <col min="111" max="111" width="9.531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3125" style="4" bestFit="1" customWidth="1"/>
    <col min="130" max="130" width="8.46484375" style="4" bestFit="1" customWidth="1"/>
    <col min="131" max="131" width="9.46484375" style="4" bestFit="1" customWidth="1"/>
    <col min="132" max="132" width="9.531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3125" style="4" bestFit="1" customWidth="1"/>
    <col min="151" max="151" width="8.46484375" style="4" bestFit="1" customWidth="1"/>
    <col min="152" max="152" width="9.46484375" style="4" bestFit="1" customWidth="1"/>
    <col min="153" max="153" width="9.531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3125" style="4" bestFit="1" customWidth="1"/>
    <col min="172" max="172" width="8.1328125" style="4" bestFit="1" customWidth="1"/>
    <col min="173" max="173" width="9.46484375" style="4" bestFit="1" customWidth="1"/>
    <col min="174" max="174" width="9.531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31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3125" style="4" bestFit="1" customWidth="1"/>
    <col min="214" max="214" width="8.46484375" style="4" bestFit="1" customWidth="1"/>
    <col min="215" max="215" width="9.46484375" style="4" bestFit="1" customWidth="1"/>
    <col min="216" max="216" width="9.531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Chêne pédonculé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Erable champêtre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Chêne pubescent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Merisier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Tilleul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Alisier torminal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Cormier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Noyer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>Chêne vert</v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456.35333554128226</v>
      </c>
      <c r="T3" s="59">
        <f>IF('Données projet'!E9&gt;30,$R$33-$H$33,LOOKUP('Données projet'!$E$9,$A$3:$A$203,R3:R203)-LOOKUP('Données projet'!$E$9,$A$3:$A$203,$H$3:$H$203))</f>
        <v>296.4517290984877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408.246209980743</v>
      </c>
      <c r="AO3" s="59">
        <f>IF('Données projet'!E10&gt;30,$AM$33-$H$33,LOOKUP('Données projet'!$E$10,$A$3:$A$203,AM3:AM203)-LOOKUP('Données projet'!$E$10,$A$3:$A$203,$H$3:$H$203))</f>
        <v>394.10236303013903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580.02848304986492</v>
      </c>
      <c r="BJ3" s="59">
        <f>IF('Données projet'!E11&gt;30,$BH$33-$H$33,LOOKUP('Données projet'!$E$11,$A$3:$A$203,BH3:BH203)-LOOKUP('Données projet'!$E$11,$A$3:$A$203,$H$3:$H$203))</f>
        <v>281.68891895586728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308.85018589589453</v>
      </c>
      <c r="CE3" s="59">
        <f>IF('Données projet'!E12&gt;30,$CC$33-$H$33,LOOKUP('Données projet'!$E$12,$A$3:$A$203,CC3:CC203)-LOOKUP('Données projet'!$E$12,$A$3:$A$203,$H$3:$H$203))</f>
        <v>302.59481222418219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335.73816489539837</v>
      </c>
      <c r="CZ3" s="59">
        <f>IF('Données projet'!E13&gt;30,$CX$33-$H$33,LOOKUP('Données projet'!$E$13,$A$3:$A$203,CX3:CX203)-LOOKUP('Données projet'!$E$13,$A$3:$A$203,$H$3:$H$203))</f>
        <v>254.09787950201044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493.03862850474161</v>
      </c>
      <c r="DU3" s="59">
        <f>IF('Données projet'!E14&gt;30,$DS$33-$H$33,LOOKUP('Données projet'!$E$14,$A$3:$A$203,DS3:DS203)-LOOKUP('Données projet'!$E$14,$A$3:$A$203,$H$3:$H$203))</f>
        <v>312.51819065560528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539.72194201710272</v>
      </c>
      <c r="EP3" s="59">
        <f>IF('Données projet'!E15&gt;30,$EN$33-$H$33,LOOKUP('Données projet'!$E$15,$A$3:$A$203,EN3:EN203)-LOOKUP('Données projet'!$E$15,$A$3:$A$203,$H$3:$H$203))</f>
        <v>340.76505385159362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383.47860767209028</v>
      </c>
      <c r="FK3" s="59">
        <f>IF('Données projet'!E16&gt;30,$FI$33-$H$33,LOOKUP('Données projet'!$E$16,$A$3:$A$203,FI3:FI203)-LOOKUP('Données projet'!$E$16,$A$3:$A$203,$H$3:$H$203))</f>
        <v>370.49129421395628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640.05156427113661</v>
      </c>
      <c r="GF3" s="59">
        <f>IF('Données projet'!E17&gt;30,$GD$33-$H$33,LOOKUP('Données projet'!$E$17,$A$3:$A$203,GD3:GD203)-LOOKUP('Données projet'!$E$17,$A$3:$A$203,$H$3:$H$203))</f>
        <v>308.77220155372902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4.9119354838709679</v>
      </c>
      <c r="N4" s="13">
        <f>IF('Données projet'!$A$36&gt;35,N3+M4-V3,IF(A4&lt;'Données projet'!$A$36,$K$205^A4,IF(A4='Données projet'!$A$36,'Données projet'!$B$36,N3+M4-V3)))</f>
        <v>1.175998897105349</v>
      </c>
      <c r="O4" s="13">
        <f>N4*VLOOKUP('Données projet'!$B$9,Paramètres!$A$1:$I$89,3,0)*VLOOKUP('Données projet'!$B$9,Paramètres!$A$1:$I$89,5,0)</f>
        <v>0.99066147092154599</v>
      </c>
      <c r="P4" s="13">
        <f>EXP(-1.0587+0.8836*LN(O4)+0.284)</f>
        <v>0.45703728983538922</v>
      </c>
      <c r="Q4" s="20">
        <f t="shared" ref="Q4:Q34" si="2">(O4+P4)*0.475*44/12</f>
        <v>2.5214086749849955</v>
      </c>
      <c r="R4" s="59">
        <f t="shared" si="0"/>
        <v>170.33384262790884</v>
      </c>
      <c r="S4" s="59">
        <f ca="1">AVERAGE(OFFSET($R$3,0,0,'Données projet'!$E$9+1,1))-AVERAGE(OFFSET($H$3,0,0,'Données projet'!$E$9+1,1))</f>
        <v>456.35333554128226</v>
      </c>
      <c r="T4" s="59">
        <f>$T$3</f>
        <v>296.4517290984877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4.333333333333333</v>
      </c>
      <c r="AI4" s="13">
        <f>IF('Données projet'!$A$62&gt;35,AI3+AH4-AQ3,IF(A4&lt;'Données projet'!$A$62,$AF$205^A4,IF(A4='Données projet'!$A$62,'Données projet'!$B$62,AI3+AH4-AQ3)))</f>
        <v>1.3208724756526424</v>
      </c>
      <c r="AJ4" s="13">
        <f>AI4*VLOOKUP('Données projet'!$B$10,Paramètres!$A$1:$I$89,3,0)*VLOOKUP('Données projet'!$B$10,Paramètres!$A$1:$I$89,5,0)</f>
        <v>1.1539141947301486</v>
      </c>
      <c r="AK4" s="13">
        <f>EXP(-1.0587+0.8836*LN(AJ4)+0.284)</f>
        <v>0.52298421799329042</v>
      </c>
      <c r="AL4" s="20">
        <f t="shared" ref="AL4:AL67" si="4">(AJ4+AK4)*0.475*44/12</f>
        <v>2.9205980688266564</v>
      </c>
      <c r="AM4" s="59">
        <f t="shared" ref="AM4:AM67" si="5">AL4+(AD4+AE4)*44/12</f>
        <v>170.73303202175049</v>
      </c>
      <c r="AN4" s="59">
        <f ca="1">AVERAGE(OFFSET($AM$3,0,0,'Données projet'!$E$10+1,1))-AVERAGE(OFFSET($H$3,0,0,'Données projet'!$E$10+1,1))</f>
        <v>408.246209980743</v>
      </c>
      <c r="AO4" s="59">
        <f>$AO$3</f>
        <v>394.10236303013903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3.3603333333333336</v>
      </c>
      <c r="BD4" s="12">
        <f>IF('Données projet'!$A$88&gt;35,BD3+BC4-BL3,IF(A4&lt;'Données projet'!$A$88,$BA$205^A4,IF(A4='Données projet'!$A$88,'Données projet'!$B$88,BD3+BC4-BL3)))</f>
        <v>3.3603333333333336</v>
      </c>
      <c r="BE4" s="13">
        <f>BD4*VLOOKUP('Données projet'!$B$11,Paramètres!$A$1:$I$89,3,0)*VLOOKUP('Données projet'!$B$11,Paramètres!$A$1:$I$89,5,0)</f>
        <v>3.4073780000000005</v>
      </c>
      <c r="BF4" s="13">
        <f>EXP(-1.0587+0.8836*LN(BE4)+0.284)</f>
        <v>1.361440466803705</v>
      </c>
      <c r="BG4" s="20">
        <f t="shared" ref="BG4:BG67" si="7">(BE4+BF4)*0.475*44/12</f>
        <v>8.3056921630164542</v>
      </c>
      <c r="BH4" s="59">
        <f t="shared" ref="BH4:BH67" si="8">BG4+(AY4+AZ4)*44/12</f>
        <v>176.1181261159403</v>
      </c>
      <c r="BI4" s="59">
        <f ca="1">AVERAGE(OFFSET($BH$3,0,0,'Données projet'!$E$11+1,1))-AVERAGE(OFFSET($H$3,0,0,'Données projet'!$E$11+1,1))</f>
        <v>580.02848304986492</v>
      </c>
      <c r="BJ4" s="59">
        <f>$BJ$3</f>
        <v>281.68891895586728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2.6666666666666665</v>
      </c>
      <c r="BY4" s="12">
        <f>IF('Données projet'!$A$114&gt;35,BY3+BX4-CG3,IF(A4&lt;'Données projet'!$A$114,$BV$205^A4,IF(A4='Données projet'!$A$114,'Données projet'!$B$114,BY3+BX4-CG3)))</f>
        <v>1.2788040393997409</v>
      </c>
      <c r="BZ4" s="13">
        <f>BY4*VLOOKUP('Données projet'!$B$12,Paramètres!$A$1:$I$89,3,0)*VLOOKUP('Données projet'!$B$12,Paramètres!$A$1:$I$89,5,0)</f>
        <v>0.99746715073179792</v>
      </c>
      <c r="CA4" s="13">
        <f>EXP(-1.0587+0.8836*LN(BZ4)+0.284)</f>
        <v>0.45981048445793882</v>
      </c>
      <c r="CB4" s="20">
        <f t="shared" ref="CB4:CB67" si="10">(BZ4+CA4)*0.475*44/12</f>
        <v>2.5380918812887914</v>
      </c>
      <c r="CC4" s="59">
        <f t="shared" ref="CC4:CC67" si="11">CB4+(BT4+BU4)*44/12</f>
        <v>170.35052583421262</v>
      </c>
      <c r="CD4" s="59">
        <f ca="1">AVERAGE(OFFSET($CC$3,0,0,'Données projet'!$E$12+1,1))-AVERAGE(OFFSET($H$3,0,0,'Données projet'!$E$12+1,1))</f>
        <v>308.85018589589453</v>
      </c>
      <c r="CE4" s="59">
        <f>$CE$3</f>
        <v>302.59481222418219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3.3333333333333335</v>
      </c>
      <c r="CT4" s="12">
        <f>IF('Données projet'!$A$140&gt;35,CT3+CS4-DB3,IF(A4&lt;'Données projet'!$A$140,$CQ$205^A4,IF(A4='Données projet'!$A$140,'Données projet'!$B$140,CT3+CS4-DB3)))</f>
        <v>1.2979700365523266</v>
      </c>
      <c r="CU4" s="17">
        <f>CT4*VLOOKUP('Données projet'!$B$13,Paramètres!$A$1:$I$89,3,0)*VLOOKUP('Données projet'!$B$13,Paramètres!$A$1:$I$89,5,0)</f>
        <v>0.87067830051930062</v>
      </c>
      <c r="CV4" s="13">
        <f>EXP(-1.0587+0.8836*LN(CU4)+0.284)</f>
        <v>0.40776537662742923</v>
      </c>
      <c r="CW4" s="20">
        <f t="shared" ref="CW4:CW67" si="13">(CU4+CV4)*0.475*44/12</f>
        <v>2.226622737697221</v>
      </c>
      <c r="CX4" s="59">
        <f t="shared" ref="CX4:CX67" si="14">CW4+(CO4+CP4)*44/12</f>
        <v>170.03905669062107</v>
      </c>
      <c r="CY4" s="59">
        <f ca="1">AVERAGE(OFFSET($CX$3,0,0,'Données projet'!$E$13+1,1))-AVERAGE(OFFSET($H$3,0,0,'Données projet'!$E$13+1,1))</f>
        <v>335.73816489539837</v>
      </c>
      <c r="CZ4" s="59">
        <f>$CZ$3</f>
        <v>254.09787950201044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4.016578947368421</v>
      </c>
      <c r="DO4" s="12">
        <f>IF('Données projet'!$A$166&gt;35,DO3+DN4-DW3,IF(A4&lt;'Données projet'!$A$166,$DL$205^A4,IF(A4='Données projet'!$A$166,'Données projet'!$B$166,DO3+DN4-DW3)))</f>
        <v>4.016578947368421</v>
      </c>
      <c r="DP4" s="17">
        <f>DO4*VLOOKUP('Données projet'!$B$14,Paramètres!$A$1:$I$89,3,0)*VLOOKUP('Données projet'!$B$14,Paramètres!$A$1:$I$89,5,0)</f>
        <v>3.8848351578947371</v>
      </c>
      <c r="DQ4" s="13">
        <f>EXP(-1.0587+0.8836*LN(DP4)+0.284)</f>
        <v>1.5286979747505627</v>
      </c>
      <c r="DR4" s="20">
        <f t="shared" ref="DR4:DR67" si="16">(DP4+DQ4)*0.475*44/12</f>
        <v>9.4285702060238972</v>
      </c>
      <c r="DS4" s="59">
        <f t="shared" ref="DS4:DS67" si="17">DR4+(DJ4+DK4)*44/12</f>
        <v>177.24100415894773</v>
      </c>
      <c r="DT4" s="59">
        <f ca="1">AVERAGE(OFFSET($DS$3,0,0,'Données projet'!$E$14+1,1))-AVERAGE(OFFSET($H$3,0,0,'Données projet'!$E$14+1,1))</f>
        <v>493.03862850474161</v>
      </c>
      <c r="DU4" s="59">
        <f>$DU$3</f>
        <v>312.51819065560528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4.016578947368421</v>
      </c>
      <c r="EJ4" s="12">
        <f>IF('Données projet'!$A$192&gt;35,EJ3+EI4-ER3,IF(A4&lt;'Données projet'!$A$192,$EG$205^A4,IF(A4='Données projet'!$A$192,'Données projet'!$B$192,EJ3+EI4-ER3)))</f>
        <v>4.016578947368421</v>
      </c>
      <c r="EK4" s="17">
        <f>EJ4*VLOOKUP('Données projet'!$B$15,Paramètres!$A$1:$I$89,3,0)*VLOOKUP('Données projet'!$B$15,Paramètres!$A$1:$I$89,5,0)</f>
        <v>4.3234455789473687</v>
      </c>
      <c r="EL4" s="13">
        <f>EXP(-1.0587+0.8836*LN(EK4)+0.284)</f>
        <v>1.6802405052268201</v>
      </c>
      <c r="EM4" s="20">
        <f t="shared" ref="EM4:EM67" si="19">(EK4+EL4)*0.475*44/12</f>
        <v>10.456419929936711</v>
      </c>
      <c r="EN4" s="59">
        <f t="shared" ref="EN4:EN67" si="20">EM4+(EE4+EF4)*44/12</f>
        <v>178.26885388286055</v>
      </c>
      <c r="EO4" s="59">
        <f ca="1">AVERAGE(OFFSET($EN$3,0,0,'Données projet'!$E$15+1,1))-AVERAGE(OFFSET($H$3,0,0,'Données projet'!$E$15+1,1))</f>
        <v>539.72194201710272</v>
      </c>
      <c r="EP4" s="59">
        <f>$EP$3</f>
        <v>340.76505385159362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4.333333333333333</v>
      </c>
      <c r="FE4" s="12">
        <f>IF('Données projet'!$A$218&gt;35,FE3+FD4-FM3,IF(A4&lt;'Données projet'!$A$218,$FB$205^A4,IF(A4='Données projet'!$A$218,'Données projet'!$B$218,FE3+FD4-FM3)))</f>
        <v>1.3208724756526424</v>
      </c>
      <c r="FF4" s="17">
        <f>FE4*VLOOKUP('Données projet'!$B$16,Paramètres!$A$1:$I$89,3,0)*VLOOKUP('Données projet'!$B$16,Paramètres!$A$1:$I$89,5,0)</f>
        <v>1.0714917522494236</v>
      </c>
      <c r="FG4" s="13">
        <f>EXP(-1.0587+0.8836*LN(FF4)+0.284)</f>
        <v>0.48983543291176185</v>
      </c>
      <c r="FH4" s="20">
        <f t="shared" ref="FH4:FH67" si="22">(FF4+FG4)*0.475*44/12</f>
        <v>2.7193115141557311</v>
      </c>
      <c r="FI4" s="59">
        <f t="shared" ref="FI4:FI67" si="23">FH4+(EZ4+FA4)*44/12</f>
        <v>170.53174546707956</v>
      </c>
      <c r="FJ4" s="59">
        <f ca="1">AVERAGE(OFFSET($FI$3,0,0,'Données projet'!$E$16+1,1))-AVERAGE(OFFSET($H$3,0,0,'Données projet'!$E$16+1,1))</f>
        <v>383.47860767209028</v>
      </c>
      <c r="FK4" s="59">
        <f>$FK$3</f>
        <v>370.49129421395628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3.3603333333333336</v>
      </c>
      <c r="FZ4" s="12">
        <f>IF('Données projet'!$A$244&gt;35,FZ3+FY4-GH3,IF(A4&lt;'Données projet'!$A$244,$FW$205^A4,IF(A4='Données projet'!$A$244,'Données projet'!$B$244,FZ3+FY4-GH3)))</f>
        <v>3.3603333333333336</v>
      </c>
      <c r="GA4" s="17">
        <f>FZ4*VLOOKUP('Données projet'!$B$17,Paramètres!$A$1:$I$89,3,0)*VLOOKUP('Données projet'!$B$17,Paramètres!$A$1:$I$89,5,0)</f>
        <v>3.8267476000000005</v>
      </c>
      <c r="GB4" s="13">
        <f>EXP(-1.0587+0.8836*LN(GA4)+0.284)</f>
        <v>1.5084832510605695</v>
      </c>
      <c r="GC4" s="20">
        <f t="shared" ref="GC4:GC67" si="25">(GA4+GB4)*0.475*44/12</f>
        <v>9.2921937322638239</v>
      </c>
      <c r="GD4" s="59">
        <f t="shared" ref="GD4:GD67" si="26">GC4+(FU4+FV4)*44/12</f>
        <v>177.10462768518767</v>
      </c>
      <c r="GE4" s="59">
        <f ca="1">AVERAGE(OFFSET($GD$3,0,0,'Données projet'!$E$17+1,1))-AVERAGE(OFFSET($H$3,0,0,'Données projet'!$E$17+1,1))</f>
        <v>640.05156427113661</v>
      </c>
      <c r="GF4" s="59">
        <f>$GF$3</f>
        <v>308.77220155372902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4.9119354838709679</v>
      </c>
      <c r="N5" s="13">
        <f>IF('Données projet'!$A$36&gt;35,N4+M5-V4,IF(A5&lt;'Données projet'!$A$36,$K$205^A5,IF(A5='Données projet'!$A$36,'Données projet'!$B$36,N4+M5-V4)))</f>
        <v>1.3829734059929972</v>
      </c>
      <c r="O5" s="13">
        <f>N5*VLOOKUP('Données projet'!$B$9,Paramètres!$A$1:$I$89,3,0)*VLOOKUP('Données projet'!$B$9,Paramètres!$A$1:$I$89,5,0)</f>
        <v>1.165016797208501</v>
      </c>
      <c r="P5" s="13">
        <f t="shared" ref="P5:P68" si="33">EXP(-1.0587+0.8836*LN(O5)+0.284)</f>
        <v>0.52742800430464087</v>
      </c>
      <c r="Q5" s="20">
        <f t="shared" si="2"/>
        <v>2.9476746959687219</v>
      </c>
      <c r="R5" s="59">
        <f t="shared" si="0"/>
        <v>173.54495598346955</v>
      </c>
      <c r="S5" s="59">
        <f ca="1">AVERAGE(OFFSET($R$3,0,0,'Données projet'!$E$9+1,1))-AVERAGE(OFFSET($H$3,0,0,'Données projet'!$E$9+1,1))</f>
        <v>456.35333554128226</v>
      </c>
      <c r="T5" s="59">
        <f t="shared" ref="T5:T68" si="34">$T$3</f>
        <v>296.4517290984877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4.333333333333333</v>
      </c>
      <c r="AI5" s="13">
        <f>IF('Données projet'!$A$62&gt;35,AI4+AH5-AQ4,IF(A5&lt;'Données projet'!$A$62,$AF$205^A5,IF(A5='Données projet'!$A$62,'Données projet'!$B$62,AI4+AH5-AQ4)))</f>
        <v>1.7447040969367404</v>
      </c>
      <c r="AJ5" s="13">
        <f>AI5*VLOOKUP('Données projet'!$B$10,Paramètres!$A$1:$I$89,3,0)*VLOOKUP('Données projet'!$B$10,Paramètres!$A$1:$I$89,5,0)</f>
        <v>1.5241734990839366</v>
      </c>
      <c r="AK5" s="13">
        <f t="shared" ref="AK5:AK68" si="35">EXP(-1.0587+0.8836*LN(AJ5)+0.284)</f>
        <v>0.66877690363385434</v>
      </c>
      <c r="AL5" s="20">
        <f t="shared" si="4"/>
        <v>3.8193886180668186</v>
      </c>
      <c r="AM5" s="59">
        <f t="shared" si="5"/>
        <v>174.41666990556766</v>
      </c>
      <c r="AN5" s="59">
        <f ca="1">AVERAGE(OFFSET($AM$3,0,0,'Données projet'!$E$10+1,1))-AVERAGE(OFFSET($H$3,0,0,'Données projet'!$E$10+1,1))</f>
        <v>408.246209980743</v>
      </c>
      <c r="AO5" s="59">
        <f t="shared" ref="AO5:AO68" si="36">$AO$3</f>
        <v>394.10236303013903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3.3603333333333336</v>
      </c>
      <c r="BD5" s="12">
        <f>IF('Données projet'!$A$88&gt;35,BD4+BC5-BL4,IF(A5&lt;'Données projet'!$A$88,$BA$205^A5,IF(A5='Données projet'!$A$88,'Données projet'!$B$88,BD4+BC5-BL4)))</f>
        <v>6.7206666666666672</v>
      </c>
      <c r="BE5" s="13">
        <f>BD5*VLOOKUP('Données projet'!$B$11,Paramètres!$A$1:$I$89,3,0)*VLOOKUP('Données projet'!$B$11,Paramètres!$A$1:$I$89,5,0)</f>
        <v>6.8147560000000009</v>
      </c>
      <c r="BF5" s="13">
        <f t="shared" ref="BF5:BF68" si="37">EXP(-1.0587+0.8836*LN(BE5)+0.284)</f>
        <v>2.5118214185487715</v>
      </c>
      <c r="BG5" s="20">
        <f t="shared" si="7"/>
        <v>16.243789003972445</v>
      </c>
      <c r="BH5" s="59">
        <f t="shared" si="8"/>
        <v>186.84107029147327</v>
      </c>
      <c r="BI5" s="59">
        <f ca="1">AVERAGE(OFFSET($BH$3,0,0,'Données projet'!$E$11+1,1))-AVERAGE(OFFSET($H$3,0,0,'Données projet'!$E$11+1,1))</f>
        <v>580.02848304986492</v>
      </c>
      <c r="BJ5" s="59">
        <f t="shared" ref="BJ5:BJ68" si="38">$BJ$3</f>
        <v>281.68891895586728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2.6666666666666665</v>
      </c>
      <c r="BY5" s="12">
        <f>IF('Données projet'!$A$114&gt;35,BY4+BX5-CG4,IF(A5&lt;'Données projet'!$A$114,$BV$205^A5,IF(A5='Données projet'!$A$114,'Données projet'!$B$114,BY4+BX5-CG4)))</f>
        <v>1.6353397711850939</v>
      </c>
      <c r="BZ5" s="13">
        <f>BY5*VLOOKUP('Données projet'!$B$12,Paramètres!$A$1:$I$89,3,0)*VLOOKUP('Données projet'!$B$12,Paramètres!$A$1:$I$89,5,0)</f>
        <v>1.2755650215243732</v>
      </c>
      <c r="CA5" s="13">
        <f t="shared" ref="CA5:CA68" si="39">EXP(-1.0587+0.8836*LN(BZ5)+0.284)</f>
        <v>0.57141400910743001</v>
      </c>
      <c r="CB5" s="20">
        <f t="shared" si="10"/>
        <v>3.2168218116837237</v>
      </c>
      <c r="CC5" s="59">
        <f t="shared" si="11"/>
        <v>173.81410309918456</v>
      </c>
      <c r="CD5" s="59">
        <f ca="1">AVERAGE(OFFSET($CC$3,0,0,'Données projet'!$E$12+1,1))-AVERAGE(OFFSET($H$3,0,0,'Données projet'!$E$12+1,1))</f>
        <v>308.85018589589453</v>
      </c>
      <c r="CE5" s="59">
        <f t="shared" ref="CE5:CE68" si="40">$CE$3</f>
        <v>302.59481222418219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3.3333333333333335</v>
      </c>
      <c r="CT5" s="12">
        <f>IF('Données projet'!$A$140&gt;35,CT4+CS5-DB4,IF(A5&lt;'Données projet'!$A$140,$CQ$205^A5,IF(A5='Données projet'!$A$140,'Données projet'!$B$140,CT4+CS5-DB4)))</f>
        <v>1.6847262157876479</v>
      </c>
      <c r="CU5" s="17">
        <f>CT5*VLOOKUP('Données projet'!$B$13,Paramètres!$A$1:$I$89,3,0)*VLOOKUP('Données projet'!$B$13,Paramètres!$A$1:$I$89,5,0)</f>
        <v>1.1301143455503542</v>
      </c>
      <c r="CV5" s="13">
        <f t="shared" ref="CV5:CV68" si="41">EXP(-1.0587+0.8836*LN(CU5)+0.284)</f>
        <v>0.5134415452108555</v>
      </c>
      <c r="CW5" s="20">
        <f t="shared" si="13"/>
        <v>2.8625265097424397</v>
      </c>
      <c r="CX5" s="59">
        <f t="shared" si="14"/>
        <v>173.45980779724329</v>
      </c>
      <c r="CY5" s="59">
        <f ca="1">AVERAGE(OFFSET($CX$3,0,0,'Données projet'!$E$13+1,1))-AVERAGE(OFFSET($H$3,0,0,'Données projet'!$E$13+1,1))</f>
        <v>335.73816489539837</v>
      </c>
      <c r="CZ5" s="59">
        <f t="shared" ref="CZ5:CZ68" si="42">$CZ$3</f>
        <v>254.09787950201044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4.016578947368421</v>
      </c>
      <c r="DO5" s="12">
        <f>IF('Données projet'!$A$166&gt;35,DO4+DN5-DW4,IF(A5&lt;'Données projet'!$A$166,$DL$205^A5,IF(A5='Données projet'!$A$166,'Données projet'!$B$166,DO4+DN5-DW4)))</f>
        <v>8.0331578947368421</v>
      </c>
      <c r="DP5" s="17">
        <f>DO5*VLOOKUP('Données projet'!$B$14,Paramètres!$A$1:$I$89,3,0)*VLOOKUP('Données projet'!$B$14,Paramètres!$A$1:$I$89,5,0)</f>
        <v>7.7696703157894742</v>
      </c>
      <c r="DQ5" s="13">
        <f t="shared" ref="DQ5:DQ68" si="43">EXP(-1.0587+0.8836*LN(DP5)+0.284)</f>
        <v>2.8204070681734956</v>
      </c>
      <c r="DR5" s="20">
        <f t="shared" si="16"/>
        <v>18.444384777068841</v>
      </c>
      <c r="DS5" s="59">
        <f t="shared" si="17"/>
        <v>189.04166606456968</v>
      </c>
      <c r="DT5" s="59">
        <f ca="1">AVERAGE(OFFSET($DS$3,0,0,'Données projet'!$E$14+1,1))-AVERAGE(OFFSET($H$3,0,0,'Données projet'!$E$14+1,1))</f>
        <v>493.03862850474161</v>
      </c>
      <c r="DU5" s="59">
        <f t="shared" ref="DU5:DU68" si="44">$DU$3</f>
        <v>312.51819065560528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4.016578947368421</v>
      </c>
      <c r="EJ5" s="12">
        <f>IF('Données projet'!$A$192&gt;35,EJ4+EI5-ER4,IF(A5&lt;'Données projet'!$A$192,$EG$205^A5,IF(A5='Données projet'!$A$192,'Données projet'!$B$192,EJ4+EI5-ER4)))</f>
        <v>8.0331578947368421</v>
      </c>
      <c r="EK5" s="17">
        <f>EJ5*VLOOKUP('Données projet'!$B$15,Paramètres!$A$1:$I$89,3,0)*VLOOKUP('Données projet'!$B$15,Paramètres!$A$1:$I$89,5,0)</f>
        <v>8.6468911578947374</v>
      </c>
      <c r="EL5" s="13">
        <f t="shared" ref="EL5:EL68" si="45">EXP(-1.0587+0.8836*LN(EK5)+0.284)</f>
        <v>3.0999990027110371</v>
      </c>
      <c r="EM5" s="20">
        <f t="shared" si="19"/>
        <v>20.459167029721723</v>
      </c>
      <c r="EN5" s="59">
        <f t="shared" si="20"/>
        <v>191.05644831722256</v>
      </c>
      <c r="EO5" s="59">
        <f ca="1">AVERAGE(OFFSET($EN$3,0,0,'Données projet'!$E$15+1,1))-AVERAGE(OFFSET($H$3,0,0,'Données projet'!$E$15+1,1))</f>
        <v>539.72194201710272</v>
      </c>
      <c r="EP5" s="59">
        <f t="shared" ref="EP5:EP68" si="46">$EP$3</f>
        <v>340.76505385159362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4.333333333333333</v>
      </c>
      <c r="FE5" s="12">
        <f>IF('Données projet'!$A$218&gt;35,FE4+FD5-FM4,IF(A5&lt;'Données projet'!$A$218,$FB$205^A5,IF(A5='Données projet'!$A$218,'Données projet'!$B$218,FE4+FD5-FM4)))</f>
        <v>1.7447040969367404</v>
      </c>
      <c r="FF5" s="17">
        <f>FE5*VLOOKUP('Données projet'!$B$16,Paramètres!$A$1:$I$89,3,0)*VLOOKUP('Données projet'!$B$16,Paramètres!$A$1:$I$89,5,0)</f>
        <v>1.4153039634350839</v>
      </c>
      <c r="FG5" s="13">
        <f t="shared" ref="FG5:FG68" si="47">EXP(-1.0587+0.8836*LN(FF5)+0.284)</f>
        <v>0.62638720795410219</v>
      </c>
      <c r="FH5" s="20">
        <f t="shared" si="22"/>
        <v>3.5559454568361653</v>
      </c>
      <c r="FI5" s="59">
        <f t="shared" si="23"/>
        <v>174.15322674433699</v>
      </c>
      <c r="FJ5" s="59">
        <f ca="1">AVERAGE(OFFSET($FI$3,0,0,'Données projet'!$E$16+1,1))-AVERAGE(OFFSET($H$3,0,0,'Données projet'!$E$16+1,1))</f>
        <v>383.47860767209028</v>
      </c>
      <c r="FK5" s="59">
        <f t="shared" ref="FK5:FK68" si="48">$FK$3</f>
        <v>370.49129421395628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3.3603333333333336</v>
      </c>
      <c r="FZ5" s="12">
        <f>IF('Données projet'!$A$244&gt;35,FZ4+FY5-GH4,IF(A5&lt;'Données projet'!$A$244,$FW$205^A5,IF(A5='Données projet'!$A$244,'Données projet'!$B$244,FZ4+FY5-GH4)))</f>
        <v>6.7206666666666672</v>
      </c>
      <c r="GA5" s="17">
        <f>FZ5*VLOOKUP('Données projet'!$B$17,Paramètres!$A$1:$I$89,3,0)*VLOOKUP('Données projet'!$B$17,Paramètres!$A$1:$I$89,5,0)</f>
        <v>7.6534952000000009</v>
      </c>
      <c r="GB5" s="13">
        <f t="shared" ref="GB5:GB68" si="49">EXP(-1.0587+0.8836*LN(GA5)+0.284)</f>
        <v>2.7831114410986091</v>
      </c>
      <c r="GC5" s="20">
        <f t="shared" si="25"/>
        <v>18.177089899913412</v>
      </c>
      <c r="GD5" s="59">
        <f t="shared" si="26"/>
        <v>188.77437118741426</v>
      </c>
      <c r="GE5" s="59">
        <f ca="1">AVERAGE(OFFSET($GD$3,0,0,'Données projet'!$E$17+1,1))-AVERAGE(OFFSET($H$3,0,0,'Données projet'!$E$17+1,1))</f>
        <v>640.05156427113661</v>
      </c>
      <c r="GF5" s="59">
        <f t="shared" ref="GF5:GF68" si="50">$GF$3</f>
        <v>308.77220155372902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4.9119354838709679</v>
      </c>
      <c r="N6" s="13">
        <f>IF('Données projet'!$A$36&gt;35,N5+M6-V5,IF(A6&lt;'Données projet'!$A$36,$K$205^A6,IF(A6='Données projet'!$A$36,'Données projet'!$B$36,N5+M6-V5)))</f>
        <v>1.6263752001737928</v>
      </c>
      <c r="O6" s="13">
        <f>N6*VLOOKUP('Données projet'!$B$9,Paramètres!$A$1:$I$89,3,0)*VLOOKUP('Données projet'!$B$9,Paramètres!$A$1:$I$89,5,0)</f>
        <v>1.3700584686264032</v>
      </c>
      <c r="P6" s="13">
        <f t="shared" si="33"/>
        <v>0.60865996257103727</v>
      </c>
      <c r="Q6" s="20">
        <f t="shared" si="2"/>
        <v>3.4462679343355425</v>
      </c>
      <c r="R6" s="59">
        <f t="shared" si="0"/>
        <v>176.80128850422042</v>
      </c>
      <c r="S6" s="59">
        <f ca="1">AVERAGE(OFFSET($R$3,0,0,'Données projet'!$E$9+1,1))-AVERAGE(OFFSET($H$3,0,0,'Données projet'!$E$9+1,1))</f>
        <v>456.35333554128226</v>
      </c>
      <c r="T6" s="59">
        <f t="shared" si="34"/>
        <v>296.4517290984877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4.333333333333333</v>
      </c>
      <c r="AI6" s="13">
        <f>IF('Données projet'!$A$62&gt;35,AI5+AH6-AQ5,IF(A6&lt;'Données projet'!$A$62,$AF$205^A6,IF(A6='Données projet'!$A$62,'Données projet'!$B$62,AI5+AH6-AQ5)))</f>
        <v>2.3045316198021402</v>
      </c>
      <c r="AJ6" s="13">
        <f>AI6*VLOOKUP('Données projet'!$B$10,Paramètres!$A$1:$I$89,3,0)*VLOOKUP('Données projet'!$B$10,Paramètres!$A$1:$I$89,5,0)</f>
        <v>2.01323882305915</v>
      </c>
      <c r="AK6" s="13">
        <f t="shared" si="35"/>
        <v>0.85521232084258414</v>
      </c>
      <c r="AL6" s="20">
        <f t="shared" si="4"/>
        <v>4.9958857422955205</v>
      </c>
      <c r="AM6" s="59">
        <f t="shared" si="5"/>
        <v>178.3509063121804</v>
      </c>
      <c r="AN6" s="59">
        <f ca="1">AVERAGE(OFFSET($AM$3,0,0,'Données projet'!$E$10+1,1))-AVERAGE(OFFSET($H$3,0,0,'Données projet'!$E$10+1,1))</f>
        <v>408.246209980743</v>
      </c>
      <c r="AO6" s="59">
        <f t="shared" si="36"/>
        <v>394.10236303013903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3.3603333333333336</v>
      </c>
      <c r="BD6" s="12">
        <f>IF('Données projet'!$A$88&gt;35,BD5+BC6-BL5,IF(A6&lt;'Données projet'!$A$88,$BA$205^A6,IF(A6='Données projet'!$A$88,'Données projet'!$B$88,BD5+BC6-BL5)))</f>
        <v>10.081000000000001</v>
      </c>
      <c r="BE6" s="13">
        <f>BD6*VLOOKUP('Données projet'!$B$11,Paramètres!$A$1:$I$89,3,0)*VLOOKUP('Données projet'!$B$11,Paramètres!$A$1:$I$89,5,0)</f>
        <v>10.222134000000002</v>
      </c>
      <c r="BF6" s="13">
        <f t="shared" si="37"/>
        <v>3.594040741454803</v>
      </c>
      <c r="BG6" s="20">
        <f t="shared" si="7"/>
        <v>24.063171008033788</v>
      </c>
      <c r="BH6" s="59">
        <f t="shared" si="8"/>
        <v>197.41819157791866</v>
      </c>
      <c r="BI6" s="59">
        <f ca="1">AVERAGE(OFFSET($BH$3,0,0,'Données projet'!$E$11+1,1))-AVERAGE(OFFSET($H$3,0,0,'Données projet'!$E$11+1,1))</f>
        <v>580.02848304986492</v>
      </c>
      <c r="BJ6" s="59">
        <f t="shared" si="38"/>
        <v>281.68891895586728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2.6666666666666665</v>
      </c>
      <c r="BY6" s="12">
        <f>IF('Données projet'!$A$114&gt;35,BY5+BX6-CG5,IF(A6&lt;'Données projet'!$A$114,$BV$205^A6,IF(A6='Données projet'!$A$114,'Données projet'!$B$114,BY5+BX6-CG5)))</f>
        <v>2.0912791051825459</v>
      </c>
      <c r="BZ6" s="13">
        <f>BY6*VLOOKUP('Données projet'!$B$12,Paramètres!$A$1:$I$89,3,0)*VLOOKUP('Données projet'!$B$12,Paramètres!$A$1:$I$89,5,0)</f>
        <v>1.6311977020423858</v>
      </c>
      <c r="CA6" s="13">
        <f t="shared" si="39"/>
        <v>0.71010553443370616</v>
      </c>
      <c r="CB6" s="20">
        <f t="shared" si="10"/>
        <v>4.0777698035291934</v>
      </c>
      <c r="CC6" s="59">
        <f t="shared" si="11"/>
        <v>177.43279037341409</v>
      </c>
      <c r="CD6" s="59">
        <f ca="1">AVERAGE(OFFSET($CC$3,0,0,'Données projet'!$E$12+1,1))-AVERAGE(OFFSET($H$3,0,0,'Données projet'!$E$12+1,1))</f>
        <v>308.85018589589453</v>
      </c>
      <c r="CE6" s="59">
        <f t="shared" si="40"/>
        <v>302.59481222418219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3.3333333333333335</v>
      </c>
      <c r="CT6" s="12">
        <f>IF('Données projet'!$A$140&gt;35,CT5+CS6-DB5,IF(A6&lt;'Données projet'!$A$140,$CQ$205^A6,IF(A6='Données projet'!$A$140,'Données projet'!$B$140,CT5+CS6-DB5)))</f>
        <v>2.1867241478865562</v>
      </c>
      <c r="CU6" s="17">
        <f>CT6*VLOOKUP('Données projet'!$B$13,Paramètres!$A$1:$I$89,3,0)*VLOOKUP('Données projet'!$B$13,Paramètres!$A$1:$I$89,5,0)</f>
        <v>1.4668545584023018</v>
      </c>
      <c r="CV6" s="13">
        <f t="shared" si="41"/>
        <v>0.64650467023192038</v>
      </c>
      <c r="CW6" s="20">
        <f t="shared" si="13"/>
        <v>3.6807673232046039</v>
      </c>
      <c r="CX6" s="59">
        <f t="shared" si="14"/>
        <v>177.03578789308949</v>
      </c>
      <c r="CY6" s="59">
        <f ca="1">AVERAGE(OFFSET($CX$3,0,0,'Données projet'!$E$13+1,1))-AVERAGE(OFFSET($H$3,0,0,'Données projet'!$E$13+1,1))</f>
        <v>335.73816489539837</v>
      </c>
      <c r="CZ6" s="59">
        <f t="shared" si="42"/>
        <v>254.09787950201044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4.016578947368421</v>
      </c>
      <c r="DO6" s="12">
        <f>IF('Données projet'!$A$166&gt;35,DO5+DN6-DW5,IF(A6&lt;'Données projet'!$A$166,$DL$205^A6,IF(A6='Données projet'!$A$166,'Données projet'!$B$166,DO5+DN6-DW5)))</f>
        <v>12.049736842105263</v>
      </c>
      <c r="DP6" s="17">
        <f>DO6*VLOOKUP('Données projet'!$B$14,Paramètres!$A$1:$I$89,3,0)*VLOOKUP('Données projet'!$B$14,Paramètres!$A$1:$I$89,5,0)</f>
        <v>11.65450547368421</v>
      </c>
      <c r="DQ6" s="13">
        <f t="shared" si="43"/>
        <v>4.035580649025273</v>
      </c>
      <c r="DR6" s="20">
        <f t="shared" si="16"/>
        <v>27.326899997052351</v>
      </c>
      <c r="DS6" s="59">
        <f t="shared" si="17"/>
        <v>200.68192056693724</v>
      </c>
      <c r="DT6" s="59">
        <f ca="1">AVERAGE(OFFSET($DS$3,0,0,'Données projet'!$E$14+1,1))-AVERAGE(OFFSET($H$3,0,0,'Données projet'!$E$14+1,1))</f>
        <v>493.03862850474161</v>
      </c>
      <c r="DU6" s="59">
        <f t="shared" si="44"/>
        <v>312.51819065560528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4.016578947368421</v>
      </c>
      <c r="EJ6" s="12">
        <f>IF('Données projet'!$A$192&gt;35,EJ5+EI6-ER5,IF(A6&lt;'Données projet'!$A$192,$EG$205^A6,IF(A6='Données projet'!$A$192,'Données projet'!$B$192,EJ5+EI6-ER5)))</f>
        <v>12.049736842105263</v>
      </c>
      <c r="EK6" s="17">
        <f>EJ6*VLOOKUP('Données projet'!$B$15,Paramètres!$A$1:$I$89,3,0)*VLOOKUP('Données projet'!$B$15,Paramètres!$A$1:$I$89,5,0)</f>
        <v>12.970336736842105</v>
      </c>
      <c r="EL6" s="13">
        <f t="shared" si="45"/>
        <v>4.4356348870732401</v>
      </c>
      <c r="EM6" s="20">
        <f t="shared" si="19"/>
        <v>30.315400578319224</v>
      </c>
      <c r="EN6" s="59">
        <f t="shared" si="20"/>
        <v>203.6704211482041</v>
      </c>
      <c r="EO6" s="59">
        <f ca="1">AVERAGE(OFFSET($EN$3,0,0,'Données projet'!$E$15+1,1))-AVERAGE(OFFSET($H$3,0,0,'Données projet'!$E$15+1,1))</f>
        <v>539.72194201710272</v>
      </c>
      <c r="EP6" s="59">
        <f t="shared" si="46"/>
        <v>340.76505385159362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4.333333333333333</v>
      </c>
      <c r="FE6" s="12">
        <f>IF('Données projet'!$A$218&gt;35,FE5+FD6-FM5,IF(A6&lt;'Données projet'!$A$218,$FB$205^A6,IF(A6='Données projet'!$A$218,'Données projet'!$B$218,FE5+FD6-FM5)))</f>
        <v>2.3045316198021402</v>
      </c>
      <c r="FF6" s="17">
        <f>FE6*VLOOKUP('Données projet'!$B$16,Paramètres!$A$1:$I$89,3,0)*VLOOKUP('Données projet'!$B$16,Paramètres!$A$1:$I$89,5,0)</f>
        <v>1.8694360499834961</v>
      </c>
      <c r="FG6" s="13">
        <f t="shared" si="47"/>
        <v>0.8010056192876821</v>
      </c>
      <c r="FH6" s="20">
        <f t="shared" si="22"/>
        <v>4.6510192406473019</v>
      </c>
      <c r="FI6" s="59">
        <f t="shared" si="23"/>
        <v>178.0060398105322</v>
      </c>
      <c r="FJ6" s="59">
        <f ca="1">AVERAGE(OFFSET($FI$3,0,0,'Données projet'!$E$16+1,1))-AVERAGE(OFFSET($H$3,0,0,'Données projet'!$E$16+1,1))</f>
        <v>383.47860767209028</v>
      </c>
      <c r="FK6" s="59">
        <f t="shared" si="48"/>
        <v>370.49129421395628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3.3603333333333336</v>
      </c>
      <c r="FZ6" s="12">
        <f>IF('Données projet'!$A$244&gt;35,FZ5+FY6-GH5,IF(A6&lt;'Données projet'!$A$244,$FW$205^A6,IF(A6='Données projet'!$A$244,'Données projet'!$B$244,FZ5+FY6-GH5)))</f>
        <v>10.081000000000001</v>
      </c>
      <c r="GA6" s="17">
        <f>FZ6*VLOOKUP('Données projet'!$B$17,Paramètres!$A$1:$I$89,3,0)*VLOOKUP('Données projet'!$B$17,Paramètres!$A$1:$I$89,5,0)</f>
        <v>11.480242800000001</v>
      </c>
      <c r="GB6" s="13">
        <f t="shared" si="49"/>
        <v>3.9822161852161009</v>
      </c>
      <c r="GC6" s="20">
        <f t="shared" si="25"/>
        <v>26.930449399251376</v>
      </c>
      <c r="GD6" s="59">
        <f t="shared" si="26"/>
        <v>200.28546996913627</v>
      </c>
      <c r="GE6" s="59">
        <f ca="1">AVERAGE(OFFSET($GD$3,0,0,'Données projet'!$E$17+1,1))-AVERAGE(OFFSET($H$3,0,0,'Données projet'!$E$17+1,1))</f>
        <v>640.05156427113661</v>
      </c>
      <c r="GF6" s="59">
        <f t="shared" si="50"/>
        <v>308.77220155372902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4.9119354838709679</v>
      </c>
      <c r="N7" s="13">
        <f>IF('Données projet'!$A$36&gt;35,N6+M7-V6,IF(A7&lt;'Données projet'!$A$36,$K$205^A7,IF(A7='Données projet'!$A$36,'Données projet'!$B$36,N6+M7-V6)))</f>
        <v>1.9126154416838717</v>
      </c>
      <c r="O7" s="13">
        <f>N7*VLOOKUP('Données projet'!$B$9,Paramètres!$A$1:$I$89,3,0)*VLOOKUP('Données projet'!$B$9,Paramètres!$A$1:$I$89,5,0)</f>
        <v>1.6111872480744935</v>
      </c>
      <c r="P7" s="13">
        <f t="shared" si="33"/>
        <v>0.70240288155612574</v>
      </c>
      <c r="Q7" s="20">
        <f t="shared" si="2"/>
        <v>4.0295028091066616</v>
      </c>
      <c r="R7" s="59">
        <f t="shared" si="0"/>
        <v>180.11562487328362</v>
      </c>
      <c r="S7" s="59">
        <f ca="1">AVERAGE(OFFSET($R$3,0,0,'Données projet'!$E$9+1,1))-AVERAGE(OFFSET($H$3,0,0,'Données projet'!$E$9+1,1))</f>
        <v>456.35333554128226</v>
      </c>
      <c r="T7" s="59">
        <f t="shared" si="34"/>
        <v>296.4517290984877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4.333333333333333</v>
      </c>
      <c r="AI7" s="13">
        <f>IF('Données projet'!$A$62&gt;35,AI6+AH7-AQ6,IF(A7&lt;'Données projet'!$A$62,$AF$205^A7,IF(A7='Données projet'!$A$62,'Données projet'!$B$62,AI6+AH7-AQ6)))</f>
        <v>3.0439923858678468</v>
      </c>
      <c r="AJ7" s="13">
        <f>AI7*VLOOKUP('Données projet'!$B$10,Paramètres!$A$1:$I$89,3,0)*VLOOKUP('Données projet'!$B$10,Paramètres!$A$1:$I$89,5,0)</f>
        <v>2.6592317482941512</v>
      </c>
      <c r="AK7" s="13">
        <f t="shared" si="35"/>
        <v>1.0936204730559642</v>
      </c>
      <c r="AL7" s="20">
        <f t="shared" si="4"/>
        <v>6.5362176188514516</v>
      </c>
      <c r="AM7" s="59">
        <f t="shared" si="5"/>
        <v>182.6223396830284</v>
      </c>
      <c r="AN7" s="59">
        <f ca="1">AVERAGE(OFFSET($AM$3,0,0,'Données projet'!$E$10+1,1))-AVERAGE(OFFSET($H$3,0,0,'Données projet'!$E$10+1,1))</f>
        <v>408.246209980743</v>
      </c>
      <c r="AO7" s="59">
        <f t="shared" si="36"/>
        <v>394.10236303013903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3.3603333333333336</v>
      </c>
      <c r="BD7" s="12">
        <f>IF('Données projet'!$A$88&gt;35,BD6+BC7-BL6,IF(A7&lt;'Données projet'!$A$88,$BA$205^A7,IF(A7='Données projet'!$A$88,'Données projet'!$B$88,BD6+BC7-BL6)))</f>
        <v>13.441333333333334</v>
      </c>
      <c r="BE7" s="13">
        <f>BD7*VLOOKUP('Données projet'!$B$11,Paramètres!$A$1:$I$89,3,0)*VLOOKUP('Données projet'!$B$11,Paramètres!$A$1:$I$89,5,0)</f>
        <v>13.629512000000002</v>
      </c>
      <c r="BF7" s="13">
        <f t="shared" si="37"/>
        <v>4.6342436503982958</v>
      </c>
      <c r="BG7" s="20">
        <f t="shared" si="7"/>
        <v>31.8093744244437</v>
      </c>
      <c r="BH7" s="59">
        <f t="shared" si="8"/>
        <v>207.89549648862064</v>
      </c>
      <c r="BI7" s="59">
        <f ca="1">AVERAGE(OFFSET($BH$3,0,0,'Données projet'!$E$11+1,1))-AVERAGE(OFFSET($H$3,0,0,'Données projet'!$E$11+1,1))</f>
        <v>580.02848304986492</v>
      </c>
      <c r="BJ7" s="59">
        <f t="shared" si="38"/>
        <v>281.68891895586728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2.6666666666666665</v>
      </c>
      <c r="BY7" s="12">
        <f>IF('Données projet'!$A$114&gt;35,BY6+BX7-CG6,IF(A7&lt;'Données projet'!$A$114,$BV$205^A7,IF(A7='Données projet'!$A$114,'Données projet'!$B$114,BY6+BX7-CG6)))</f>
        <v>2.6743361672197152</v>
      </c>
      <c r="BZ7" s="13">
        <f>BY7*VLOOKUP('Données projet'!$B$12,Paramètres!$A$1:$I$89,3,0)*VLOOKUP('Données projet'!$B$12,Paramètres!$A$1:$I$89,5,0)</f>
        <v>2.0859822104313781</v>
      </c>
      <c r="CA7" s="13">
        <f t="shared" si="39"/>
        <v>0.88245976121767966</v>
      </c>
      <c r="CB7" s="20">
        <f t="shared" si="10"/>
        <v>5.1700364339554419</v>
      </c>
      <c r="CC7" s="59">
        <f t="shared" si="11"/>
        <v>181.25615849813238</v>
      </c>
      <c r="CD7" s="59">
        <f ca="1">AVERAGE(OFFSET($CC$3,0,0,'Données projet'!$E$12+1,1))-AVERAGE(OFFSET($H$3,0,0,'Données projet'!$E$12+1,1))</f>
        <v>308.85018589589453</v>
      </c>
      <c r="CE7" s="59">
        <f t="shared" si="40"/>
        <v>302.59481222418219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3.3333333333333335</v>
      </c>
      <c r="CT7" s="12">
        <f>IF('Données projet'!$A$140&gt;35,CT6+CS7-DB6,IF(A7&lt;'Données projet'!$A$140,$CQ$205^A7,IF(A7='Données projet'!$A$140,'Données projet'!$B$140,CT6+CS7-DB6)))</f>
        <v>2.8383024221621684</v>
      </c>
      <c r="CU7" s="17">
        <f>CT7*VLOOKUP('Données projet'!$B$13,Paramètres!$A$1:$I$89,3,0)*VLOOKUP('Données projet'!$B$13,Paramètres!$A$1:$I$89,5,0)</f>
        <v>1.9039332647863827</v>
      </c>
      <c r="CV7" s="13">
        <f t="shared" si="41"/>
        <v>0.81405233474053373</v>
      </c>
      <c r="CW7" s="20">
        <f t="shared" si="13"/>
        <v>4.7338249191760466</v>
      </c>
      <c r="CX7" s="59">
        <f t="shared" si="14"/>
        <v>180.81994698335299</v>
      </c>
      <c r="CY7" s="59">
        <f ca="1">AVERAGE(OFFSET($CX$3,0,0,'Données projet'!$E$13+1,1))-AVERAGE(OFFSET($H$3,0,0,'Données projet'!$E$13+1,1))</f>
        <v>335.73816489539837</v>
      </c>
      <c r="CZ7" s="59">
        <f t="shared" si="42"/>
        <v>254.09787950201044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4.016578947368421</v>
      </c>
      <c r="DO7" s="12">
        <f>IF('Données projet'!$A$166&gt;35,DO6+DN7-DW6,IF(A7&lt;'Données projet'!$A$166,$DL$205^A7,IF(A7='Données projet'!$A$166,'Données projet'!$B$166,DO6+DN7-DW6)))</f>
        <v>16.066315789473684</v>
      </c>
      <c r="DP7" s="17">
        <f>DO7*VLOOKUP('Données projet'!$B$14,Paramètres!$A$1:$I$89,3,0)*VLOOKUP('Données projet'!$B$14,Paramètres!$A$1:$I$89,5,0)</f>
        <v>15.539340631578948</v>
      </c>
      <c r="DQ7" s="13">
        <f t="shared" si="43"/>
        <v>5.2035759591432553</v>
      </c>
      <c r="DR7" s="20">
        <f t="shared" si="16"/>
        <v>36.127246395507832</v>
      </c>
      <c r="DS7" s="59">
        <f t="shared" si="17"/>
        <v>212.21336845968477</v>
      </c>
      <c r="DT7" s="59">
        <f ca="1">AVERAGE(OFFSET($DS$3,0,0,'Données projet'!$E$14+1,1))-AVERAGE(OFFSET($H$3,0,0,'Données projet'!$E$14+1,1))</f>
        <v>493.03862850474161</v>
      </c>
      <c r="DU7" s="59">
        <f t="shared" si="44"/>
        <v>312.51819065560528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4.016578947368421</v>
      </c>
      <c r="EJ7" s="12">
        <f>IF('Données projet'!$A$192&gt;35,EJ6+EI7-ER6,IF(A7&lt;'Données projet'!$A$192,$EG$205^A7,IF(A7='Données projet'!$A$192,'Données projet'!$B$192,EJ6+EI7-ER6)))</f>
        <v>16.066315789473684</v>
      </c>
      <c r="EK7" s="17">
        <f>EJ7*VLOOKUP('Données projet'!$B$15,Paramètres!$A$1:$I$89,3,0)*VLOOKUP('Données projet'!$B$15,Paramètres!$A$1:$I$89,5,0)</f>
        <v>17.293782315789475</v>
      </c>
      <c r="EL7" s="13">
        <f t="shared" si="45"/>
        <v>5.7194156353897379</v>
      </c>
      <c r="EM7" s="20">
        <f t="shared" si="19"/>
        <v>40.081319764970452</v>
      </c>
      <c r="EN7" s="59">
        <f t="shared" si="20"/>
        <v>216.16744182914741</v>
      </c>
      <c r="EO7" s="59">
        <f ca="1">AVERAGE(OFFSET($EN$3,0,0,'Données projet'!$E$15+1,1))-AVERAGE(OFFSET($H$3,0,0,'Données projet'!$E$15+1,1))</f>
        <v>539.72194201710272</v>
      </c>
      <c r="EP7" s="59">
        <f t="shared" si="46"/>
        <v>340.76505385159362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4.333333333333333</v>
      </c>
      <c r="FE7" s="12">
        <f>IF('Données projet'!$A$218&gt;35,FE6+FD7-FM6,IF(A7&lt;'Données projet'!$A$218,$FB$205^A7,IF(A7='Données projet'!$A$218,'Données projet'!$B$218,FE6+FD7-FM6)))</f>
        <v>3.0439923858678468</v>
      </c>
      <c r="FF7" s="17">
        <f>FE7*VLOOKUP('Données projet'!$B$16,Paramètres!$A$1:$I$89,3,0)*VLOOKUP('Données projet'!$B$16,Paramètres!$A$1:$I$89,5,0)</f>
        <v>2.4692866234159974</v>
      </c>
      <c r="FG7" s="13">
        <f t="shared" si="47"/>
        <v>1.0243025304205389</v>
      </c>
      <c r="FH7" s="20">
        <f t="shared" si="22"/>
        <v>6.0846677762653014</v>
      </c>
      <c r="FI7" s="59">
        <f t="shared" si="23"/>
        <v>182.17078984044224</v>
      </c>
      <c r="FJ7" s="59">
        <f ca="1">AVERAGE(OFFSET($FI$3,0,0,'Données projet'!$E$16+1,1))-AVERAGE(OFFSET($H$3,0,0,'Données projet'!$E$16+1,1))</f>
        <v>383.47860767209028</v>
      </c>
      <c r="FK7" s="59">
        <f t="shared" si="48"/>
        <v>370.49129421395628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3.3603333333333336</v>
      </c>
      <c r="FZ7" s="12">
        <f>IF('Données projet'!$A$244&gt;35,FZ6+FY7-GH6,IF(A7&lt;'Données projet'!$A$244,$FW$205^A7,IF(A7='Données projet'!$A$244,'Données projet'!$B$244,FZ6+FY7-GH6)))</f>
        <v>13.441333333333334</v>
      </c>
      <c r="GA7" s="17">
        <f>FZ7*VLOOKUP('Données projet'!$B$17,Paramètres!$A$1:$I$89,3,0)*VLOOKUP('Données projet'!$B$17,Paramètres!$A$1:$I$89,5,0)</f>
        <v>15.306990400000002</v>
      </c>
      <c r="GB7" s="13">
        <f t="shared" si="49"/>
        <v>5.1347665200314268</v>
      </c>
      <c r="GC7" s="20">
        <f t="shared" si="25"/>
        <v>35.602726635721403</v>
      </c>
      <c r="GD7" s="59">
        <f t="shared" si="26"/>
        <v>211.68884869989836</v>
      </c>
      <c r="GE7" s="59">
        <f ca="1">AVERAGE(OFFSET($GD$3,0,0,'Données projet'!$E$17+1,1))-AVERAGE(OFFSET($H$3,0,0,'Données projet'!$E$17+1,1))</f>
        <v>640.05156427113661</v>
      </c>
      <c r="GF7" s="59">
        <f t="shared" si="50"/>
        <v>308.77220155372902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4.9119354838709679</v>
      </c>
      <c r="N8" s="13">
        <f>IF('Données projet'!$A$36&gt;35,N7+M8-V7,IF(A8&lt;'Données projet'!$A$36,$K$205^A8,IF(A8='Données projet'!$A$36,'Données projet'!$B$36,N7+M8-V7)))</f>
        <v>2.249233650006893</v>
      </c>
      <c r="O8" s="13">
        <f>N8*VLOOKUP('Données projet'!$B$9,Paramètres!$A$1:$I$89,3,0)*VLOOKUP('Données projet'!$B$9,Paramètres!$A$1:$I$89,5,0)</f>
        <v>1.8947544267658067</v>
      </c>
      <c r="P8" s="13">
        <f t="shared" si="33"/>
        <v>0.81058364005792016</v>
      </c>
      <c r="Q8" s="20">
        <f t="shared" si="2"/>
        <v>4.7117971330513244</v>
      </c>
      <c r="R8" s="59">
        <f t="shared" si="0"/>
        <v>183.50284500949869</v>
      </c>
      <c r="S8" s="59">
        <f ca="1">AVERAGE(OFFSET($R$3,0,0,'Données projet'!$E$9+1,1))-AVERAGE(OFFSET($H$3,0,0,'Données projet'!$E$9+1,1))</f>
        <v>456.35333554128226</v>
      </c>
      <c r="T8" s="59">
        <f t="shared" si="34"/>
        <v>296.4517290984877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4.333333333333333</v>
      </c>
      <c r="AI8" s="13">
        <f>IF('Données projet'!$A$62&gt;35,AI7+AH8-AQ7,IF(A8&lt;'Données projet'!$A$62,$AF$205^A8,IF(A8='Données projet'!$A$62,'Données projet'!$B$62,AI7+AH8-AQ7)))</f>
        <v>4.0207257585890561</v>
      </c>
      <c r="AJ8" s="13">
        <f>AI8*VLOOKUP('Données projet'!$B$10,Paramètres!$A$1:$I$89,3,0)*VLOOKUP('Données projet'!$B$10,Paramètres!$A$1:$I$89,5,0)</f>
        <v>3.5125060227033997</v>
      </c>
      <c r="AK8" s="13">
        <f t="shared" si="35"/>
        <v>1.3984898368966503</v>
      </c>
      <c r="AL8" s="20">
        <f t="shared" si="4"/>
        <v>8.5533177888034189</v>
      </c>
      <c r="AM8" s="59">
        <f t="shared" si="5"/>
        <v>187.34436566525076</v>
      </c>
      <c r="AN8" s="59">
        <f ca="1">AVERAGE(OFFSET($AM$3,0,0,'Données projet'!$E$10+1,1))-AVERAGE(OFFSET($H$3,0,0,'Données projet'!$E$10+1,1))</f>
        <v>408.246209980743</v>
      </c>
      <c r="AO8" s="59">
        <f t="shared" si="36"/>
        <v>394.10236303013903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3.3603333333333336</v>
      </c>
      <c r="BD8" s="12">
        <f>IF('Données projet'!$A$88&gt;35,BD7+BC8-BL7,IF(A8&lt;'Données projet'!$A$88,$BA$205^A8,IF(A8='Données projet'!$A$88,'Données projet'!$B$88,BD7+BC8-BL7)))</f>
        <v>16.801666666666669</v>
      </c>
      <c r="BE8" s="13">
        <f>BD8*VLOOKUP('Données projet'!$B$11,Paramètres!$A$1:$I$89,3,0)*VLOOKUP('Données projet'!$B$11,Paramètres!$A$1:$I$89,5,0)</f>
        <v>17.036890000000003</v>
      </c>
      <c r="BF8" s="13">
        <f t="shared" si="37"/>
        <v>5.6442800138581015</v>
      </c>
      <c r="BG8" s="20">
        <f t="shared" si="7"/>
        <v>39.503037774136196</v>
      </c>
      <c r="BH8" s="59">
        <f t="shared" si="8"/>
        <v>218.29408565058355</v>
      </c>
      <c r="BI8" s="59">
        <f ca="1">AVERAGE(OFFSET($BH$3,0,0,'Données projet'!$E$11+1,1))-AVERAGE(OFFSET($H$3,0,0,'Données projet'!$E$11+1,1))</f>
        <v>580.02848304986492</v>
      </c>
      <c r="BJ8" s="59">
        <f t="shared" si="38"/>
        <v>281.68891895586728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2.6666666666666665</v>
      </c>
      <c r="BY8" s="12">
        <f>IF('Données projet'!$A$114&gt;35,BY7+BX8-CG7,IF(A8&lt;'Données projet'!$A$114,$BV$205^A8,IF(A8='Données projet'!$A$114,'Données projet'!$B$114,BY7+BX8-CG7)))</f>
        <v>3.4199518933533928</v>
      </c>
      <c r="BZ8" s="13">
        <f>BY8*VLOOKUP('Données projet'!$B$12,Paramètres!$A$1:$I$89,3,0)*VLOOKUP('Données projet'!$B$12,Paramètres!$A$1:$I$89,5,0)</f>
        <v>2.6675624768156463</v>
      </c>
      <c r="CA8" s="13">
        <f t="shared" si="39"/>
        <v>1.0966471776471767</v>
      </c>
      <c r="CB8" s="20">
        <f t="shared" si="10"/>
        <v>6.5559984815227494</v>
      </c>
      <c r="CC8" s="59">
        <f t="shared" si="11"/>
        <v>185.3470463579701</v>
      </c>
      <c r="CD8" s="59">
        <f ca="1">AVERAGE(OFFSET($CC$3,0,0,'Données projet'!$E$12+1,1))-AVERAGE(OFFSET($H$3,0,0,'Données projet'!$E$12+1,1))</f>
        <v>308.85018589589453</v>
      </c>
      <c r="CE8" s="59">
        <f t="shared" si="40"/>
        <v>302.59481222418219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3.3333333333333335</v>
      </c>
      <c r="CT8" s="12">
        <f>IF('Données projet'!$A$140&gt;35,CT7+CS8-DB7,IF(A8&lt;'Données projet'!$A$140,$CQ$205^A8,IF(A8='Données projet'!$A$140,'Données projet'!$B$140,CT7+CS8-DB7)))</f>
        <v>3.6840314986403868</v>
      </c>
      <c r="CU8" s="17">
        <f>CT8*VLOOKUP('Données projet'!$B$13,Paramètres!$A$1:$I$89,3,0)*VLOOKUP('Données projet'!$B$13,Paramètres!$A$1:$I$89,5,0)</f>
        <v>2.4712483292879717</v>
      </c>
      <c r="CV8" s="13">
        <f t="shared" si="41"/>
        <v>1.0250215260762008</v>
      </c>
      <c r="CW8" s="20">
        <f t="shared" si="13"/>
        <v>6.0893366647592657</v>
      </c>
      <c r="CX8" s="59">
        <f t="shared" si="14"/>
        <v>184.88038454120661</v>
      </c>
      <c r="CY8" s="59">
        <f ca="1">AVERAGE(OFFSET($CX$3,0,0,'Données projet'!$E$13+1,1))-AVERAGE(OFFSET($H$3,0,0,'Données projet'!$E$13+1,1))</f>
        <v>335.73816489539837</v>
      </c>
      <c r="CZ8" s="59">
        <f t="shared" si="42"/>
        <v>254.09787950201044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4.016578947368421</v>
      </c>
      <c r="DO8" s="12">
        <f>IF('Données projet'!$A$166&gt;35,DO7+DN8-DW7,IF(A8&lt;'Données projet'!$A$166,$DL$205^A8,IF(A8='Données projet'!$A$166,'Données projet'!$B$166,DO7+DN8-DW7)))</f>
        <v>20.082894736842107</v>
      </c>
      <c r="DP8" s="17">
        <f>DO8*VLOOKUP('Données projet'!$B$14,Paramètres!$A$1:$I$89,3,0)*VLOOKUP('Données projet'!$B$14,Paramètres!$A$1:$I$89,5,0)</f>
        <v>19.424175789473686</v>
      </c>
      <c r="DQ8" s="13">
        <f t="shared" si="43"/>
        <v>6.3376986629221577</v>
      </c>
      <c r="DR8" s="20">
        <f t="shared" si="16"/>
        <v>44.868598004589423</v>
      </c>
      <c r="DS8" s="59">
        <f t="shared" si="17"/>
        <v>223.65964588103677</v>
      </c>
      <c r="DT8" s="59">
        <f ca="1">AVERAGE(OFFSET($DS$3,0,0,'Données projet'!$E$14+1,1))-AVERAGE(OFFSET($H$3,0,0,'Données projet'!$E$14+1,1))</f>
        <v>493.03862850474161</v>
      </c>
      <c r="DU8" s="59">
        <f t="shared" si="44"/>
        <v>312.51819065560528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4.016578947368421</v>
      </c>
      <c r="EJ8" s="12">
        <f>IF('Données projet'!$A$192&gt;35,EJ7+EI8-ER7,IF(A8&lt;'Données projet'!$A$192,$EG$205^A8,IF(A8='Données projet'!$A$192,'Données projet'!$B$192,EJ7+EI8-ER7)))</f>
        <v>20.082894736842107</v>
      </c>
      <c r="EK8" s="17">
        <f>EJ8*VLOOKUP('Données projet'!$B$15,Paramètres!$A$1:$I$89,3,0)*VLOOKUP('Données projet'!$B$15,Paramètres!$A$1:$I$89,5,0)</f>
        <v>21.617227894736843</v>
      </c>
      <c r="EL8" s="13">
        <f t="shared" si="45"/>
        <v>6.9659659260693632</v>
      </c>
      <c r="EM8" s="20">
        <f t="shared" si="19"/>
        <v>49.782395904570798</v>
      </c>
      <c r="EN8" s="59">
        <f t="shared" si="20"/>
        <v>228.57344378101814</v>
      </c>
      <c r="EO8" s="59">
        <f ca="1">AVERAGE(OFFSET($EN$3,0,0,'Données projet'!$E$15+1,1))-AVERAGE(OFFSET($H$3,0,0,'Données projet'!$E$15+1,1))</f>
        <v>539.72194201710272</v>
      </c>
      <c r="EP8" s="59">
        <f t="shared" si="46"/>
        <v>340.76505385159362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4.333333333333333</v>
      </c>
      <c r="FE8" s="12">
        <f>IF('Données projet'!$A$218&gt;35,FE7+FD8-FM7,IF(A8&lt;'Données projet'!$A$218,$FB$205^A8,IF(A8='Données projet'!$A$218,'Données projet'!$B$218,FE7+FD8-FM7)))</f>
        <v>4.0207257585890561</v>
      </c>
      <c r="FF8" s="17">
        <f>FE8*VLOOKUP('Données projet'!$B$16,Paramètres!$A$1:$I$89,3,0)*VLOOKUP('Données projet'!$B$16,Paramètres!$A$1:$I$89,5,0)</f>
        <v>3.2616127353674425</v>
      </c>
      <c r="FG8" s="13">
        <f t="shared" si="47"/>
        <v>1.3098480816638303</v>
      </c>
      <c r="FH8" s="20">
        <f t="shared" si="22"/>
        <v>7.9619609229961332</v>
      </c>
      <c r="FI8" s="59">
        <f t="shared" si="23"/>
        <v>186.75300879944348</v>
      </c>
      <c r="FJ8" s="59">
        <f ca="1">AVERAGE(OFFSET($FI$3,0,0,'Données projet'!$E$16+1,1))-AVERAGE(OFFSET($H$3,0,0,'Données projet'!$E$16+1,1))</f>
        <v>383.47860767209028</v>
      </c>
      <c r="FK8" s="59">
        <f t="shared" si="48"/>
        <v>370.49129421395628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3.3603333333333336</v>
      </c>
      <c r="FZ8" s="12">
        <f>IF('Données projet'!$A$244&gt;35,FZ7+FY8-GH7,IF(A8&lt;'Données projet'!$A$244,$FW$205^A8,IF(A8='Données projet'!$A$244,'Données projet'!$B$244,FZ7+FY8-GH7)))</f>
        <v>16.801666666666669</v>
      </c>
      <c r="GA8" s="17">
        <f>FZ8*VLOOKUP('Données projet'!$B$17,Paramètres!$A$1:$I$89,3,0)*VLOOKUP('Données projet'!$B$17,Paramètres!$A$1:$I$89,5,0)</f>
        <v>19.133738000000005</v>
      </c>
      <c r="GB8" s="13">
        <f t="shared" si="49"/>
        <v>6.2538921626078503</v>
      </c>
      <c r="GC8" s="20">
        <f t="shared" si="25"/>
        <v>44.216789199875343</v>
      </c>
      <c r="GD8" s="59">
        <f t="shared" si="26"/>
        <v>223.00783707632269</v>
      </c>
      <c r="GE8" s="59">
        <f ca="1">AVERAGE(OFFSET($GD$3,0,0,'Données projet'!$E$17+1,1))-AVERAGE(OFFSET($H$3,0,0,'Données projet'!$E$17+1,1))</f>
        <v>640.05156427113661</v>
      </c>
      <c r="GF8" s="59">
        <f t="shared" si="50"/>
        <v>308.77220155372902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4.9119354838709679</v>
      </c>
      <c r="N9" s="13">
        <f>IF('Données projet'!$A$36&gt;35,N8+M9-V8,IF(A9&lt;'Données projet'!$A$36,$K$205^A9,IF(A9='Données projet'!$A$36,'Données projet'!$B$36,N8+M9-V8)))</f>
        <v>2.6450962917403449</v>
      </c>
      <c r="O9" s="13">
        <f>N9*VLOOKUP('Données projet'!$B$9,Paramètres!$A$1:$I$89,3,0)*VLOOKUP('Données projet'!$B$9,Paramètres!$A$1:$I$89,5,0)</f>
        <v>2.2282291161620664</v>
      </c>
      <c r="P9" s="13">
        <f t="shared" si="33"/>
        <v>0.93542588560272921</v>
      </c>
      <c r="Q9" s="20">
        <f t="shared" si="2"/>
        <v>5.5100324614070191</v>
      </c>
      <c r="R9" s="59">
        <f t="shared" si="0"/>
        <v>186.98028455766598</v>
      </c>
      <c r="S9" s="59">
        <f ca="1">AVERAGE(OFFSET($R$3,0,0,'Données projet'!$E$9+1,1))-AVERAGE(OFFSET($H$3,0,0,'Données projet'!$E$9+1,1))</f>
        <v>456.35333554128226</v>
      </c>
      <c r="T9" s="59">
        <f t="shared" si="34"/>
        <v>296.4517290984877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4.333333333333333</v>
      </c>
      <c r="AI9" s="13">
        <f>IF('Données projet'!$A$62&gt;35,AI8+AH9-AQ8,IF(A9&lt;'Données projet'!$A$62,$AF$205^A9,IF(A9='Données projet'!$A$62,'Données projet'!$B$62,AI8+AH9-AQ8)))</f>
        <v>5.310865986667876</v>
      </c>
      <c r="AJ9" s="13">
        <f>AI9*VLOOKUP('Données projet'!$B$10,Paramètres!$A$1:$I$89,3,0)*VLOOKUP('Données projet'!$B$10,Paramètres!$A$1:$I$89,5,0)</f>
        <v>4.6395725259530565</v>
      </c>
      <c r="AK9" s="13">
        <f t="shared" si="35"/>
        <v>1.7883478520094751</v>
      </c>
      <c r="AL9" s="20">
        <f t="shared" si="4"/>
        <v>11.195294658284743</v>
      </c>
      <c r="AM9" s="59">
        <f t="shared" si="5"/>
        <v>192.66554675454373</v>
      </c>
      <c r="AN9" s="59">
        <f ca="1">AVERAGE(OFFSET($AM$3,0,0,'Données projet'!$E$10+1,1))-AVERAGE(OFFSET($H$3,0,0,'Données projet'!$E$10+1,1))</f>
        <v>408.246209980743</v>
      </c>
      <c r="AO9" s="59">
        <f t="shared" si="36"/>
        <v>394.10236303013903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3.3603333333333336</v>
      </c>
      <c r="BD9" s="12">
        <f>IF('Données projet'!$A$88&gt;35,BD8+BC9-BL8,IF(A9&lt;'Données projet'!$A$88,$BA$205^A9,IF(A9='Données projet'!$A$88,'Données projet'!$B$88,BD8+BC9-BL8)))</f>
        <v>20.162000000000003</v>
      </c>
      <c r="BE9" s="13">
        <f>BD9*VLOOKUP('Données projet'!$B$11,Paramètres!$A$1:$I$89,3,0)*VLOOKUP('Données projet'!$B$11,Paramètres!$A$1:$I$89,5,0)</f>
        <v>20.444268000000005</v>
      </c>
      <c r="BF9" s="13">
        <f t="shared" si="37"/>
        <v>6.6309094915603763</v>
      </c>
      <c r="BG9" s="20">
        <f t="shared" si="7"/>
        <v>47.15593413113433</v>
      </c>
      <c r="BH9" s="59">
        <f t="shared" si="8"/>
        <v>228.6261862273933</v>
      </c>
      <c r="BI9" s="59">
        <f ca="1">AVERAGE(OFFSET($BH$3,0,0,'Données projet'!$E$11+1,1))-AVERAGE(OFFSET($H$3,0,0,'Données projet'!$E$11+1,1))</f>
        <v>580.02848304986492</v>
      </c>
      <c r="BJ9" s="59">
        <f t="shared" si="38"/>
        <v>281.68891895586728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2.6666666666666665</v>
      </c>
      <c r="BY9" s="12">
        <f>IF('Données projet'!$A$114&gt;35,BY8+BX9-CG8,IF(A9&lt;'Données projet'!$A$114,$BV$205^A9,IF(A9='Données projet'!$A$114,'Données projet'!$B$114,BY8+BX9-CG8)))</f>
        <v>4.3734482957731098</v>
      </c>
      <c r="BZ9" s="13">
        <f>BY9*VLOOKUP('Données projet'!$B$12,Paramètres!$A$1:$I$89,3,0)*VLOOKUP('Données projet'!$B$12,Paramètres!$A$1:$I$89,5,0)</f>
        <v>3.4112896707030256</v>
      </c>
      <c r="CA9" s="13">
        <f t="shared" si="39"/>
        <v>1.3628213830192535</v>
      </c>
      <c r="CB9" s="20">
        <f t="shared" si="10"/>
        <v>8.3149100852329703</v>
      </c>
      <c r="CC9" s="59">
        <f t="shared" si="11"/>
        <v>189.78516218149196</v>
      </c>
      <c r="CD9" s="59">
        <f ca="1">AVERAGE(OFFSET($CC$3,0,0,'Données projet'!$E$12+1,1))-AVERAGE(OFFSET($H$3,0,0,'Données projet'!$E$12+1,1))</f>
        <v>308.85018589589453</v>
      </c>
      <c r="CE9" s="59">
        <f t="shared" si="40"/>
        <v>302.59481222418219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3.3333333333333335</v>
      </c>
      <c r="CT9" s="12">
        <f>IF('Données projet'!$A$140&gt;35,CT8+CS9-DB8,IF(A9&lt;'Données projet'!$A$140,$CQ$205^A9,IF(A9='Données projet'!$A$140,'Données projet'!$B$140,CT8+CS9-DB8)))</f>
        <v>4.7817624989501848</v>
      </c>
      <c r="CU9" s="17">
        <f>CT9*VLOOKUP('Données projet'!$B$13,Paramètres!$A$1:$I$89,3,0)*VLOOKUP('Données projet'!$B$13,Paramètres!$A$1:$I$89,5,0)</f>
        <v>3.2076062842957844</v>
      </c>
      <c r="CV9" s="13">
        <f t="shared" si="41"/>
        <v>1.2906653345014574</v>
      </c>
      <c r="CW9" s="20">
        <f t="shared" si="13"/>
        <v>7.8344897360718626</v>
      </c>
      <c r="CX9" s="59">
        <f t="shared" si="14"/>
        <v>189.30474183233085</v>
      </c>
      <c r="CY9" s="59">
        <f ca="1">AVERAGE(OFFSET($CX$3,0,0,'Données projet'!$E$13+1,1))-AVERAGE(OFFSET($H$3,0,0,'Données projet'!$E$13+1,1))</f>
        <v>335.73816489539837</v>
      </c>
      <c r="CZ9" s="59">
        <f t="shared" si="42"/>
        <v>254.09787950201044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4.016578947368421</v>
      </c>
      <c r="DO9" s="12">
        <f>IF('Données projet'!$A$166&gt;35,DO8+DN9-DW8,IF(A9&lt;'Données projet'!$A$166,$DL$205^A9,IF(A9='Données projet'!$A$166,'Données projet'!$B$166,DO8+DN9-DW8)))</f>
        <v>24.09947368421053</v>
      </c>
      <c r="DP9" s="17">
        <f>DO9*VLOOKUP('Données projet'!$B$14,Paramètres!$A$1:$I$89,3,0)*VLOOKUP('Données projet'!$B$14,Paramètres!$A$1:$I$89,5,0)</f>
        <v>23.309010947368424</v>
      </c>
      <c r="DQ9" s="13">
        <f t="shared" si="43"/>
        <v>7.4455388668597227</v>
      </c>
      <c r="DR9" s="20">
        <f t="shared" si="16"/>
        <v>53.564174259780692</v>
      </c>
      <c r="DS9" s="59">
        <f t="shared" si="17"/>
        <v>235.03442635603966</v>
      </c>
      <c r="DT9" s="59">
        <f ca="1">AVERAGE(OFFSET($DS$3,0,0,'Données projet'!$E$14+1,1))-AVERAGE(OFFSET($H$3,0,0,'Données projet'!$E$14+1,1))</f>
        <v>493.03862850474161</v>
      </c>
      <c r="DU9" s="59">
        <f t="shared" si="44"/>
        <v>312.51819065560528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4.016578947368421</v>
      </c>
      <c r="EJ9" s="12">
        <f>IF('Données projet'!$A$192&gt;35,EJ8+EI9-ER8,IF(A9&lt;'Données projet'!$A$192,$EG$205^A9,IF(A9='Données projet'!$A$192,'Données projet'!$B$192,EJ8+EI9-ER8)))</f>
        <v>24.09947368421053</v>
      </c>
      <c r="EK9" s="17">
        <f>EJ9*VLOOKUP('Données projet'!$B$15,Paramètres!$A$1:$I$89,3,0)*VLOOKUP('Données projet'!$B$15,Paramètres!$A$1:$I$89,5,0)</f>
        <v>25.940673473684214</v>
      </c>
      <c r="EL9" s="13">
        <f t="shared" si="45"/>
        <v>8.1836282862738852</v>
      </c>
      <c r="EM9" s="20">
        <f t="shared" si="19"/>
        <v>59.433158898593696</v>
      </c>
      <c r="EN9" s="59">
        <f t="shared" si="20"/>
        <v>240.90341099485266</v>
      </c>
      <c r="EO9" s="59">
        <f ca="1">AVERAGE(OFFSET($EN$3,0,0,'Données projet'!$E$15+1,1))-AVERAGE(OFFSET($H$3,0,0,'Données projet'!$E$15+1,1))</f>
        <v>539.72194201710272</v>
      </c>
      <c r="EP9" s="59">
        <f t="shared" si="46"/>
        <v>340.76505385159362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4.333333333333333</v>
      </c>
      <c r="FE9" s="12">
        <f>IF('Données projet'!$A$218&gt;35,FE8+FD9-FM8,IF(A9&lt;'Données projet'!$A$218,$FB$205^A9,IF(A9='Données projet'!$A$218,'Données projet'!$B$218,FE8+FD9-FM8)))</f>
        <v>5.310865986667876</v>
      </c>
      <c r="FF9" s="17">
        <f>FE9*VLOOKUP('Données projet'!$B$16,Paramètres!$A$1:$I$89,3,0)*VLOOKUP('Données projet'!$B$16,Paramètres!$A$1:$I$89,5,0)</f>
        <v>4.3081744883849815</v>
      </c>
      <c r="FG9" s="13">
        <f t="shared" si="47"/>
        <v>1.6749953710785195</v>
      </c>
      <c r="FH9" s="20">
        <f t="shared" si="22"/>
        <v>10.420687505232264</v>
      </c>
      <c r="FI9" s="59">
        <f t="shared" si="23"/>
        <v>191.89093960149123</v>
      </c>
      <c r="FJ9" s="59">
        <f ca="1">AVERAGE(OFFSET($FI$3,0,0,'Données projet'!$E$16+1,1))-AVERAGE(OFFSET($H$3,0,0,'Données projet'!$E$16+1,1))</f>
        <v>383.47860767209028</v>
      </c>
      <c r="FK9" s="59">
        <f t="shared" si="48"/>
        <v>370.49129421395628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3.3603333333333336</v>
      </c>
      <c r="FZ9" s="12">
        <f>IF('Données projet'!$A$244&gt;35,FZ8+FY9-GH8,IF(A9&lt;'Données projet'!$A$244,$FW$205^A9,IF(A9='Données projet'!$A$244,'Données projet'!$B$244,FZ8+FY9-GH8)))</f>
        <v>20.162000000000003</v>
      </c>
      <c r="GA9" s="17">
        <f>FZ9*VLOOKUP('Données projet'!$B$17,Paramètres!$A$1:$I$89,3,0)*VLOOKUP('Données projet'!$B$17,Paramètres!$A$1:$I$89,5,0)</f>
        <v>22.960485600000002</v>
      </c>
      <c r="GB9" s="13">
        <f t="shared" si="49"/>
        <v>7.3470828517392546</v>
      </c>
      <c r="GC9" s="20">
        <f t="shared" si="25"/>
        <v>52.785681720112542</v>
      </c>
      <c r="GD9" s="59">
        <f t="shared" si="26"/>
        <v>234.25593381637151</v>
      </c>
      <c r="GE9" s="59">
        <f ca="1">AVERAGE(OFFSET($GD$3,0,0,'Données projet'!$E$17+1,1))-AVERAGE(OFFSET($H$3,0,0,'Données projet'!$E$17+1,1))</f>
        <v>640.05156427113661</v>
      </c>
      <c r="GF9" s="59">
        <f t="shared" si="50"/>
        <v>308.77220155372902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4.9119354838709679</v>
      </c>
      <c r="N10" s="13">
        <f>IF('Données projet'!$A$36&gt;35,N9+M10-V9,IF(A10&lt;'Données projet'!$A$36,$K$205^A10,IF(A10='Données projet'!$A$36,'Données projet'!$B$36,N9+M10-V9)))</f>
        <v>3.110630321824094</v>
      </c>
      <c r="O10" s="13">
        <f>N10*VLOOKUP('Données projet'!$B$9,Paramètres!$A$1:$I$89,3,0)*VLOOKUP('Données projet'!$B$9,Paramètres!$A$1:$I$89,5,0)</f>
        <v>2.6203949831046174</v>
      </c>
      <c r="P10" s="13">
        <f t="shared" si="33"/>
        <v>1.0794957413563466</v>
      </c>
      <c r="Q10" s="20">
        <f t="shared" si="2"/>
        <v>6.443976345102846</v>
      </c>
      <c r="R10" s="59">
        <f t="shared" si="0"/>
        <v>190.56815728083907</v>
      </c>
      <c r="S10" s="59">
        <f ca="1">AVERAGE(OFFSET($R$3,0,0,'Données projet'!$E$9+1,1))-AVERAGE(OFFSET($H$3,0,0,'Données projet'!$E$9+1,1))</f>
        <v>456.35333554128226</v>
      </c>
      <c r="T10" s="59">
        <f t="shared" si="34"/>
        <v>296.4517290984877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4.333333333333333</v>
      </c>
      <c r="AI10" s="13">
        <f>IF('Données projet'!$A$62&gt;35,AI9+AH10-AQ9,IF(A10&lt;'Données projet'!$A$62,$AF$205^A10,IF(A10='Données projet'!$A$62,'Données projet'!$B$62,AI9+AH10-AQ9)))</f>
        <v>7.0149767036694106</v>
      </c>
      <c r="AJ10" s="13">
        <f>AI10*VLOOKUP('Données projet'!$B$10,Paramètres!$A$1:$I$89,3,0)*VLOOKUP('Données projet'!$B$10,Paramètres!$A$1:$I$89,5,0)</f>
        <v>6.1282836483255982</v>
      </c>
      <c r="AK10" s="13">
        <f t="shared" si="35"/>
        <v>2.2868868656807066</v>
      </c>
      <c r="AL10" s="20">
        <f t="shared" si="4"/>
        <v>14.656421978560983</v>
      </c>
      <c r="AM10" s="59">
        <f t="shared" si="5"/>
        <v>198.78060291429722</v>
      </c>
      <c r="AN10" s="59">
        <f ca="1">AVERAGE(OFFSET($AM$3,0,0,'Données projet'!$E$10+1,1))-AVERAGE(OFFSET($H$3,0,0,'Données projet'!$E$10+1,1))</f>
        <v>408.246209980743</v>
      </c>
      <c r="AO10" s="59">
        <f t="shared" si="36"/>
        <v>394.10236303013903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3.3603333333333336</v>
      </c>
      <c r="BD10" s="12">
        <f>IF('Données projet'!$A$88&gt;35,BD9+BC10-BL9,IF(A10&lt;'Données projet'!$A$88,$BA$205^A10,IF(A10='Données projet'!$A$88,'Données projet'!$B$88,BD9+BC10-BL9)))</f>
        <v>23.522333333333336</v>
      </c>
      <c r="BE10" s="13">
        <f>BD10*VLOOKUP('Données projet'!$B$11,Paramètres!$A$1:$I$89,3,0)*VLOOKUP('Données projet'!$B$11,Paramètres!$A$1:$I$89,5,0)</f>
        <v>23.851646000000006</v>
      </c>
      <c r="BF10" s="13">
        <f t="shared" si="37"/>
        <v>7.5984897747645288</v>
      </c>
      <c r="BG10" s="20">
        <f t="shared" si="7"/>
        <v>54.775653141048224</v>
      </c>
      <c r="BH10" s="59">
        <f t="shared" si="8"/>
        <v>238.89983407678446</v>
      </c>
      <c r="BI10" s="59">
        <f ca="1">AVERAGE(OFFSET($BH$3,0,0,'Données projet'!$E$11+1,1))-AVERAGE(OFFSET($H$3,0,0,'Données projet'!$E$11+1,1))</f>
        <v>580.02848304986492</v>
      </c>
      <c r="BJ10" s="59">
        <f t="shared" si="38"/>
        <v>281.68891895586728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2.6666666666666665</v>
      </c>
      <c r="BY10" s="12">
        <f>IF('Données projet'!$A$114&gt;35,BY9+BX10-CG9,IF(A10&lt;'Données projet'!$A$114,$BV$205^A10,IF(A10='Données projet'!$A$114,'Données projet'!$B$114,BY9+BX10-CG9)))</f>
        <v>5.5927833467405659</v>
      </c>
      <c r="BZ10" s="13">
        <f>BY10*VLOOKUP('Données projet'!$B$12,Paramètres!$A$1:$I$89,3,0)*VLOOKUP('Données projet'!$B$12,Paramètres!$A$1:$I$89,5,0)</f>
        <v>4.3623710104576414</v>
      </c>
      <c r="CA10" s="13">
        <f t="shared" si="39"/>
        <v>1.6936004212396314</v>
      </c>
      <c r="CB10" s="20">
        <f t="shared" si="10"/>
        <v>10.54748357687275</v>
      </c>
      <c r="CC10" s="59">
        <f t="shared" si="11"/>
        <v>194.67166451260897</v>
      </c>
      <c r="CD10" s="59">
        <f ca="1">AVERAGE(OFFSET($CC$3,0,0,'Données projet'!$E$12+1,1))-AVERAGE(OFFSET($H$3,0,0,'Données projet'!$E$12+1,1))</f>
        <v>308.85018589589453</v>
      </c>
      <c r="CE10" s="59">
        <f t="shared" si="40"/>
        <v>302.59481222418219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3.3333333333333335</v>
      </c>
      <c r="CT10" s="12">
        <f>IF('Données projet'!$A$140&gt;35,CT9+CS10-DB9,IF(A10&lt;'Données projet'!$A$140,$CQ$205^A10,IF(A10='Données projet'!$A$140,'Données projet'!$B$140,CT9+CS10-DB9)))</f>
        <v>6.2065844455469161</v>
      </c>
      <c r="CU10" s="17">
        <f>CT10*VLOOKUP('Données projet'!$B$13,Paramètres!$A$1:$I$89,3,0)*VLOOKUP('Données projet'!$B$13,Paramètres!$A$1:$I$89,5,0)</f>
        <v>4.1633768460728717</v>
      </c>
      <c r="CV10" s="13">
        <f t="shared" si="41"/>
        <v>1.6251531926949223</v>
      </c>
      <c r="CW10" s="20">
        <f t="shared" si="13"/>
        <v>10.081689817520575</v>
      </c>
      <c r="CX10" s="59">
        <f t="shared" si="14"/>
        <v>194.20587075325682</v>
      </c>
      <c r="CY10" s="59">
        <f ca="1">AVERAGE(OFFSET($CX$3,0,0,'Données projet'!$E$13+1,1))-AVERAGE(OFFSET($H$3,0,0,'Données projet'!$E$13+1,1))</f>
        <v>335.73816489539837</v>
      </c>
      <c r="CZ10" s="59">
        <f t="shared" si="42"/>
        <v>254.09787950201044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4.016578947368421</v>
      </c>
      <c r="DO10" s="12">
        <f>IF('Données projet'!$A$166&gt;35,DO9+DN10-DW9,IF(A10&lt;'Données projet'!$A$166,$DL$205^A10,IF(A10='Données projet'!$A$166,'Données projet'!$B$166,DO9+DN10-DW9)))</f>
        <v>28.116052631578953</v>
      </c>
      <c r="DP10" s="17">
        <f>DO10*VLOOKUP('Données projet'!$B$14,Paramètres!$A$1:$I$89,3,0)*VLOOKUP('Données projet'!$B$14,Paramètres!$A$1:$I$89,5,0)</f>
        <v>27.193846105263166</v>
      </c>
      <c r="DQ10" s="13">
        <f t="shared" si="43"/>
        <v>8.5319896191393152</v>
      </c>
      <c r="DR10" s="20">
        <f t="shared" si="16"/>
        <v>62.222497220000982</v>
      </c>
      <c r="DS10" s="59">
        <f t="shared" si="17"/>
        <v>246.34667815573721</v>
      </c>
      <c r="DT10" s="59">
        <f ca="1">AVERAGE(OFFSET($DS$3,0,0,'Données projet'!$E$14+1,1))-AVERAGE(OFFSET($H$3,0,0,'Données projet'!$E$14+1,1))</f>
        <v>493.03862850474161</v>
      </c>
      <c r="DU10" s="59">
        <f t="shared" si="44"/>
        <v>312.51819065560528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4.016578947368421</v>
      </c>
      <c r="EJ10" s="12">
        <f>IF('Données projet'!$A$192&gt;35,EJ9+EI10-ER9,IF(A10&lt;'Données projet'!$A$192,$EG$205^A10,IF(A10='Données projet'!$A$192,'Données projet'!$B$192,EJ9+EI10-ER9)))</f>
        <v>28.116052631578953</v>
      </c>
      <c r="EK10" s="17">
        <f>EJ10*VLOOKUP('Données projet'!$B$15,Paramètres!$A$1:$I$89,3,0)*VLOOKUP('Données projet'!$B$15,Paramètres!$A$1:$I$89,5,0)</f>
        <v>30.264119052631585</v>
      </c>
      <c r="EL10" s="13">
        <f t="shared" si="45"/>
        <v>9.377780820695989</v>
      </c>
      <c r="EM10" s="20">
        <f t="shared" si="19"/>
        <v>69.042975612712198</v>
      </c>
      <c r="EN10" s="59">
        <f t="shared" si="20"/>
        <v>253.16715654844842</v>
      </c>
      <c r="EO10" s="59">
        <f ca="1">AVERAGE(OFFSET($EN$3,0,0,'Données projet'!$E$15+1,1))-AVERAGE(OFFSET($H$3,0,0,'Données projet'!$E$15+1,1))</f>
        <v>539.72194201710272</v>
      </c>
      <c r="EP10" s="59">
        <f t="shared" si="46"/>
        <v>340.76505385159362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4.333333333333333</v>
      </c>
      <c r="FE10" s="12">
        <f>IF('Données projet'!$A$218&gt;35,FE9+FD10-FM9,IF(A10&lt;'Données projet'!$A$218,$FB$205^A10,IF(A10='Données projet'!$A$218,'Données projet'!$B$218,FE9+FD10-FM9)))</f>
        <v>7.0149767036694106</v>
      </c>
      <c r="FF10" s="17">
        <f>FE10*VLOOKUP('Données projet'!$B$16,Paramètres!$A$1:$I$89,3,0)*VLOOKUP('Données projet'!$B$16,Paramètres!$A$1:$I$89,5,0)</f>
        <v>5.6905491020166261</v>
      </c>
      <c r="FG10" s="13">
        <f t="shared" si="47"/>
        <v>2.1419350323211908</v>
      </c>
      <c r="FH10" s="20">
        <f t="shared" si="22"/>
        <v>13.641576533971696</v>
      </c>
      <c r="FI10" s="59">
        <f t="shared" si="23"/>
        <v>197.76575746970792</v>
      </c>
      <c r="FJ10" s="59">
        <f ca="1">AVERAGE(OFFSET($FI$3,0,0,'Données projet'!$E$16+1,1))-AVERAGE(OFFSET($H$3,0,0,'Données projet'!$E$16+1,1))</f>
        <v>383.47860767209028</v>
      </c>
      <c r="FK10" s="59">
        <f t="shared" si="48"/>
        <v>370.49129421395628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3.3603333333333336</v>
      </c>
      <c r="FZ10" s="12">
        <f>IF('Données projet'!$A$244&gt;35,FZ9+FY10-GH9,IF(A10&lt;'Données projet'!$A$244,$FW$205^A10,IF(A10='Données projet'!$A$244,'Données projet'!$B$244,FZ9+FY10-GH9)))</f>
        <v>23.522333333333336</v>
      </c>
      <c r="GA10" s="17">
        <f>FZ10*VLOOKUP('Données projet'!$B$17,Paramètres!$A$1:$I$89,3,0)*VLOOKUP('Données projet'!$B$17,Paramètres!$A$1:$I$89,5,0)</f>
        <v>26.787233200000003</v>
      </c>
      <c r="GB10" s="13">
        <f t="shared" si="49"/>
        <v>8.4191669324310805</v>
      </c>
      <c r="GC10" s="20">
        <f t="shared" si="25"/>
        <v>61.317813563984139</v>
      </c>
      <c r="GD10" s="59">
        <f t="shared" si="26"/>
        <v>245.44199449972038</v>
      </c>
      <c r="GE10" s="59">
        <f ca="1">AVERAGE(OFFSET($GD$3,0,0,'Données projet'!$E$17+1,1))-AVERAGE(OFFSET($H$3,0,0,'Données projet'!$E$17+1,1))</f>
        <v>640.05156427113661</v>
      </c>
      <c r="GF10" s="59">
        <f t="shared" si="50"/>
        <v>308.77220155372902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4.9119354838709679</v>
      </c>
      <c r="N11" s="13">
        <f>IF('Données projet'!$A$36&gt;35,N10+M11-V10,IF(A11&lt;'Données projet'!$A$36,$K$205^A11,IF(A11='Données projet'!$A$36,'Données projet'!$B$36,N10+M11-V10)))</f>
        <v>3.6580978277675915</v>
      </c>
      <c r="O11" s="13">
        <f>N11*VLOOKUP('Données projet'!$B$9,Paramètres!$A$1:$I$89,3,0)*VLOOKUP('Données projet'!$B$9,Paramètres!$A$1:$I$89,5,0)</f>
        <v>3.0815816101114191</v>
      </c>
      <c r="P11" s="13">
        <f t="shared" si="33"/>
        <v>1.2457545525967939</v>
      </c>
      <c r="Q11" s="20">
        <f t="shared" si="2"/>
        <v>7.5367771500501375</v>
      </c>
      <c r="R11" s="59">
        <f t="shared" si="0"/>
        <v>194.2900500162707</v>
      </c>
      <c r="S11" s="59">
        <f ca="1">AVERAGE(OFFSET($R$3,0,0,'Données projet'!$E$9+1,1))-AVERAGE(OFFSET($H$3,0,0,'Données projet'!$E$9+1,1))</f>
        <v>456.35333554128226</v>
      </c>
      <c r="T11" s="59">
        <f t="shared" si="34"/>
        <v>296.4517290984877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4.333333333333333</v>
      </c>
      <c r="AI11" s="13">
        <f>IF('Données projet'!$A$62&gt;35,AI10+AH11-AQ10,IF(A11&lt;'Données projet'!$A$62,$AF$205^A11,IF(A11='Données projet'!$A$62,'Données projet'!$B$62,AI10+AH11-AQ10)))</f>
        <v>9.2658896452214261</v>
      </c>
      <c r="AJ11" s="13">
        <f>AI11*VLOOKUP('Données projet'!$B$10,Paramètres!$A$1:$I$89,3,0)*VLOOKUP('Données projet'!$B$10,Paramètres!$A$1:$I$89,5,0)</f>
        <v>8.0946811940654388</v>
      </c>
      <c r="AK11" s="13">
        <f t="shared" si="35"/>
        <v>2.924403957846573</v>
      </c>
      <c r="AL11" s="20">
        <f t="shared" si="4"/>
        <v>19.191573306246756</v>
      </c>
      <c r="AM11" s="59">
        <f t="shared" si="5"/>
        <v>205.94484617246732</v>
      </c>
      <c r="AN11" s="59">
        <f ca="1">AVERAGE(OFFSET($AM$3,0,0,'Données projet'!$E$10+1,1))-AVERAGE(OFFSET($H$3,0,0,'Données projet'!$E$10+1,1))</f>
        <v>408.246209980743</v>
      </c>
      <c r="AO11" s="59">
        <f t="shared" si="36"/>
        <v>394.10236303013903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3.3603333333333336</v>
      </c>
      <c r="BD11" s="12">
        <f>IF('Données projet'!$A$88&gt;35,BD10+BC11-BL10,IF(A11&lt;'Données projet'!$A$88,$BA$205^A11,IF(A11='Données projet'!$A$88,'Données projet'!$B$88,BD10+BC11-BL10)))</f>
        <v>26.882666666666669</v>
      </c>
      <c r="BE11" s="13">
        <f>BD11*VLOOKUP('Données projet'!$B$11,Paramètres!$A$1:$I$89,3,0)*VLOOKUP('Données projet'!$B$11,Paramètres!$A$1:$I$89,5,0)</f>
        <v>27.259024000000004</v>
      </c>
      <c r="BF11" s="13">
        <f t="shared" si="37"/>
        <v>8.5500561674742812</v>
      </c>
      <c r="BG11" s="20">
        <f t="shared" si="7"/>
        <v>62.367481291684378</v>
      </c>
      <c r="BH11" s="59">
        <f t="shared" si="8"/>
        <v>249.12075415790494</v>
      </c>
      <c r="BI11" s="59">
        <f ca="1">AVERAGE(OFFSET($BH$3,0,0,'Données projet'!$E$11+1,1))-AVERAGE(OFFSET($H$3,0,0,'Données projet'!$E$11+1,1))</f>
        <v>580.02848304986492</v>
      </c>
      <c r="BJ11" s="59">
        <f t="shared" si="38"/>
        <v>281.68891895586728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2.6666666666666665</v>
      </c>
      <c r="BY11" s="12">
        <f>IF('Données projet'!$A$114&gt;35,BY10+BX11-CG10,IF(A11&lt;'Données projet'!$A$114,$BV$205^A11,IF(A11='Données projet'!$A$114,'Données projet'!$B$114,BY10+BX11-CG10)))</f>
        <v>7.1520739352994367</v>
      </c>
      <c r="BZ11" s="13">
        <f>BY11*VLOOKUP('Données projet'!$B$12,Paramètres!$A$1:$I$89,3,0)*VLOOKUP('Données projet'!$B$12,Paramètres!$A$1:$I$89,5,0)</f>
        <v>5.5786176695335605</v>
      </c>
      <c r="CA11" s="13">
        <f t="shared" si="39"/>
        <v>2.1046649418345189</v>
      </c>
      <c r="CB11" s="20">
        <f t="shared" si="10"/>
        <v>13.381717214799407</v>
      </c>
      <c r="CC11" s="59">
        <f t="shared" si="11"/>
        <v>200.13499008101996</v>
      </c>
      <c r="CD11" s="59">
        <f ca="1">AVERAGE(OFFSET($CC$3,0,0,'Données projet'!$E$12+1,1))-AVERAGE(OFFSET($H$3,0,0,'Données projet'!$E$12+1,1))</f>
        <v>308.85018589589453</v>
      </c>
      <c r="CE11" s="59">
        <f t="shared" si="40"/>
        <v>302.59481222418219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3.3333333333333335</v>
      </c>
      <c r="CT11" s="12">
        <f>IF('Données projet'!$A$140&gt;35,CT10+CS11-DB10,IF(A11&lt;'Données projet'!$A$140,$CQ$205^A11,IF(A11='Données projet'!$A$140,'Données projet'!$B$140,CT10+CS11-DB10)))</f>
        <v>8.0559606396516319</v>
      </c>
      <c r="CU11" s="17">
        <f>CT11*VLOOKUP('Données projet'!$B$13,Paramètres!$A$1:$I$89,3,0)*VLOOKUP('Données projet'!$B$13,Paramètres!$A$1:$I$89,5,0)</f>
        <v>5.4039383970783144</v>
      </c>
      <c r="CV11" s="13">
        <f t="shared" si="41"/>
        <v>2.0463266728603036</v>
      </c>
      <c r="CW11" s="20">
        <f t="shared" si="13"/>
        <v>12.975878330143091</v>
      </c>
      <c r="CX11" s="59">
        <f t="shared" si="14"/>
        <v>199.72915119636366</v>
      </c>
      <c r="CY11" s="59">
        <f ca="1">AVERAGE(OFFSET($CX$3,0,0,'Données projet'!$E$13+1,1))-AVERAGE(OFFSET($H$3,0,0,'Données projet'!$E$13+1,1))</f>
        <v>335.73816489539837</v>
      </c>
      <c r="CZ11" s="59">
        <f t="shared" si="42"/>
        <v>254.09787950201044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4.016578947368421</v>
      </c>
      <c r="DO11" s="12">
        <f>IF('Données projet'!$A$166&gt;35,DO10+DN11-DW10,IF(A11&lt;'Données projet'!$A$166,$DL$205^A11,IF(A11='Données projet'!$A$166,'Données projet'!$B$166,DO10+DN11-DW10)))</f>
        <v>32.132631578947375</v>
      </c>
      <c r="DP11" s="17">
        <f>DO11*VLOOKUP('Données projet'!$B$14,Paramètres!$A$1:$I$89,3,0)*VLOOKUP('Données projet'!$B$14,Paramètres!$A$1:$I$89,5,0)</f>
        <v>31.0786812631579</v>
      </c>
      <c r="DQ11" s="13">
        <f t="shared" si="43"/>
        <v>9.6004591209980656</v>
      </c>
      <c r="DR11" s="20">
        <f t="shared" si="16"/>
        <v>70.849502835738306</v>
      </c>
      <c r="DS11" s="59">
        <f t="shared" si="17"/>
        <v>257.60277570195888</v>
      </c>
      <c r="DT11" s="59">
        <f ca="1">AVERAGE(OFFSET($DS$3,0,0,'Données projet'!$E$14+1,1))-AVERAGE(OFFSET($H$3,0,0,'Données projet'!$E$14+1,1))</f>
        <v>493.03862850474161</v>
      </c>
      <c r="DU11" s="59">
        <f t="shared" si="44"/>
        <v>312.51819065560528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4.016578947368421</v>
      </c>
      <c r="EJ11" s="12">
        <f>IF('Données projet'!$A$192&gt;35,EJ10+EI11-ER10,IF(A11&lt;'Données projet'!$A$192,$EG$205^A11,IF(A11='Données projet'!$A$192,'Données projet'!$B$192,EJ10+EI11-ER10)))</f>
        <v>32.132631578947375</v>
      </c>
      <c r="EK11" s="17">
        <f>EJ11*VLOOKUP('Données projet'!$B$15,Paramètres!$A$1:$I$89,3,0)*VLOOKUP('Données projet'!$B$15,Paramètres!$A$1:$I$89,5,0)</f>
        <v>34.587564631578957</v>
      </c>
      <c r="EL11" s="13">
        <f t="shared" si="45"/>
        <v>10.552169591581572</v>
      </c>
      <c r="EM11" s="20">
        <f t="shared" si="19"/>
        <v>78.618370438671249</v>
      </c>
      <c r="EN11" s="59">
        <f t="shared" si="20"/>
        <v>265.37164330489179</v>
      </c>
      <c r="EO11" s="59">
        <f ca="1">AVERAGE(OFFSET($EN$3,0,0,'Données projet'!$E$15+1,1))-AVERAGE(OFFSET($H$3,0,0,'Données projet'!$E$15+1,1))</f>
        <v>539.72194201710272</v>
      </c>
      <c r="EP11" s="59">
        <f t="shared" si="46"/>
        <v>340.76505385159362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4.333333333333333</v>
      </c>
      <c r="FE11" s="12">
        <f>IF('Données projet'!$A$218&gt;35,FE10+FD11-FM10,IF(A11&lt;'Données projet'!$A$218,$FB$205^A11,IF(A11='Données projet'!$A$218,'Données projet'!$B$218,FE10+FD11-FM10)))</f>
        <v>9.2658896452214261</v>
      </c>
      <c r="FF11" s="17">
        <f>FE11*VLOOKUP('Données projet'!$B$16,Paramètres!$A$1:$I$89,3,0)*VLOOKUP('Données projet'!$B$16,Paramètres!$A$1:$I$89,5,0)</f>
        <v>7.5164896802036214</v>
      </c>
      <c r="FG11" s="13">
        <f t="shared" si="47"/>
        <v>2.7390437979125086</v>
      </c>
      <c r="FH11" s="20">
        <f t="shared" si="22"/>
        <v>17.861720807718925</v>
      </c>
      <c r="FI11" s="59">
        <f t="shared" si="23"/>
        <v>204.61499367393947</v>
      </c>
      <c r="FJ11" s="59">
        <f ca="1">AVERAGE(OFFSET($FI$3,0,0,'Données projet'!$E$16+1,1))-AVERAGE(OFFSET($H$3,0,0,'Données projet'!$E$16+1,1))</f>
        <v>383.47860767209028</v>
      </c>
      <c r="FK11" s="59">
        <f t="shared" si="48"/>
        <v>370.49129421395628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3.3603333333333336</v>
      </c>
      <c r="FZ11" s="12">
        <f>IF('Données projet'!$A$244&gt;35,FZ10+FY11-GH10,IF(A11&lt;'Données projet'!$A$244,$FW$205^A11,IF(A11='Données projet'!$A$244,'Données projet'!$B$244,FZ10+FY11-GH10)))</f>
        <v>26.882666666666669</v>
      </c>
      <c r="GA11" s="17">
        <f>FZ11*VLOOKUP('Données projet'!$B$17,Paramètres!$A$1:$I$89,3,0)*VLOOKUP('Données projet'!$B$17,Paramètres!$A$1:$I$89,5,0)</f>
        <v>30.613980800000004</v>
      </c>
      <c r="GB11" s="13">
        <f t="shared" si="49"/>
        <v>9.473507537602579</v>
      </c>
      <c r="GC11" s="20">
        <f t="shared" si="25"/>
        <v>69.819042187991144</v>
      </c>
      <c r="GD11" s="59">
        <f t="shared" si="26"/>
        <v>256.57231505421169</v>
      </c>
      <c r="GE11" s="59">
        <f ca="1">AVERAGE(OFFSET($GD$3,0,0,'Données projet'!$E$17+1,1))-AVERAGE(OFFSET($H$3,0,0,'Données projet'!$E$17+1,1))</f>
        <v>640.05156427113661</v>
      </c>
      <c r="GF11" s="59">
        <f t="shared" si="50"/>
        <v>308.77220155372902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4.9119354838709679</v>
      </c>
      <c r="N12" s="13">
        <f>IF('Données projet'!$A$36&gt;35,N11+M12-V11,IF(A12&lt;'Données projet'!$A$36,$K$205^A12,IF(A12='Données projet'!$A$36,'Données projet'!$B$36,N11+M12-V11)))</f>
        <v>4.3019190109581604</v>
      </c>
      <c r="O12" s="13">
        <f>N12*VLOOKUP('Données projet'!$B$9,Paramètres!$A$1:$I$89,3,0)*VLOOKUP('Données projet'!$B$9,Paramètres!$A$1:$I$89,5,0)</f>
        <v>3.6239365748311547</v>
      </c>
      <c r="P12" s="13">
        <f t="shared" si="33"/>
        <v>1.4376197569484881</v>
      </c>
      <c r="Q12" s="20">
        <f t="shared" si="2"/>
        <v>8.8155439445162127</v>
      </c>
      <c r="R12" s="59">
        <f t="shared" si="0"/>
        <v>198.17350269707228</v>
      </c>
      <c r="S12" s="59">
        <f ca="1">AVERAGE(OFFSET($R$3,0,0,'Données projet'!$E$9+1,1))-AVERAGE(OFFSET($H$3,0,0,'Données projet'!$E$9+1,1))</f>
        <v>456.35333554128226</v>
      </c>
      <c r="T12" s="59">
        <f t="shared" si="34"/>
        <v>296.4517290984877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4.333333333333333</v>
      </c>
      <c r="AI12" s="13">
        <f>IF('Données projet'!$A$62&gt;35,AI11+AH12-AQ11,IF(A12&lt;'Données projet'!$A$62,$AF$205^A12,IF(A12='Données projet'!$A$62,'Données projet'!$B$62,AI11+AH12-AQ11)))</f>
        <v>12.23905859480781</v>
      </c>
      <c r="AJ12" s="13">
        <f>AI12*VLOOKUP('Données projet'!$B$10,Paramètres!$A$1:$I$89,3,0)*VLOOKUP('Données projet'!$B$10,Paramètres!$A$1:$I$89,5,0)</f>
        <v>10.692041588424106</v>
      </c>
      <c r="AK12" s="13">
        <f t="shared" si="35"/>
        <v>3.739642147152348</v>
      </c>
      <c r="AL12" s="20">
        <f t="shared" si="4"/>
        <v>25.135182506128984</v>
      </c>
      <c r="AM12" s="59">
        <f t="shared" si="5"/>
        <v>214.49314125868506</v>
      </c>
      <c r="AN12" s="59">
        <f ca="1">AVERAGE(OFFSET($AM$3,0,0,'Données projet'!$E$10+1,1))-AVERAGE(OFFSET($H$3,0,0,'Données projet'!$E$10+1,1))</f>
        <v>408.246209980743</v>
      </c>
      <c r="AO12" s="59">
        <f t="shared" si="36"/>
        <v>394.10236303013903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3.3603333333333336</v>
      </c>
      <c r="BD12" s="12">
        <f>IF('Données projet'!$A$88&gt;35,BD11+BC12-BL11,IF(A12&lt;'Données projet'!$A$88,$BA$205^A12,IF(A12='Données projet'!$A$88,'Données projet'!$B$88,BD11+BC12-BL11)))</f>
        <v>30.243000000000002</v>
      </c>
      <c r="BE12" s="13">
        <f>BD12*VLOOKUP('Données projet'!$B$11,Paramètres!$A$1:$I$89,3,0)*VLOOKUP('Données projet'!$B$11,Paramètres!$A$1:$I$89,5,0)</f>
        <v>30.666402000000005</v>
      </c>
      <c r="BF12" s="13">
        <f t="shared" si="37"/>
        <v>9.4878396567445336</v>
      </c>
      <c r="BG12" s="20">
        <f t="shared" si="7"/>
        <v>69.935304218830069</v>
      </c>
      <c r="BH12" s="59">
        <f t="shared" si="8"/>
        <v>259.29326297138613</v>
      </c>
      <c r="BI12" s="59">
        <f ca="1">AVERAGE(OFFSET($BH$3,0,0,'Données projet'!$E$11+1,1))-AVERAGE(OFFSET($H$3,0,0,'Données projet'!$E$11+1,1))</f>
        <v>580.02848304986492</v>
      </c>
      <c r="BJ12" s="59">
        <f t="shared" si="38"/>
        <v>281.68891895586728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2.6666666666666665</v>
      </c>
      <c r="BY12" s="12">
        <f>IF('Données projet'!$A$114&gt;35,BY11+BX12-CG11,IF(A12&lt;'Données projet'!$A$114,$BV$205^A12,IF(A12='Données projet'!$A$114,'Données projet'!$B$114,BY11+BX12-CG11)))</f>
        <v>9.1461010385465205</v>
      </c>
      <c r="BZ12" s="13">
        <f>BY12*VLOOKUP('Données projet'!$B$12,Paramètres!$A$1:$I$89,3,0)*VLOOKUP('Données projet'!$B$12,Paramètres!$A$1:$I$89,5,0)</f>
        <v>7.1339588100662858</v>
      </c>
      <c r="CA12" s="13">
        <f t="shared" si="39"/>
        <v>2.6155015444227643</v>
      </c>
      <c r="CB12" s="20">
        <f t="shared" si="10"/>
        <v>16.980310117401761</v>
      </c>
      <c r="CC12" s="59">
        <f t="shared" si="11"/>
        <v>206.33826886995783</v>
      </c>
      <c r="CD12" s="59">
        <f ca="1">AVERAGE(OFFSET($CC$3,0,0,'Données projet'!$E$12+1,1))-AVERAGE(OFFSET($H$3,0,0,'Données projet'!$E$12+1,1))</f>
        <v>308.85018589589453</v>
      </c>
      <c r="CE12" s="59">
        <f t="shared" si="40"/>
        <v>302.59481222418219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3.3333333333333335</v>
      </c>
      <c r="CT12" s="12">
        <f>IF('Données projet'!$A$140&gt;35,CT11+CS12-DB11,IF(A12&lt;'Données projet'!$A$140,$CQ$205^A12,IF(A12='Données projet'!$A$140,'Données projet'!$B$140,CT11+CS12-DB11)))</f>
        <v>10.456395525912733</v>
      </c>
      <c r="CU12" s="17">
        <f>CT12*VLOOKUP('Données projet'!$B$13,Paramètres!$A$1:$I$89,3,0)*VLOOKUP('Données projet'!$B$13,Paramètres!$A$1:$I$89,5,0)</f>
        <v>7.0141501187822621</v>
      </c>
      <c r="CV12" s="13">
        <f t="shared" si="41"/>
        <v>2.5766511556462244</v>
      </c>
      <c r="CW12" s="20">
        <f t="shared" si="13"/>
        <v>16.70397888629628</v>
      </c>
      <c r="CX12" s="59">
        <f t="shared" si="14"/>
        <v>206.06193763885236</v>
      </c>
      <c r="CY12" s="59">
        <f ca="1">AVERAGE(OFFSET($CX$3,0,0,'Données projet'!$E$13+1,1))-AVERAGE(OFFSET($H$3,0,0,'Données projet'!$E$13+1,1))</f>
        <v>335.73816489539837</v>
      </c>
      <c r="CZ12" s="59">
        <f t="shared" si="42"/>
        <v>254.09787950201044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4.016578947368421</v>
      </c>
      <c r="DO12" s="12">
        <f>IF('Données projet'!$A$166&gt;35,DO11+DN12-DW11,IF(A12&lt;'Données projet'!$A$166,$DL$205^A12,IF(A12='Données projet'!$A$166,'Données projet'!$B$166,DO11+DN12-DW11)))</f>
        <v>36.149210526315798</v>
      </c>
      <c r="DP12" s="17">
        <f>DO12*VLOOKUP('Données projet'!$B$14,Paramètres!$A$1:$I$89,3,0)*VLOOKUP('Données projet'!$B$14,Paramètres!$A$1:$I$89,5,0)</f>
        <v>34.963516421052645</v>
      </c>
      <c r="DQ12" s="13">
        <f t="shared" si="43"/>
        <v>10.65345244370106</v>
      </c>
      <c r="DR12" s="20">
        <f t="shared" si="16"/>
        <v>79.4495541061127</v>
      </c>
      <c r="DS12" s="59">
        <f t="shared" si="17"/>
        <v>268.80751285866876</v>
      </c>
      <c r="DT12" s="59">
        <f ca="1">AVERAGE(OFFSET($DS$3,0,0,'Données projet'!$E$14+1,1))-AVERAGE(OFFSET($H$3,0,0,'Données projet'!$E$14+1,1))</f>
        <v>493.03862850474161</v>
      </c>
      <c r="DU12" s="59">
        <f t="shared" si="44"/>
        <v>312.51819065560528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4.016578947368421</v>
      </c>
      <c r="EJ12" s="12">
        <f>IF('Données projet'!$A$192&gt;35,EJ11+EI12-ER11,IF(A12&lt;'Données projet'!$A$192,$EG$205^A12,IF(A12='Données projet'!$A$192,'Données projet'!$B$192,EJ11+EI12-ER11)))</f>
        <v>36.149210526315798</v>
      </c>
      <c r="EK12" s="17">
        <f>EJ12*VLOOKUP('Données projet'!$B$15,Paramètres!$A$1:$I$89,3,0)*VLOOKUP('Données projet'!$B$15,Paramètres!$A$1:$I$89,5,0)</f>
        <v>38.911010210526321</v>
      </c>
      <c r="EL12" s="13">
        <f t="shared" si="45"/>
        <v>11.709548002335099</v>
      </c>
      <c r="EM12" s="20">
        <f t="shared" si="19"/>
        <v>88.164138887400284</v>
      </c>
      <c r="EN12" s="59">
        <f t="shared" si="20"/>
        <v>277.52209763995637</v>
      </c>
      <c r="EO12" s="59">
        <f ca="1">AVERAGE(OFFSET($EN$3,0,0,'Données projet'!$E$15+1,1))-AVERAGE(OFFSET($H$3,0,0,'Données projet'!$E$15+1,1))</f>
        <v>539.72194201710272</v>
      </c>
      <c r="EP12" s="59">
        <f t="shared" si="46"/>
        <v>340.76505385159362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4.333333333333333</v>
      </c>
      <c r="FE12" s="12">
        <f>IF('Données projet'!$A$218&gt;35,FE11+FD12-FM11,IF(A12&lt;'Données projet'!$A$218,$FB$205^A12,IF(A12='Données projet'!$A$218,'Données projet'!$B$218,FE11+FD12-FM11)))</f>
        <v>12.23905859480781</v>
      </c>
      <c r="FF12" s="17">
        <f>FE12*VLOOKUP('Données projet'!$B$16,Paramètres!$A$1:$I$89,3,0)*VLOOKUP('Données projet'!$B$16,Paramètres!$A$1:$I$89,5,0)</f>
        <v>9.9283243321080956</v>
      </c>
      <c r="FG12" s="13">
        <f t="shared" si="47"/>
        <v>3.5026090024554843</v>
      </c>
      <c r="FH12" s="20">
        <f t="shared" si="22"/>
        <v>23.392208891031569</v>
      </c>
      <c r="FI12" s="59">
        <f t="shared" si="23"/>
        <v>212.75016764358764</v>
      </c>
      <c r="FJ12" s="59">
        <f ca="1">AVERAGE(OFFSET($FI$3,0,0,'Données projet'!$E$16+1,1))-AVERAGE(OFFSET($H$3,0,0,'Données projet'!$E$16+1,1))</f>
        <v>383.47860767209028</v>
      </c>
      <c r="FK12" s="59">
        <f t="shared" si="48"/>
        <v>370.49129421395628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3.3603333333333336</v>
      </c>
      <c r="FZ12" s="12">
        <f>IF('Données projet'!$A$244&gt;35,FZ11+FY12-GH11,IF(A12&lt;'Données projet'!$A$244,$FW$205^A12,IF(A12='Données projet'!$A$244,'Données projet'!$B$244,FZ11+FY12-GH11)))</f>
        <v>30.243000000000002</v>
      </c>
      <c r="GA12" s="17">
        <f>FZ12*VLOOKUP('Données projet'!$B$17,Paramètres!$A$1:$I$89,3,0)*VLOOKUP('Données projet'!$B$17,Paramètres!$A$1:$I$89,5,0)</f>
        <v>34.440728400000005</v>
      </c>
      <c r="GB12" s="13">
        <f t="shared" si="49"/>
        <v>10.512576612731865</v>
      </c>
      <c r="GC12" s="20">
        <f t="shared" si="25"/>
        <v>78.293672897174659</v>
      </c>
      <c r="GD12" s="59">
        <f t="shared" si="26"/>
        <v>267.65163164973075</v>
      </c>
      <c r="GE12" s="59">
        <f ca="1">AVERAGE(OFFSET($GD$3,0,0,'Données projet'!$E$17+1,1))-AVERAGE(OFFSET($H$3,0,0,'Données projet'!$E$17+1,1))</f>
        <v>640.05156427113661</v>
      </c>
      <c r="GF12" s="59">
        <f t="shared" si="50"/>
        <v>308.77220155372902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4.9119354838709679</v>
      </c>
      <c r="N13" s="13">
        <f>IF('Données projet'!$A$36&gt;35,N12+M13-V12,IF(A13&lt;'Données projet'!$A$36,$K$205^A13,IF(A13='Données projet'!$A$36,'Données projet'!$B$36,N12+M13-V12)))</f>
        <v>5.0590520123233302</v>
      </c>
      <c r="O13" s="13">
        <f>N13*VLOOKUP('Données projet'!$B$9,Paramètres!$A$1:$I$89,3,0)*VLOOKUP('Données projet'!$B$9,Paramètres!$A$1:$I$89,5,0)</f>
        <v>4.2617454151811742</v>
      </c>
      <c r="P13" s="13">
        <f t="shared" si="33"/>
        <v>1.6590351295610017</v>
      </c>
      <c r="Q13" s="20">
        <f t="shared" si="2"/>
        <v>10.312026115425956</v>
      </c>
      <c r="R13" s="59">
        <f t="shared" si="0"/>
        <v>202.25068810047085</v>
      </c>
      <c r="S13" s="59">
        <f ca="1">AVERAGE(OFFSET($R$3,0,0,'Données projet'!$E$9+1,1))-AVERAGE(OFFSET($H$3,0,0,'Données projet'!$E$9+1,1))</f>
        <v>456.35333554128226</v>
      </c>
      <c r="T13" s="59">
        <f t="shared" si="34"/>
        <v>296.4517290984877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4.333333333333333</v>
      </c>
      <c r="AI13" s="13">
        <f>IF('Données projet'!$A$62&gt;35,AI12+AH13-AQ12,IF(A13&lt;'Données projet'!$A$62,$AF$205^A13,IF(A13='Données projet'!$A$62,'Données projet'!$B$62,AI12+AH13-AQ12)))</f>
        <v>16.166235625781542</v>
      </c>
      <c r="AJ13" s="13">
        <f>AI13*VLOOKUP('Données projet'!$B$10,Paramètres!$A$1:$I$89,3,0)*VLOOKUP('Données projet'!$B$10,Paramètres!$A$1:$I$89,5,0)</f>
        <v>14.122823442682758</v>
      </c>
      <c r="AK13" s="13">
        <f t="shared" si="35"/>
        <v>4.7821448713454142</v>
      </c>
      <c r="AL13" s="20">
        <f t="shared" si="4"/>
        <v>32.9261531469324</v>
      </c>
      <c r="AM13" s="59">
        <f t="shared" si="5"/>
        <v>224.86481513197728</v>
      </c>
      <c r="AN13" s="59">
        <f ca="1">AVERAGE(OFFSET($AM$3,0,0,'Données projet'!$E$10+1,1))-AVERAGE(OFFSET($H$3,0,0,'Données projet'!$E$10+1,1))</f>
        <v>408.246209980743</v>
      </c>
      <c r="AO13" s="59">
        <f t="shared" si="36"/>
        <v>394.10236303013903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3.3603333333333336</v>
      </c>
      <c r="BD13" s="12">
        <f>IF('Données projet'!$A$88&gt;35,BD12+BC13-BL12,IF(A13&lt;'Données projet'!$A$88,$BA$205^A13,IF(A13='Données projet'!$A$88,'Données projet'!$B$88,BD12+BC13-BL12)))</f>
        <v>33.603333333333339</v>
      </c>
      <c r="BE13" s="13">
        <f>BD13*VLOOKUP('Données projet'!$B$11,Paramètres!$A$1:$I$89,3,0)*VLOOKUP('Données projet'!$B$11,Paramètres!$A$1:$I$89,5,0)</f>
        <v>34.073780000000006</v>
      </c>
      <c r="BF13" s="13">
        <f t="shared" si="37"/>
        <v>10.413546370029898</v>
      </c>
      <c r="BG13" s="20">
        <f t="shared" si="7"/>
        <v>77.482093427802084</v>
      </c>
      <c r="BH13" s="59">
        <f t="shared" si="8"/>
        <v>269.42075541284697</v>
      </c>
      <c r="BI13" s="59">
        <f ca="1">AVERAGE(OFFSET($BH$3,0,0,'Données projet'!$E$11+1,1))-AVERAGE(OFFSET($H$3,0,0,'Données projet'!$E$11+1,1))</f>
        <v>580.02848304986492</v>
      </c>
      <c r="BJ13" s="59">
        <f t="shared" si="38"/>
        <v>281.68891895586728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2.6666666666666665</v>
      </c>
      <c r="BY13" s="12">
        <f>IF('Données projet'!$A$114&gt;35,BY12+BX13-CG12,IF(A13&lt;'Données projet'!$A$114,$BV$205^A13,IF(A13='Données projet'!$A$114,'Données projet'!$B$114,BY12+BX13-CG12)))</f>
        <v>11.696070952851455</v>
      </c>
      <c r="BZ13" s="13">
        <f>BY13*VLOOKUP('Données projet'!$B$12,Paramètres!$A$1:$I$89,3,0)*VLOOKUP('Données projet'!$B$12,Paramètres!$A$1:$I$89,5,0)</f>
        <v>9.1229353432241354</v>
      </c>
      <c r="CA13" s="13">
        <f t="shared" si="39"/>
        <v>3.2503265450485803</v>
      </c>
      <c r="CB13" s="20">
        <f t="shared" si="10"/>
        <v>21.550097788741649</v>
      </c>
      <c r="CC13" s="59">
        <f t="shared" si="11"/>
        <v>213.48875977378654</v>
      </c>
      <c r="CD13" s="59">
        <f ca="1">AVERAGE(OFFSET($CC$3,0,0,'Données projet'!$E$12+1,1))-AVERAGE(OFFSET($H$3,0,0,'Données projet'!$E$12+1,1))</f>
        <v>308.85018589589453</v>
      </c>
      <c r="CE13" s="59">
        <f t="shared" si="40"/>
        <v>302.59481222418219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3.3333333333333335</v>
      </c>
      <c r="CT13" s="12">
        <f>IF('Données projet'!$A$140&gt;35,CT12+CS13-DB12,IF(A13&lt;'Données projet'!$A$140,$CQ$205^A13,IF(A13='Données projet'!$A$140,'Données projet'!$B$140,CT12+CS13-DB12)))</f>
        <v>13.572088082974533</v>
      </c>
      <c r="CU13" s="17">
        <f>CT13*VLOOKUP('Données projet'!$B$13,Paramètres!$A$1:$I$89,3,0)*VLOOKUP('Données projet'!$B$13,Paramètres!$A$1:$I$89,5,0)</f>
        <v>9.1041566860593175</v>
      </c>
      <c r="CV13" s="13">
        <f t="shared" si="41"/>
        <v>3.2444141328681457</v>
      </c>
      <c r="CW13" s="20">
        <f t="shared" si="13"/>
        <v>21.507094176298665</v>
      </c>
      <c r="CX13" s="59">
        <f t="shared" si="14"/>
        <v>213.44575616134355</v>
      </c>
      <c r="CY13" s="59">
        <f ca="1">AVERAGE(OFFSET($CX$3,0,0,'Données projet'!$E$13+1,1))-AVERAGE(OFFSET($H$3,0,0,'Données projet'!$E$13+1,1))</f>
        <v>335.73816489539837</v>
      </c>
      <c r="CZ13" s="59">
        <f t="shared" si="42"/>
        <v>254.09787950201044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4.016578947368421</v>
      </c>
      <c r="DO13" s="12">
        <f>IF('Données projet'!$A$166&gt;35,DO12+DN13-DW12,IF(A13&lt;'Données projet'!$A$166,$DL$205^A13,IF(A13='Données projet'!$A$166,'Données projet'!$B$166,DO12+DN13-DW12)))</f>
        <v>40.165789473684221</v>
      </c>
      <c r="DP13" s="17">
        <f>DO13*VLOOKUP('Données projet'!$B$14,Paramètres!$A$1:$I$89,3,0)*VLOOKUP('Données projet'!$B$14,Paramètres!$A$1:$I$89,5,0)</f>
        <v>38.84835157894738</v>
      </c>
      <c r="DQ13" s="13">
        <f t="shared" si="43"/>
        <v>11.692885318158416</v>
      </c>
      <c r="DR13" s="20">
        <f t="shared" si="16"/>
        <v>88.025987595792586</v>
      </c>
      <c r="DS13" s="59">
        <f t="shared" si="17"/>
        <v>279.96464958083749</v>
      </c>
      <c r="DT13" s="59">
        <f ca="1">AVERAGE(OFFSET($DS$3,0,0,'Données projet'!$E$14+1,1))-AVERAGE(OFFSET($H$3,0,0,'Données projet'!$E$14+1,1))</f>
        <v>493.03862850474161</v>
      </c>
      <c r="DU13" s="59">
        <f t="shared" si="44"/>
        <v>312.51819065560528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4.016578947368421</v>
      </c>
      <c r="EJ13" s="12">
        <f>IF('Données projet'!$A$192&gt;35,EJ12+EI13-ER12,IF(A13&lt;'Données projet'!$A$192,$EG$205^A13,IF(A13='Données projet'!$A$192,'Données projet'!$B$192,EJ12+EI13-ER12)))</f>
        <v>40.165789473684221</v>
      </c>
      <c r="EK13" s="17">
        <f>EJ13*VLOOKUP('Données projet'!$B$15,Paramètres!$A$1:$I$89,3,0)*VLOOKUP('Données projet'!$B$15,Paramètres!$A$1:$I$89,5,0)</f>
        <v>43.234455789473692</v>
      </c>
      <c r="EL13" s="13">
        <f t="shared" si="45"/>
        <v>12.852021693655693</v>
      </c>
      <c r="EM13" s="20">
        <f t="shared" si="19"/>
        <v>97.683948283117005</v>
      </c>
      <c r="EN13" s="59">
        <f t="shared" si="20"/>
        <v>289.62261026816191</v>
      </c>
      <c r="EO13" s="59">
        <f ca="1">AVERAGE(OFFSET($EN$3,0,0,'Données projet'!$E$15+1,1))-AVERAGE(OFFSET($H$3,0,0,'Données projet'!$E$15+1,1))</f>
        <v>539.72194201710272</v>
      </c>
      <c r="EP13" s="59">
        <f t="shared" si="46"/>
        <v>340.76505385159362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4.333333333333333</v>
      </c>
      <c r="FE13" s="12">
        <f>IF('Données projet'!$A$218&gt;35,FE12+FD13-FM12,IF(A13&lt;'Données projet'!$A$218,$FB$205^A13,IF(A13='Données projet'!$A$218,'Données projet'!$B$218,FE12+FD13-FM12)))</f>
        <v>16.166235625781542</v>
      </c>
      <c r="FF13" s="17">
        <f>FE13*VLOOKUP('Données projet'!$B$16,Paramètres!$A$1:$I$89,3,0)*VLOOKUP('Données projet'!$B$16,Paramètres!$A$1:$I$89,5,0)</f>
        <v>13.114050339633989</v>
      </c>
      <c r="FG13" s="13">
        <f t="shared" si="47"/>
        <v>4.479033826853061</v>
      </c>
      <c r="FH13" s="20">
        <f t="shared" si="22"/>
        <v>30.641288256631608</v>
      </c>
      <c r="FI13" s="59">
        <f t="shared" si="23"/>
        <v>222.5799502416765</v>
      </c>
      <c r="FJ13" s="59">
        <f ca="1">AVERAGE(OFFSET($FI$3,0,0,'Données projet'!$E$16+1,1))-AVERAGE(OFFSET($H$3,0,0,'Données projet'!$E$16+1,1))</f>
        <v>383.47860767209028</v>
      </c>
      <c r="FK13" s="59">
        <f t="shared" si="48"/>
        <v>370.49129421395628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3.3603333333333336</v>
      </c>
      <c r="FZ13" s="12">
        <f>IF('Données projet'!$A$244&gt;35,FZ12+FY13-GH12,IF(A13&lt;'Données projet'!$A$244,$FW$205^A13,IF(A13='Données projet'!$A$244,'Données projet'!$B$244,FZ12+FY13-GH12)))</f>
        <v>33.603333333333339</v>
      </c>
      <c r="GA13" s="17">
        <f>FZ13*VLOOKUP('Données projet'!$B$17,Paramètres!$A$1:$I$89,3,0)*VLOOKUP('Données projet'!$B$17,Paramètres!$A$1:$I$89,5,0)</f>
        <v>38.267476000000009</v>
      </c>
      <c r="GB13" s="13">
        <f t="shared" si="49"/>
        <v>11.538264556078891</v>
      </c>
      <c r="GC13" s="20">
        <f t="shared" si="25"/>
        <v>86.744998135170761</v>
      </c>
      <c r="GD13" s="59">
        <f t="shared" si="26"/>
        <v>278.68366012021568</v>
      </c>
      <c r="GE13" s="59">
        <f ca="1">AVERAGE(OFFSET($GD$3,0,0,'Données projet'!$E$17+1,1))-AVERAGE(OFFSET($H$3,0,0,'Données projet'!$E$17+1,1))</f>
        <v>640.05156427113661</v>
      </c>
      <c r="GF13" s="59">
        <f t="shared" si="50"/>
        <v>308.77220155372902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4.9119354838709679</v>
      </c>
      <c r="N14" s="13">
        <f>IF('Données projet'!$A$36&gt;35,N13+M14-V13,IF(A14&lt;'Données projet'!$A$36,$K$205^A14,IF(A14='Données projet'!$A$36,'Données projet'!$B$36,N13+M14-V13)))</f>
        <v>5.9494395868908336</v>
      </c>
      <c r="O14" s="13">
        <f>N14*VLOOKUP('Données projet'!$B$9,Paramètres!$A$1:$I$89,3,0)*VLOOKUP('Données projet'!$B$9,Paramètres!$A$1:$I$89,5,0)</f>
        <v>5.0118079079968387</v>
      </c>
      <c r="P14" s="13">
        <f t="shared" si="33"/>
        <v>1.914551847116909</v>
      </c>
      <c r="Q14" s="20">
        <f t="shared" si="2"/>
        <v>12.063409906823109</v>
      </c>
      <c r="R14" s="59">
        <f t="shared" si="0"/>
        <v>206.55920851593723</v>
      </c>
      <c r="S14" s="59">
        <f ca="1">AVERAGE(OFFSET($R$3,0,0,'Données projet'!$E$9+1,1))-AVERAGE(OFFSET($H$3,0,0,'Données projet'!$E$9+1,1))</f>
        <v>456.35333554128226</v>
      </c>
      <c r="T14" s="59">
        <f t="shared" si="34"/>
        <v>296.4517290984877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4.333333333333333</v>
      </c>
      <c r="AI14" s="13">
        <f>IF('Données projet'!$A$62&gt;35,AI13+AH14-AQ13,IF(A14&lt;'Données projet'!$A$62,$AF$205^A14,IF(A14='Données projet'!$A$62,'Données projet'!$B$62,AI13+AH14-AQ13)))</f>
        <v>21.353535673010011</v>
      </c>
      <c r="AJ14" s="13">
        <f>AI14*VLOOKUP('Données projet'!$B$10,Paramètres!$A$1:$I$89,3,0)*VLOOKUP('Données projet'!$B$10,Paramètres!$A$1:$I$89,5,0)</f>
        <v>18.654448763941549</v>
      </c>
      <c r="AK14" s="13">
        <f t="shared" si="35"/>
        <v>6.1152668278566198</v>
      </c>
      <c r="AL14" s="20">
        <f t="shared" si="4"/>
        <v>43.140587989048477</v>
      </c>
      <c r="AM14" s="59">
        <f t="shared" si="5"/>
        <v>237.6363865981626</v>
      </c>
      <c r="AN14" s="59">
        <f ca="1">AVERAGE(OFFSET($AM$3,0,0,'Données projet'!$E$10+1,1))-AVERAGE(OFFSET($H$3,0,0,'Données projet'!$E$10+1,1))</f>
        <v>408.246209980743</v>
      </c>
      <c r="AO14" s="59">
        <f t="shared" si="36"/>
        <v>394.10236303013903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3.3603333333333336</v>
      </c>
      <c r="BD14" s="12">
        <f>IF('Données projet'!$A$88&gt;35,BD13+BC14-BL13,IF(A14&lt;'Données projet'!$A$88,$BA$205^A14,IF(A14='Données projet'!$A$88,'Données projet'!$B$88,BD13+BC14-BL13)))</f>
        <v>36.963666666666676</v>
      </c>
      <c r="BE14" s="13">
        <f>BD14*VLOOKUP('Données projet'!$B$11,Paramètres!$A$1:$I$89,3,0)*VLOOKUP('Données projet'!$B$11,Paramètres!$A$1:$I$89,5,0)</f>
        <v>37.481158000000008</v>
      </c>
      <c r="BF14" s="13">
        <f t="shared" si="37"/>
        <v>11.32852146348689</v>
      </c>
      <c r="BG14" s="20">
        <f t="shared" si="7"/>
        <v>85.01019173223969</v>
      </c>
      <c r="BH14" s="59">
        <f t="shared" si="8"/>
        <v>279.50599034135382</v>
      </c>
      <c r="BI14" s="59">
        <f ca="1">AVERAGE(OFFSET($BH$3,0,0,'Données projet'!$E$11+1,1))-AVERAGE(OFFSET($H$3,0,0,'Données projet'!$E$11+1,1))</f>
        <v>580.02848304986492</v>
      </c>
      <c r="BJ14" s="59">
        <f t="shared" si="38"/>
        <v>281.68891895586728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2.6666666666666665</v>
      </c>
      <c r="BY14" s="12">
        <f>IF('Données projet'!$A$114&gt;35,BY13+BX14-CG13,IF(A14&lt;'Données projet'!$A$114,$BV$205^A14,IF(A14='Données projet'!$A$114,'Données projet'!$B$114,BY13+BX14-CG13)))</f>
        <v>14.956982779612416</v>
      </c>
      <c r="BZ14" s="13">
        <f>BY14*VLOOKUP('Données projet'!$B$12,Paramètres!$A$1:$I$89,3,0)*VLOOKUP('Données projet'!$B$12,Paramètres!$A$1:$I$89,5,0)</f>
        <v>11.666446568097685</v>
      </c>
      <c r="CA14" s="13">
        <f t="shared" si="39"/>
        <v>4.0392339557111736</v>
      </c>
      <c r="CB14" s="20">
        <f t="shared" si="10"/>
        <v>27.354060245633761</v>
      </c>
      <c r="CC14" s="59">
        <f t="shared" si="11"/>
        <v>221.84985885474788</v>
      </c>
      <c r="CD14" s="59">
        <f ca="1">AVERAGE(OFFSET($CC$3,0,0,'Données projet'!$E$12+1,1))-AVERAGE(OFFSET($H$3,0,0,'Données projet'!$E$12+1,1))</f>
        <v>308.85018589589453</v>
      </c>
      <c r="CE14" s="59">
        <f t="shared" si="40"/>
        <v>302.59481222418219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3.3333333333333335</v>
      </c>
      <c r="CT14" s="12">
        <f>IF('Données projet'!$A$140&gt;35,CT13+CS14-DB13,IF(A14&lt;'Données projet'!$A$140,$CQ$205^A14,IF(A14='Données projet'!$A$140,'Données projet'!$B$140,CT13+CS14-DB13)))</f>
        <v>17.616163665149852</v>
      </c>
      <c r="CU14" s="17">
        <f>CT14*VLOOKUP('Données projet'!$B$13,Paramètres!$A$1:$I$89,3,0)*VLOOKUP('Données projet'!$B$13,Paramètres!$A$1:$I$89,5,0)</f>
        <v>11.816922586582521</v>
      </c>
      <c r="CV14" s="13">
        <f t="shared" si="41"/>
        <v>4.0852340614632361</v>
      </c>
      <c r="CW14" s="20">
        <f t="shared" si="13"/>
        <v>27.696256162013025</v>
      </c>
      <c r="CX14" s="59">
        <f t="shared" si="14"/>
        <v>222.19205477112715</v>
      </c>
      <c r="CY14" s="59">
        <f ca="1">AVERAGE(OFFSET($CX$3,0,0,'Données projet'!$E$13+1,1))-AVERAGE(OFFSET($H$3,0,0,'Données projet'!$E$13+1,1))</f>
        <v>335.73816489539837</v>
      </c>
      <c r="CZ14" s="59">
        <f t="shared" si="42"/>
        <v>254.09787950201044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4.016578947368421</v>
      </c>
      <c r="DO14" s="12">
        <f>IF('Données projet'!$A$166&gt;35,DO13+DN14-DW13,IF(A14&lt;'Données projet'!$A$166,$DL$205^A14,IF(A14='Données projet'!$A$166,'Données projet'!$B$166,DO13+DN14-DW13)))</f>
        <v>44.182368421052644</v>
      </c>
      <c r="DP14" s="17">
        <f>DO14*VLOOKUP('Données projet'!$B$14,Paramètres!$A$1:$I$89,3,0)*VLOOKUP('Données projet'!$B$14,Paramètres!$A$1:$I$89,5,0)</f>
        <v>42.733186736842121</v>
      </c>
      <c r="DQ14" s="13">
        <f t="shared" si="43"/>
        <v>12.720268157452688</v>
      </c>
      <c r="DR14" s="20">
        <f t="shared" si="16"/>
        <v>96.581433940896787</v>
      </c>
      <c r="DS14" s="59">
        <f t="shared" si="17"/>
        <v>291.07723255001093</v>
      </c>
      <c r="DT14" s="59">
        <f ca="1">AVERAGE(OFFSET($DS$3,0,0,'Données projet'!$E$14+1,1))-AVERAGE(OFFSET($H$3,0,0,'Données projet'!$E$14+1,1))</f>
        <v>493.03862850474161</v>
      </c>
      <c r="DU14" s="59">
        <f t="shared" si="44"/>
        <v>312.51819065560528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4.016578947368421</v>
      </c>
      <c r="EJ14" s="12">
        <f>IF('Données projet'!$A$192&gt;35,EJ13+EI14-ER13,IF(A14&lt;'Données projet'!$A$192,$EG$205^A14,IF(A14='Données projet'!$A$192,'Données projet'!$B$192,EJ13+EI14-ER13)))</f>
        <v>44.182368421052644</v>
      </c>
      <c r="EK14" s="17">
        <f>EJ14*VLOOKUP('Données projet'!$B$15,Paramètres!$A$1:$I$89,3,0)*VLOOKUP('Données projet'!$B$15,Paramètres!$A$1:$I$89,5,0)</f>
        <v>47.557901368421064</v>
      </c>
      <c r="EL14" s="13">
        <f t="shared" si="45"/>
        <v>13.981250808542729</v>
      </c>
      <c r="EM14" s="20">
        <f t="shared" si="19"/>
        <v>107.18069004154528</v>
      </c>
      <c r="EN14" s="59">
        <f t="shared" si="20"/>
        <v>301.67648865065939</v>
      </c>
      <c r="EO14" s="59">
        <f ca="1">AVERAGE(OFFSET($EN$3,0,0,'Données projet'!$E$15+1,1))-AVERAGE(OFFSET($H$3,0,0,'Données projet'!$E$15+1,1))</f>
        <v>539.72194201710272</v>
      </c>
      <c r="EP14" s="59">
        <f t="shared" si="46"/>
        <v>340.76505385159362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4.333333333333333</v>
      </c>
      <c r="FE14" s="12">
        <f>IF('Données projet'!$A$218&gt;35,FE13+FD14-FM13,IF(A14&lt;'Données projet'!$A$218,$FB$205^A14,IF(A14='Données projet'!$A$218,'Données projet'!$B$218,FE13+FD14-FM13)))</f>
        <v>21.353535673010011</v>
      </c>
      <c r="FF14" s="17">
        <f>FE14*VLOOKUP('Données projet'!$B$16,Paramètres!$A$1:$I$89,3,0)*VLOOKUP('Données projet'!$B$16,Paramètres!$A$1:$I$89,5,0)</f>
        <v>17.32198813794572</v>
      </c>
      <c r="FG14" s="13">
        <f t="shared" si="47"/>
        <v>5.7276573000382847</v>
      </c>
      <c r="FH14" s="20">
        <f t="shared" si="22"/>
        <v>40.14479913782214</v>
      </c>
      <c r="FI14" s="59">
        <f t="shared" si="23"/>
        <v>234.64059774693627</v>
      </c>
      <c r="FJ14" s="59">
        <f ca="1">AVERAGE(OFFSET($FI$3,0,0,'Données projet'!$E$16+1,1))-AVERAGE(OFFSET($H$3,0,0,'Données projet'!$E$16+1,1))</f>
        <v>383.47860767209028</v>
      </c>
      <c r="FK14" s="59">
        <f t="shared" si="48"/>
        <v>370.49129421395628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3.3603333333333336</v>
      </c>
      <c r="FZ14" s="12">
        <f>IF('Données projet'!$A$244&gt;35,FZ13+FY14-GH13,IF(A14&lt;'Données projet'!$A$244,$FW$205^A14,IF(A14='Données projet'!$A$244,'Données projet'!$B$244,FZ13+FY14-GH13)))</f>
        <v>36.963666666666676</v>
      </c>
      <c r="GA14" s="17">
        <f>FZ14*VLOOKUP('Données projet'!$B$17,Paramètres!$A$1:$I$89,3,0)*VLOOKUP('Données projet'!$B$17,Paramètres!$A$1:$I$89,5,0)</f>
        <v>42.094223600000007</v>
      </c>
      <c r="GB14" s="13">
        <f t="shared" si="49"/>
        <v>12.552061807792626</v>
      </c>
      <c r="GC14" s="20">
        <f t="shared" si="25"/>
        <v>95.175613751905487</v>
      </c>
      <c r="GD14" s="59">
        <f t="shared" si="26"/>
        <v>289.67141236101963</v>
      </c>
      <c r="GE14" s="59">
        <f ca="1">AVERAGE(OFFSET($GD$3,0,0,'Données projet'!$E$17+1,1))-AVERAGE(OFFSET($H$3,0,0,'Données projet'!$E$17+1,1))</f>
        <v>640.05156427113661</v>
      </c>
      <c r="GF14" s="59">
        <f t="shared" si="50"/>
        <v>308.77220155372902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4.9119354838709679</v>
      </c>
      <c r="N15" s="13">
        <f>IF('Données projet'!$A$36&gt;35,N14+M15-V14,IF(A15&lt;'Données projet'!$A$36,$K$205^A15,IF(A15='Données projet'!$A$36,'Données projet'!$B$36,N14+M15-V14)))</f>
        <v>6.9965343925785239</v>
      </c>
      <c r="O15" s="13">
        <f>N15*VLOOKUP('Données projet'!$B$9,Paramètres!$A$1:$I$89,3,0)*VLOOKUP('Données projet'!$B$9,Paramètres!$A$1:$I$89,5,0)</f>
        <v>5.8938805723081495</v>
      </c>
      <c r="P15" s="13">
        <f t="shared" si="33"/>
        <v>2.2094220369334199</v>
      </c>
      <c r="Q15" s="20">
        <f t="shared" si="2"/>
        <v>14.113252044429068</v>
      </c>
      <c r="R15" s="59">
        <f t="shared" si="0"/>
        <v>211.14302949716193</v>
      </c>
      <c r="S15" s="59">
        <f ca="1">AVERAGE(OFFSET($R$3,0,0,'Données projet'!$E$9+1,1))-AVERAGE(OFFSET($H$3,0,0,'Données projet'!$E$9+1,1))</f>
        <v>456.35333554128226</v>
      </c>
      <c r="T15" s="59">
        <f t="shared" si="34"/>
        <v>296.4517290984877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4.333333333333333</v>
      </c>
      <c r="AI15" s="13">
        <f>IF('Données projet'!$A$62&gt;35,AI14+AH15-AQ14,IF(A15&lt;'Données projet'!$A$62,$AF$205^A15,IF(A15='Données projet'!$A$62,'Données projet'!$B$62,AI14+AH15-AQ14)))</f>
        <v>28.205297528345746</v>
      </c>
      <c r="AJ15" s="13">
        <f>AI15*VLOOKUP('Données projet'!$B$10,Paramètres!$A$1:$I$89,3,0)*VLOOKUP('Données projet'!$B$10,Paramètres!$A$1:$I$89,5,0)</f>
        <v>24.640147920762846</v>
      </c>
      <c r="AK15" s="13">
        <f t="shared" si="35"/>
        <v>7.8200241485704662</v>
      </c>
      <c r="AL15" s="20">
        <f t="shared" si="4"/>
        <v>56.534799687422179</v>
      </c>
      <c r="AM15" s="59">
        <f t="shared" si="5"/>
        <v>253.56457714015505</v>
      </c>
      <c r="AN15" s="59">
        <f ca="1">AVERAGE(OFFSET($AM$3,0,0,'Données projet'!$E$10+1,1))-AVERAGE(OFFSET($H$3,0,0,'Données projet'!$E$10+1,1))</f>
        <v>408.246209980743</v>
      </c>
      <c r="AO15" s="59">
        <f t="shared" si="36"/>
        <v>394.10236303013903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3.3603333333333336</v>
      </c>
      <c r="BD15" s="12">
        <f>IF('Données projet'!$A$88&gt;35,BD14+BC15-BL14,IF(A15&lt;'Données projet'!$A$88,$BA$205^A15,IF(A15='Données projet'!$A$88,'Données projet'!$B$88,BD14+BC15-BL14)))</f>
        <v>40.324000000000012</v>
      </c>
      <c r="BE15" s="13">
        <f>BD15*VLOOKUP('Données projet'!$B$11,Paramètres!$A$1:$I$89,3,0)*VLOOKUP('Données projet'!$B$11,Paramètres!$A$1:$I$89,5,0)</f>
        <v>40.888536000000016</v>
      </c>
      <c r="BF15" s="13">
        <f t="shared" si="37"/>
        <v>12.2338514914741</v>
      </c>
      <c r="BG15" s="20">
        <f t="shared" si="7"/>
        <v>92.52149154765074</v>
      </c>
      <c r="BH15" s="59">
        <f t="shared" si="8"/>
        <v>289.55126900038363</v>
      </c>
      <c r="BI15" s="59">
        <f ca="1">AVERAGE(OFFSET($BH$3,0,0,'Données projet'!$E$11+1,1))-AVERAGE(OFFSET($H$3,0,0,'Données projet'!$E$11+1,1))</f>
        <v>580.02848304986492</v>
      </c>
      <c r="BJ15" s="59">
        <f t="shared" si="38"/>
        <v>281.68891895586728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2.6666666666666665</v>
      </c>
      <c r="BY15" s="12">
        <f>IF('Données projet'!$A$114&gt;35,BY14+BX15-CG14,IF(A15&lt;'Données projet'!$A$114,$BV$205^A15,IF(A15='Données projet'!$A$114,'Données projet'!$B$114,BY14+BX15-CG14)))</f>
        <v>19.127049995800721</v>
      </c>
      <c r="BZ15" s="13">
        <f>BY15*VLOOKUP('Données projet'!$B$12,Paramètres!$A$1:$I$89,3,0)*VLOOKUP('Données projet'!$B$12,Paramètres!$A$1:$I$89,5,0)</f>
        <v>14.919098996724562</v>
      </c>
      <c r="CA15" s="13">
        <f t="shared" si="39"/>
        <v>5.019622097301081</v>
      </c>
      <c r="CB15" s="20">
        <f t="shared" si="10"/>
        <v>34.726605905427995</v>
      </c>
      <c r="CC15" s="59">
        <f t="shared" si="11"/>
        <v>231.75638335816086</v>
      </c>
      <c r="CD15" s="59">
        <f ca="1">AVERAGE(OFFSET($CC$3,0,0,'Données projet'!$E$12+1,1))-AVERAGE(OFFSET($H$3,0,0,'Données projet'!$E$12+1,1))</f>
        <v>308.85018589589453</v>
      </c>
      <c r="CE15" s="59">
        <f t="shared" si="40"/>
        <v>302.59481222418219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3.3333333333333335</v>
      </c>
      <c r="CT15" s="12">
        <f>IF('Données projet'!$A$140&gt;35,CT14+CS15-DB14,IF(A15&lt;'Données projet'!$A$140,$CQ$205^A15,IF(A15='Données projet'!$A$140,'Données projet'!$B$140,CT14+CS15-DB14)))</f>
        <v>22.865252596366318</v>
      </c>
      <c r="CU15" s="17">
        <f>CT15*VLOOKUP('Données projet'!$B$13,Paramètres!$A$1:$I$89,3,0)*VLOOKUP('Données projet'!$B$13,Paramètres!$A$1:$I$89,5,0)</f>
        <v>15.338011441642525</v>
      </c>
      <c r="CV15" s="13">
        <f t="shared" si="41"/>
        <v>5.1439602509023024</v>
      </c>
      <c r="CW15" s="20">
        <f t="shared" si="13"/>
        <v>35.672767364515572</v>
      </c>
      <c r="CX15" s="59">
        <f t="shared" si="14"/>
        <v>232.70254481724845</v>
      </c>
      <c r="CY15" s="59">
        <f ca="1">AVERAGE(OFFSET($CX$3,0,0,'Données projet'!$E$13+1,1))-AVERAGE(OFFSET($H$3,0,0,'Données projet'!$E$13+1,1))</f>
        <v>335.73816489539837</v>
      </c>
      <c r="CZ15" s="59">
        <f t="shared" si="42"/>
        <v>254.09787950201044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4.016578947368421</v>
      </c>
      <c r="DO15" s="12">
        <f>IF('Données projet'!$A$166&gt;35,DO14+DN15-DW14,IF(A15&lt;'Données projet'!$A$166,$DL$205^A15,IF(A15='Données projet'!$A$166,'Données projet'!$B$166,DO14+DN15-DW14)))</f>
        <v>48.198947368421067</v>
      </c>
      <c r="DP15" s="17">
        <f>DO15*VLOOKUP('Données projet'!$B$14,Paramètres!$A$1:$I$89,3,0)*VLOOKUP('Données projet'!$B$14,Paramètres!$A$1:$I$89,5,0)</f>
        <v>46.618021894736856</v>
      </c>
      <c r="DQ15" s="13">
        <f t="shared" si="43"/>
        <v>13.73682100277402</v>
      </c>
      <c r="DR15" s="20">
        <f t="shared" si="16"/>
        <v>105.11801804649811</v>
      </c>
      <c r="DS15" s="59">
        <f t="shared" si="17"/>
        <v>302.14779549923099</v>
      </c>
      <c r="DT15" s="59">
        <f ca="1">AVERAGE(OFFSET($DS$3,0,0,'Données projet'!$E$14+1,1))-AVERAGE(OFFSET($H$3,0,0,'Données projet'!$E$14+1,1))</f>
        <v>493.03862850474161</v>
      </c>
      <c r="DU15" s="59">
        <f t="shared" si="44"/>
        <v>312.51819065560528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4.016578947368421</v>
      </c>
      <c r="EJ15" s="12">
        <f>IF('Données projet'!$A$192&gt;35,EJ14+EI15-ER14,IF(A15&lt;'Données projet'!$A$192,$EG$205^A15,IF(A15='Données projet'!$A$192,'Données projet'!$B$192,EJ14+EI15-ER14)))</f>
        <v>48.198947368421067</v>
      </c>
      <c r="EK15" s="17">
        <f>EJ15*VLOOKUP('Données projet'!$B$15,Paramètres!$A$1:$I$89,3,0)*VLOOKUP('Données projet'!$B$15,Paramètres!$A$1:$I$89,5,0)</f>
        <v>51.881346947368428</v>
      </c>
      <c r="EL15" s="13">
        <f t="shared" si="45"/>
        <v>15.098576333024555</v>
      </c>
      <c r="EM15" s="20">
        <f t="shared" si="19"/>
        <v>116.6566997133511</v>
      </c>
      <c r="EN15" s="59">
        <f t="shared" si="20"/>
        <v>313.68647716608399</v>
      </c>
      <c r="EO15" s="59">
        <f ca="1">AVERAGE(OFFSET($EN$3,0,0,'Données projet'!$E$15+1,1))-AVERAGE(OFFSET($H$3,0,0,'Données projet'!$E$15+1,1))</f>
        <v>539.72194201710272</v>
      </c>
      <c r="EP15" s="59">
        <f t="shared" si="46"/>
        <v>340.76505385159362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4.333333333333333</v>
      </c>
      <c r="FE15" s="12">
        <f>IF('Données projet'!$A$218&gt;35,FE14+FD15-FM14,IF(A15&lt;'Données projet'!$A$218,$FB$205^A15,IF(A15='Données projet'!$A$218,'Données projet'!$B$218,FE14+FD15-FM14)))</f>
        <v>28.205297528345746</v>
      </c>
      <c r="FF15" s="17">
        <f>FE15*VLOOKUP('Données projet'!$B$16,Paramètres!$A$1:$I$89,3,0)*VLOOKUP('Données projet'!$B$16,Paramètres!$A$1:$I$89,5,0)</f>
        <v>22.880137354994069</v>
      </c>
      <c r="FG15" s="13">
        <f t="shared" si="47"/>
        <v>7.3243604346098863</v>
      </c>
      <c r="FH15" s="20">
        <f t="shared" si="22"/>
        <v>52.606166983560222</v>
      </c>
      <c r="FI15" s="59">
        <f t="shared" si="23"/>
        <v>249.6359444362931</v>
      </c>
      <c r="FJ15" s="59">
        <f ca="1">AVERAGE(OFFSET($FI$3,0,0,'Données projet'!$E$16+1,1))-AVERAGE(OFFSET($H$3,0,0,'Données projet'!$E$16+1,1))</f>
        <v>383.47860767209028</v>
      </c>
      <c r="FK15" s="59">
        <f t="shared" si="48"/>
        <v>370.49129421395628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3.3603333333333336</v>
      </c>
      <c r="FZ15" s="12">
        <f>IF('Données projet'!$A$244&gt;35,FZ14+FY15-GH14,IF(A15&lt;'Données projet'!$A$244,$FW$205^A15,IF(A15='Données projet'!$A$244,'Données projet'!$B$244,FZ14+FY15-GH14)))</f>
        <v>40.324000000000012</v>
      </c>
      <c r="GA15" s="17">
        <f>FZ15*VLOOKUP('Données projet'!$B$17,Paramètres!$A$1:$I$89,3,0)*VLOOKUP('Données projet'!$B$17,Paramètres!$A$1:$I$89,5,0)</f>
        <v>45.920971200000018</v>
      </c>
      <c r="GB15" s="13">
        <f t="shared" si="49"/>
        <v>13.555172275859681</v>
      </c>
      <c r="GC15" s="20">
        <f t="shared" si="25"/>
        <v>103.58761655378898</v>
      </c>
      <c r="GD15" s="59">
        <f t="shared" si="26"/>
        <v>300.61739400652186</v>
      </c>
      <c r="GE15" s="59">
        <f ca="1">AVERAGE(OFFSET($GD$3,0,0,'Données projet'!$E$17+1,1))-AVERAGE(OFFSET($H$3,0,0,'Données projet'!$E$17+1,1))</f>
        <v>640.05156427113661</v>
      </c>
      <c r="GF15" s="59">
        <f t="shared" si="50"/>
        <v>308.77220155372902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4.9119354838709679</v>
      </c>
      <c r="N16" s="13">
        <f>IF('Données projet'!$A$36&gt;35,N15+M16-V15,IF(A16&lt;'Données projet'!$A$36,$K$205^A16,IF(A16='Données projet'!$A$36,'Données projet'!$B$36,N15+M16-V15)))</f>
        <v>8.2279167292319872</v>
      </c>
      <c r="O16" s="13">
        <f>N16*VLOOKUP('Données projet'!$B$9,Paramètres!$A$1:$I$89,3,0)*VLOOKUP('Données projet'!$B$9,Paramètres!$A$1:$I$89,5,0)</f>
        <v>6.9311970527050271</v>
      </c>
      <c r="P16" s="13">
        <f t="shared" si="33"/>
        <v>2.5497067340527018</v>
      </c>
      <c r="Q16" s="20">
        <f t="shared" si="2"/>
        <v>16.512574095269713</v>
      </c>
      <c r="R16" s="59">
        <f t="shared" si="0"/>
        <v>216.05357434688852</v>
      </c>
      <c r="S16" s="59">
        <f ca="1">AVERAGE(OFFSET($R$3,0,0,'Données projet'!$E$9+1,1))-AVERAGE(OFFSET($H$3,0,0,'Données projet'!$E$9+1,1))</f>
        <v>456.35333554128226</v>
      </c>
      <c r="T16" s="59">
        <f t="shared" si="34"/>
        <v>296.4517290984877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4.333333333333333</v>
      </c>
      <c r="AI16" s="13">
        <f>IF('Données projet'!$A$62&gt;35,AI15+AH16-AQ15,IF(A16&lt;'Données projet'!$A$62,$AF$205^A16,IF(A16='Données projet'!$A$62,'Données projet'!$B$62,AI15+AH16-AQ15)))</f>
        <v>37.255601172785397</v>
      </c>
      <c r="AJ16" s="13">
        <f>AI16*VLOOKUP('Données projet'!$B$10,Paramètres!$A$1:$I$89,3,0)*VLOOKUP('Données projet'!$B$10,Paramètres!$A$1:$I$89,5,0)</f>
        <v>32.546493184545326</v>
      </c>
      <c r="AK16" s="13">
        <f t="shared" si="35"/>
        <v>10.000017890578144</v>
      </c>
      <c r="AL16" s="20">
        <f t="shared" si="4"/>
        <v>74.101840122506715</v>
      </c>
      <c r="AM16" s="59">
        <f t="shared" si="5"/>
        <v>273.64284037412551</v>
      </c>
      <c r="AN16" s="59">
        <f ca="1">AVERAGE(OFFSET($AM$3,0,0,'Données projet'!$E$10+1,1))-AVERAGE(OFFSET($H$3,0,0,'Données projet'!$E$10+1,1))</f>
        <v>408.246209980743</v>
      </c>
      <c r="AO16" s="59">
        <f t="shared" si="36"/>
        <v>394.10236303013903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3.3603333333333336</v>
      </c>
      <c r="BD16" s="12">
        <f>IF('Données projet'!$A$88&gt;35,BD15+BC16-BL15,IF(A16&lt;'Données projet'!$A$88,$BA$205^A16,IF(A16='Données projet'!$A$88,'Données projet'!$B$88,BD15+BC16-BL15)))</f>
        <v>43.684333333333349</v>
      </c>
      <c r="BE16" s="13">
        <f>BD16*VLOOKUP('Données projet'!$B$11,Paramètres!$A$1:$I$89,3,0)*VLOOKUP('Données projet'!$B$11,Paramètres!$A$1:$I$89,5,0)</f>
        <v>44.295914000000018</v>
      </c>
      <c r="BF16" s="13">
        <f t="shared" si="37"/>
        <v>13.130431589304674</v>
      </c>
      <c r="BG16" s="20">
        <f t="shared" si="7"/>
        <v>100.01755190137233</v>
      </c>
      <c r="BH16" s="59">
        <f t="shared" si="8"/>
        <v>299.55855215299113</v>
      </c>
      <c r="BI16" s="59">
        <f ca="1">AVERAGE(OFFSET($BH$3,0,0,'Données projet'!$E$11+1,1))-AVERAGE(OFFSET($H$3,0,0,'Données projet'!$E$11+1,1))</f>
        <v>580.02848304986492</v>
      </c>
      <c r="BJ16" s="59">
        <f t="shared" si="38"/>
        <v>281.68891895586728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2.6666666666666665</v>
      </c>
      <c r="BY16" s="12">
        <f>IF('Données projet'!$A$114&gt;35,BY15+BX16-CG15,IF(A16&lt;'Données projet'!$A$114,$BV$205^A16,IF(A16='Données projet'!$A$114,'Données projet'!$B$114,BY15+BX16-CG15)))</f>
        <v>24.459748796430759</v>
      </c>
      <c r="BZ16" s="13">
        <f>BY16*VLOOKUP('Données projet'!$B$12,Paramètres!$A$1:$I$89,3,0)*VLOOKUP('Données projet'!$B$12,Paramètres!$A$1:$I$89,5,0)</f>
        <v>19.078604061215994</v>
      </c>
      <c r="CA16" s="13">
        <f t="shared" si="39"/>
        <v>6.2379664748280286</v>
      </c>
      <c r="CB16" s="20">
        <f t="shared" si="10"/>
        <v>44.093027016943331</v>
      </c>
      <c r="CC16" s="59">
        <f t="shared" si="11"/>
        <v>243.63402726856214</v>
      </c>
      <c r="CD16" s="59">
        <f ca="1">AVERAGE(OFFSET($CC$3,0,0,'Données projet'!$E$12+1,1))-AVERAGE(OFFSET($H$3,0,0,'Données projet'!$E$12+1,1))</f>
        <v>308.85018589589453</v>
      </c>
      <c r="CE16" s="59">
        <f t="shared" si="40"/>
        <v>302.59481222418219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3.3333333333333335</v>
      </c>
      <c r="CT16" s="12">
        <f>IF('Données projet'!$A$140&gt;35,CT15+CS16-DB15,IF(A16&lt;'Données projet'!$A$140,$CQ$205^A16,IF(A16='Données projet'!$A$140,'Données projet'!$B$140,CT15+CS16-DB15)))</f>
        <v>29.678412748283769</v>
      </c>
      <c r="CU16" s="17">
        <f>CT16*VLOOKUP('Données projet'!$B$13,Paramètres!$A$1:$I$89,3,0)*VLOOKUP('Données projet'!$B$13,Paramètres!$A$1:$I$89,5,0)</f>
        <v>19.90827927154875</v>
      </c>
      <c r="CV16" s="13">
        <f t="shared" si="41"/>
        <v>6.4770651239957129</v>
      </c>
      <c r="CW16" s="20">
        <f t="shared" si="13"/>
        <v>45.954474822239945</v>
      </c>
      <c r="CX16" s="59">
        <f t="shared" si="14"/>
        <v>245.49547507385876</v>
      </c>
      <c r="CY16" s="59">
        <f ca="1">AVERAGE(OFFSET($CX$3,0,0,'Données projet'!$E$13+1,1))-AVERAGE(OFFSET($H$3,0,0,'Données projet'!$E$13+1,1))</f>
        <v>335.73816489539837</v>
      </c>
      <c r="CZ16" s="59">
        <f t="shared" si="42"/>
        <v>254.09787950201044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4.016578947368421</v>
      </c>
      <c r="DO16" s="12">
        <f>IF('Données projet'!$A$166&gt;35,DO15+DN16-DW15,IF(A16&lt;'Données projet'!$A$166,$DL$205^A16,IF(A16='Données projet'!$A$166,'Données projet'!$B$166,DO15+DN16-DW15)))</f>
        <v>52.215526315789489</v>
      </c>
      <c r="DP16" s="17">
        <f>DO16*VLOOKUP('Données projet'!$B$14,Paramètres!$A$1:$I$89,3,0)*VLOOKUP('Données projet'!$B$14,Paramètres!$A$1:$I$89,5,0)</f>
        <v>50.50285705263159</v>
      </c>
      <c r="DQ16" s="13">
        <f t="shared" si="43"/>
        <v>14.74354895979814</v>
      </c>
      <c r="DR16" s="20">
        <f t="shared" si="16"/>
        <v>113.63749047164845</v>
      </c>
      <c r="DS16" s="59">
        <f t="shared" si="17"/>
        <v>313.17849072326726</v>
      </c>
      <c r="DT16" s="59">
        <f ca="1">AVERAGE(OFFSET($DS$3,0,0,'Données projet'!$E$14+1,1))-AVERAGE(OFFSET($H$3,0,0,'Données projet'!$E$14+1,1))</f>
        <v>493.03862850474161</v>
      </c>
      <c r="DU16" s="59">
        <f t="shared" si="44"/>
        <v>312.51819065560528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4.016578947368421</v>
      </c>
      <c r="EJ16" s="12">
        <f>IF('Données projet'!$A$192&gt;35,EJ15+EI16-ER15,IF(A16&lt;'Données projet'!$A$192,$EG$205^A16,IF(A16='Données projet'!$A$192,'Données projet'!$B$192,EJ15+EI16-ER15)))</f>
        <v>52.215526315789489</v>
      </c>
      <c r="EK16" s="17">
        <f>EJ16*VLOOKUP('Données projet'!$B$15,Paramètres!$A$1:$I$89,3,0)*VLOOKUP('Données projet'!$B$15,Paramètres!$A$1:$I$89,5,0)</f>
        <v>56.204792526315799</v>
      </c>
      <c r="EL16" s="13">
        <f t="shared" si="45"/>
        <v>16.205103010677917</v>
      </c>
      <c r="EM16" s="20">
        <f t="shared" si="19"/>
        <v>126.1139013935974</v>
      </c>
      <c r="EN16" s="59">
        <f t="shared" si="20"/>
        <v>325.65490164521623</v>
      </c>
      <c r="EO16" s="59">
        <f ca="1">AVERAGE(OFFSET($EN$3,0,0,'Données projet'!$E$15+1,1))-AVERAGE(OFFSET($H$3,0,0,'Données projet'!$E$15+1,1))</f>
        <v>539.72194201710272</v>
      </c>
      <c r="EP16" s="59">
        <f t="shared" si="46"/>
        <v>340.76505385159362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4.333333333333333</v>
      </c>
      <c r="FE16" s="12">
        <f>IF('Données projet'!$A$218&gt;35,FE15+FD16-FM15,IF(A16&lt;'Données projet'!$A$218,$FB$205^A16,IF(A16='Données projet'!$A$218,'Données projet'!$B$218,FE15+FD16-FM15)))</f>
        <v>37.255601172785397</v>
      </c>
      <c r="FF16" s="17">
        <f>FE16*VLOOKUP('Données projet'!$B$16,Paramètres!$A$1:$I$89,3,0)*VLOOKUP('Données projet'!$B$16,Paramètres!$A$1:$I$89,5,0)</f>
        <v>30.221743671363516</v>
      </c>
      <c r="FG16" s="13">
        <f t="shared" si="47"/>
        <v>9.3661776474860101</v>
      </c>
      <c r="FH16" s="20">
        <f t="shared" si="22"/>
        <v>68.948962963662908</v>
      </c>
      <c r="FI16" s="59">
        <f t="shared" si="23"/>
        <v>268.4899632152817</v>
      </c>
      <c r="FJ16" s="59">
        <f ca="1">AVERAGE(OFFSET($FI$3,0,0,'Données projet'!$E$16+1,1))-AVERAGE(OFFSET($H$3,0,0,'Données projet'!$E$16+1,1))</f>
        <v>383.47860767209028</v>
      </c>
      <c r="FK16" s="59">
        <f t="shared" si="48"/>
        <v>370.49129421395628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3.3603333333333336</v>
      </c>
      <c r="FZ16" s="12">
        <f>IF('Données projet'!$A$244&gt;35,FZ15+FY16-GH15,IF(A16&lt;'Données projet'!$A$244,$FW$205^A16,IF(A16='Données projet'!$A$244,'Données projet'!$B$244,FZ15+FY16-GH15)))</f>
        <v>43.684333333333349</v>
      </c>
      <c r="GA16" s="17">
        <f>FZ16*VLOOKUP('Données projet'!$B$17,Paramètres!$A$1:$I$89,3,0)*VLOOKUP('Données projet'!$B$17,Paramètres!$A$1:$I$89,5,0)</f>
        <v>49.747718800000023</v>
      </c>
      <c r="GB16" s="13">
        <f t="shared" si="49"/>
        <v>14.548587774950079</v>
      </c>
      <c r="GC16" s="20">
        <f t="shared" si="25"/>
        <v>111.98273395137143</v>
      </c>
      <c r="GD16" s="59">
        <f t="shared" si="26"/>
        <v>311.52373420299023</v>
      </c>
      <c r="GE16" s="59">
        <f ca="1">AVERAGE(OFFSET($GD$3,0,0,'Données projet'!$E$17+1,1))-AVERAGE(OFFSET($H$3,0,0,'Données projet'!$E$17+1,1))</f>
        <v>640.05156427113661</v>
      </c>
      <c r="GF16" s="59">
        <f t="shared" si="50"/>
        <v>308.77220155372902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4.9119354838709679</v>
      </c>
      <c r="N17" s="13">
        <f>IF('Données projet'!$A$36&gt;35,N16+M17-V16,IF(A17&lt;'Données projet'!$A$36,$K$205^A17,IF(A17='Données projet'!$A$36,'Données projet'!$B$36,N16+M17-V16)))</f>
        <v>9.6760209990514667</v>
      </c>
      <c r="O17" s="13">
        <f>N17*VLOOKUP('Données projet'!$B$9,Paramètres!$A$1:$I$89,3,0)*VLOOKUP('Données projet'!$B$9,Paramètres!$A$1:$I$89,5,0)</f>
        <v>8.1510800896009563</v>
      </c>
      <c r="P17" s="13">
        <f t="shared" si="33"/>
        <v>2.9424004653709348</v>
      </c>
      <c r="Q17" s="20">
        <f t="shared" si="2"/>
        <v>19.321145299909375</v>
      </c>
      <c r="R17" s="59">
        <f t="shared" si="0"/>
        <v>221.35100707218257</v>
      </c>
      <c r="S17" s="59">
        <f ca="1">AVERAGE(OFFSET($R$3,0,0,'Données projet'!$E$9+1,1))-AVERAGE(OFFSET($H$3,0,0,'Données projet'!$E$9+1,1))</f>
        <v>456.35333554128226</v>
      </c>
      <c r="T17" s="59">
        <f t="shared" si="34"/>
        <v>296.4517290984877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4.333333333333333</v>
      </c>
      <c r="AI17" s="13">
        <f>IF('Données projet'!$A$62&gt;35,AI16+AH17-AQ16,IF(A17&lt;'Données projet'!$A$62,$AF$205^A17,IF(A17='Données projet'!$A$62,'Données projet'!$B$62,AI16+AH17-AQ16)))</f>
        <v>49.209898153024547</v>
      </c>
      <c r="AJ17" s="13">
        <f>AI17*VLOOKUP('Données projet'!$B$10,Paramètres!$A$1:$I$89,3,0)*VLOOKUP('Données projet'!$B$10,Paramètres!$A$1:$I$89,5,0)</f>
        <v>42.989767026482248</v>
      </c>
      <c r="AK17" s="13">
        <f t="shared" si="35"/>
        <v>12.78773005197989</v>
      </c>
      <c r="AL17" s="20">
        <f t="shared" si="4"/>
        <v>97.145807411654872</v>
      </c>
      <c r="AM17" s="59">
        <f t="shared" si="5"/>
        <v>299.17566918392805</v>
      </c>
      <c r="AN17" s="59">
        <f ca="1">AVERAGE(OFFSET($AM$3,0,0,'Données projet'!$E$10+1,1))-AVERAGE(OFFSET($H$3,0,0,'Données projet'!$E$10+1,1))</f>
        <v>408.246209980743</v>
      </c>
      <c r="AO17" s="59">
        <f t="shared" si="36"/>
        <v>394.10236303013903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3.3603333333333336</v>
      </c>
      <c r="BD17" s="12">
        <f>IF('Données projet'!$A$88&gt;35,BD16+BC17-BL16,IF(A17&lt;'Données projet'!$A$88,$BA$205^A17,IF(A17='Données projet'!$A$88,'Données projet'!$B$88,BD16+BC17-BL16)))</f>
        <v>47.044666666666686</v>
      </c>
      <c r="BE17" s="13">
        <f>BD17*VLOOKUP('Données projet'!$B$11,Paramètres!$A$1:$I$89,3,0)*VLOOKUP('Données projet'!$B$11,Paramètres!$A$1:$I$89,5,0)</f>
        <v>47.703292000000019</v>
      </c>
      <c r="BF17" s="13">
        <f t="shared" si="37"/>
        <v>14.019011356175028</v>
      </c>
      <c r="BG17" s="20">
        <f t="shared" si="7"/>
        <v>107.49967834533821</v>
      </c>
      <c r="BH17" s="59">
        <f t="shared" si="8"/>
        <v>309.52954011761142</v>
      </c>
      <c r="BI17" s="59">
        <f ca="1">AVERAGE(OFFSET($BH$3,0,0,'Données projet'!$E$11+1,1))-AVERAGE(OFFSET($H$3,0,0,'Données projet'!$E$11+1,1))</f>
        <v>580.02848304986492</v>
      </c>
      <c r="BJ17" s="59">
        <f t="shared" si="38"/>
        <v>281.68891895586728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2.6666666666666665</v>
      </c>
      <c r="BY17" s="12">
        <f>IF('Données projet'!$A$114&gt;35,BY16+BX17-CG16,IF(A17&lt;'Données projet'!$A$114,$BV$205^A17,IF(A17='Données projet'!$A$114,'Données projet'!$B$114,BY16+BX17-CG16)))</f>
        <v>31.279225563578599</v>
      </c>
      <c r="BZ17" s="13">
        <f>BY17*VLOOKUP('Données projet'!$B$12,Paramètres!$A$1:$I$89,3,0)*VLOOKUP('Données projet'!$B$12,Paramètres!$A$1:$I$89,5,0)</f>
        <v>24.397795939591308</v>
      </c>
      <c r="CA17" s="13">
        <f t="shared" si="39"/>
        <v>7.75202295846145</v>
      </c>
      <c r="CB17" s="20">
        <f t="shared" si="10"/>
        <v>55.994267914108548</v>
      </c>
      <c r="CC17" s="59">
        <f t="shared" si="11"/>
        <v>258.02412968638174</v>
      </c>
      <c r="CD17" s="59">
        <f ca="1">AVERAGE(OFFSET($CC$3,0,0,'Données projet'!$E$12+1,1))-AVERAGE(OFFSET($H$3,0,0,'Données projet'!$E$12+1,1))</f>
        <v>308.85018589589453</v>
      </c>
      <c r="CE17" s="59">
        <f t="shared" si="40"/>
        <v>302.59481222418219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3.3333333333333335</v>
      </c>
      <c r="CT17" s="12">
        <f>IF('Données projet'!$A$140&gt;35,CT16+CS17-DB16,IF(A17&lt;'Données projet'!$A$140,$CQ$205^A17,IF(A17='Données projet'!$A$140,'Données projet'!$B$140,CT16+CS17-DB16)))</f>
        <v>38.521690479704915</v>
      </c>
      <c r="CU17" s="17">
        <f>CT17*VLOOKUP('Données projet'!$B$13,Paramètres!$A$1:$I$89,3,0)*VLOOKUP('Données projet'!$B$13,Paramètres!$A$1:$I$89,5,0)</f>
        <v>25.840349973786058</v>
      </c>
      <c r="CV17" s="13">
        <f t="shared" si="41"/>
        <v>8.1556564542120462</v>
      </c>
      <c r="CW17" s="20">
        <f t="shared" si="13"/>
        <v>59.209711195430032</v>
      </c>
      <c r="CX17" s="59">
        <f t="shared" si="14"/>
        <v>261.23957296770323</v>
      </c>
      <c r="CY17" s="59">
        <f ca="1">AVERAGE(OFFSET($CX$3,0,0,'Données projet'!$E$13+1,1))-AVERAGE(OFFSET($H$3,0,0,'Données projet'!$E$13+1,1))</f>
        <v>335.73816489539837</v>
      </c>
      <c r="CZ17" s="59">
        <f t="shared" si="42"/>
        <v>254.09787950201044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4.016578947368421</v>
      </c>
      <c r="DO17" s="12">
        <f>IF('Données projet'!$A$166&gt;35,DO16+DN17-DW16,IF(A17&lt;'Données projet'!$A$166,$DL$205^A17,IF(A17='Données projet'!$A$166,'Données projet'!$B$166,DO16+DN17-DW16)))</f>
        <v>56.232105263157912</v>
      </c>
      <c r="DP17" s="17">
        <f>DO17*VLOOKUP('Données projet'!$B$14,Paramètres!$A$1:$I$89,3,0)*VLOOKUP('Données projet'!$B$14,Paramètres!$A$1:$I$89,5,0)</f>
        <v>54.387692210526332</v>
      </c>
      <c r="DQ17" s="13">
        <f t="shared" si="43"/>
        <v>15.741293718486071</v>
      </c>
      <c r="DR17" s="20">
        <f t="shared" si="16"/>
        <v>122.14131715969658</v>
      </c>
      <c r="DS17" s="59">
        <f t="shared" si="17"/>
        <v>324.17117893196979</v>
      </c>
      <c r="DT17" s="59">
        <f ca="1">AVERAGE(OFFSET($DS$3,0,0,'Données projet'!$E$14+1,1))-AVERAGE(OFFSET($H$3,0,0,'Données projet'!$E$14+1,1))</f>
        <v>493.03862850474161</v>
      </c>
      <c r="DU17" s="59">
        <f t="shared" si="44"/>
        <v>312.51819065560528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4.016578947368421</v>
      </c>
      <c r="EJ17" s="12">
        <f>IF('Données projet'!$A$192&gt;35,EJ16+EI17-ER16,IF(A17&lt;'Données projet'!$A$192,$EG$205^A17,IF(A17='Données projet'!$A$192,'Données projet'!$B$192,EJ16+EI17-ER16)))</f>
        <v>56.232105263157912</v>
      </c>
      <c r="EK17" s="17">
        <f>EJ17*VLOOKUP('Données projet'!$B$15,Paramètres!$A$1:$I$89,3,0)*VLOOKUP('Données projet'!$B$15,Paramètres!$A$1:$I$89,5,0)</f>
        <v>60.528238105263171</v>
      </c>
      <c r="EL17" s="13">
        <f t="shared" si="45"/>
        <v>17.301755969676424</v>
      </c>
      <c r="EM17" s="20">
        <f t="shared" si="19"/>
        <v>135.55390634718643</v>
      </c>
      <c r="EN17" s="59">
        <f t="shared" si="20"/>
        <v>337.58376811945959</v>
      </c>
      <c r="EO17" s="59">
        <f ca="1">AVERAGE(OFFSET($EN$3,0,0,'Données projet'!$E$15+1,1))-AVERAGE(OFFSET($H$3,0,0,'Données projet'!$E$15+1,1))</f>
        <v>539.72194201710272</v>
      </c>
      <c r="EP17" s="59">
        <f t="shared" si="46"/>
        <v>340.76505385159362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4.333333333333333</v>
      </c>
      <c r="FE17" s="12">
        <f>IF('Données projet'!$A$218&gt;35,FE16+FD17-FM16,IF(A17&lt;'Données projet'!$A$218,$FB$205^A17,IF(A17='Données projet'!$A$218,'Données projet'!$B$218,FE16+FD17-FM16)))</f>
        <v>49.209898153024547</v>
      </c>
      <c r="FF17" s="17">
        <f>FE17*VLOOKUP('Données projet'!$B$16,Paramètres!$A$1:$I$89,3,0)*VLOOKUP('Données projet'!$B$16,Paramètres!$A$1:$I$89,5,0)</f>
        <v>39.919069381733514</v>
      </c>
      <c r="FG17" s="13">
        <f t="shared" si="47"/>
        <v>11.977193709601915</v>
      </c>
      <c r="FH17" s="20">
        <f t="shared" si="22"/>
        <v>90.385991550742531</v>
      </c>
      <c r="FI17" s="59">
        <f t="shared" si="23"/>
        <v>292.41585332301571</v>
      </c>
      <c r="FJ17" s="59">
        <f ca="1">AVERAGE(OFFSET($FI$3,0,0,'Données projet'!$E$16+1,1))-AVERAGE(OFFSET($H$3,0,0,'Données projet'!$E$16+1,1))</f>
        <v>383.47860767209028</v>
      </c>
      <c r="FK17" s="59">
        <f t="shared" si="48"/>
        <v>370.49129421395628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3.3603333333333336</v>
      </c>
      <c r="FZ17" s="12">
        <f>IF('Données projet'!$A$244&gt;35,FZ16+FY17-GH16,IF(A17&lt;'Données projet'!$A$244,$FW$205^A17,IF(A17='Données projet'!$A$244,'Données projet'!$B$244,FZ16+FY17-GH16)))</f>
        <v>47.044666666666686</v>
      </c>
      <c r="GA17" s="17">
        <f>FZ17*VLOOKUP('Données projet'!$B$17,Paramètres!$A$1:$I$89,3,0)*VLOOKUP('Données projet'!$B$17,Paramètres!$A$1:$I$89,5,0)</f>
        <v>53.574466400000027</v>
      </c>
      <c r="GB17" s="13">
        <f t="shared" si="49"/>
        <v>15.533138864945339</v>
      </c>
      <c r="GC17" s="20">
        <f t="shared" si="25"/>
        <v>120.36241250311315</v>
      </c>
      <c r="GD17" s="59">
        <f t="shared" si="26"/>
        <v>322.39227427538634</v>
      </c>
      <c r="GE17" s="59">
        <f ca="1">AVERAGE(OFFSET($GD$3,0,0,'Données projet'!$E$17+1,1))-AVERAGE(OFFSET($H$3,0,0,'Données projet'!$E$17+1,1))</f>
        <v>640.05156427113661</v>
      </c>
      <c r="GF17" s="59">
        <f t="shared" si="50"/>
        <v>308.77220155372902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4.9119354838709679</v>
      </c>
      <c r="N18" s="13">
        <f>IF('Données projet'!$A$36&gt;35,N17+M18-V17,IF(A18&lt;'Données projet'!$A$36,$K$205^A18,IF(A18='Données projet'!$A$36,'Données projet'!$B$36,N17+M18-V17)))</f>
        <v>11.378990023252722</v>
      </c>
      <c r="O18" s="13">
        <f>N18*VLOOKUP('Données projet'!$B$9,Paramètres!$A$1:$I$89,3,0)*VLOOKUP('Données projet'!$B$9,Paramètres!$A$1:$I$89,5,0)</f>
        <v>9.585661195588095</v>
      </c>
      <c r="P18" s="13">
        <f t="shared" si="33"/>
        <v>3.3955750216236993</v>
      </c>
      <c r="Q18" s="20">
        <f t="shared" si="2"/>
        <v>22.608986411643873</v>
      </c>
      <c r="R18" s="59">
        <f t="shared" si="0"/>
        <v>227.10573634452493</v>
      </c>
      <c r="S18" s="59">
        <f ca="1">AVERAGE(OFFSET($R$3,0,0,'Données projet'!$E$9+1,1))-AVERAGE(OFFSET($H$3,0,0,'Données projet'!$E$9+1,1))</f>
        <v>456.35333554128226</v>
      </c>
      <c r="T18" s="59">
        <f t="shared" si="34"/>
        <v>296.4517290984877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65</v>
      </c>
      <c r="AG18" s="12">
        <f>VLOOKUP(A18,'Données projet'!$A$61:$I$81,9,0)</f>
        <v>4.333333333333333</v>
      </c>
      <c r="AH18" s="12">
        <f t="array" ref="AH18">INDEX(AG:AG,MIN(IF(ISNUMBER(AG18:AG214),ROW(AG18:AG214),"")))</f>
        <v>4.333333333333333</v>
      </c>
      <c r="AI18" s="13">
        <f>IF('Données projet'!$A$62&gt;35,AI17+AH18-AQ17,IF(A18&lt;'Données projet'!$A$62,$AF$205^A18,IF(A18='Données projet'!$A$62,'Données projet'!$B$62,AI17+AH18-AQ17)))</f>
        <v>65</v>
      </c>
      <c r="AJ18" s="13">
        <f>AI18*VLOOKUP('Données projet'!$B$10,Paramètres!$A$1:$I$89,3,0)*VLOOKUP('Données projet'!$B$10,Paramètres!$A$1:$I$89,5,0)</f>
        <v>56.784000000000013</v>
      </c>
      <c r="AK18" s="13">
        <f t="shared" si="35"/>
        <v>16.352574732529362</v>
      </c>
      <c r="AL18" s="20">
        <f t="shared" si="4"/>
        <v>127.37953432582198</v>
      </c>
      <c r="AM18" s="59">
        <f t="shared" si="5"/>
        <v>331.87628425870304</v>
      </c>
      <c r="AN18" s="59">
        <f ca="1">AVERAGE(OFFSET($AM$3,0,0,'Données projet'!$E$10+1,1))-AVERAGE(OFFSET($H$3,0,0,'Données projet'!$E$10+1,1))</f>
        <v>408.246209980743</v>
      </c>
      <c r="AO18" s="59">
        <f t="shared" si="36"/>
        <v>394.10236303013903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32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0.13250000000000001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4.0786105117164171</v>
      </c>
      <c r="AW18" s="21">
        <f>EXP(-LN(2)/2)*AW17+(1-EXP(-LN(2)/2))/(LN(2)/2)*AQ18*AT18*VLOOKUP('Données projet'!$B$10,Paramètres!$A$1:$I$89,3,0)*0.475*44/12</f>
        <v>6.5941209007941382</v>
      </c>
      <c r="AX18" s="21">
        <f t="shared" si="6"/>
        <v>10.672731412510554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3.3603333333333336</v>
      </c>
      <c r="BD18" s="12">
        <f>IF('Données projet'!$A$88&gt;35,BD17+BC18-BL17,IF(A18&lt;'Données projet'!$A$88,$BA$205^A18,IF(A18='Données projet'!$A$88,'Données projet'!$B$88,BD17+BC18-BL17)))</f>
        <v>50.405000000000022</v>
      </c>
      <c r="BE18" s="13">
        <f>BD18*VLOOKUP('Données projet'!$B$11,Paramètres!$A$1:$I$89,3,0)*VLOOKUP('Données projet'!$B$11,Paramètres!$A$1:$I$89,5,0)</f>
        <v>51.11067000000002</v>
      </c>
      <c r="BF18" s="13">
        <f t="shared" si="37"/>
        <v>14.900227237706996</v>
      </c>
      <c r="BG18" s="20">
        <f t="shared" si="7"/>
        <v>114.96897935567303</v>
      </c>
      <c r="BH18" s="59">
        <f t="shared" si="8"/>
        <v>319.46572928855409</v>
      </c>
      <c r="BI18" s="59">
        <f ca="1">AVERAGE(OFFSET($BH$3,0,0,'Données projet'!$E$11+1,1))-AVERAGE(OFFSET($H$3,0,0,'Données projet'!$E$11+1,1))</f>
        <v>580.02848304986492</v>
      </c>
      <c r="BJ18" s="59">
        <f t="shared" si="38"/>
        <v>281.68891895586728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40</v>
      </c>
      <c r="BW18" s="12">
        <f>VLOOKUP(A18,'Données projet'!$A$113:$I$133,9,0)</f>
        <v>2.6666666666666665</v>
      </c>
      <c r="BX18" s="12">
        <f t="array" ref="BX18">INDEX(BW:BW,MIN(IF(ISNUMBER(BW18:BW214),ROW(BW18:BW214),"")))</f>
        <v>2.6666666666666665</v>
      </c>
      <c r="BY18" s="12">
        <f>IF('Données projet'!$A$114&gt;35,BY17+BX18-CG17,IF(A18&lt;'Données projet'!$A$114,$BV$205^A18,IF(A18='Données projet'!$A$114,'Données projet'!$B$114,BY17+BX18-CG17)))</f>
        <v>40</v>
      </c>
      <c r="BZ18" s="13">
        <f>BY18*VLOOKUP('Données projet'!$B$12,Paramètres!$A$1:$I$89,3,0)*VLOOKUP('Données projet'!$B$12,Paramètres!$A$1:$I$89,5,0)</f>
        <v>31.200000000000003</v>
      </c>
      <c r="CA18" s="13">
        <f t="shared" si="39"/>
        <v>9.6335657126419925</v>
      </c>
      <c r="CB18" s="20">
        <f t="shared" si="10"/>
        <v>71.118460282851473</v>
      </c>
      <c r="CC18" s="59">
        <f t="shared" si="11"/>
        <v>275.61521021573253</v>
      </c>
      <c r="CD18" s="59">
        <f ca="1">AVERAGE(OFFSET($CC$3,0,0,'Données projet'!$E$12+1,1))-AVERAGE(OFFSET($H$3,0,0,'Données projet'!$E$12+1,1))</f>
        <v>308.85018589589453</v>
      </c>
      <c r="CE18" s="59">
        <f t="shared" si="40"/>
        <v>302.59481222418219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0.1075</v>
      </c>
      <c r="CJ18" s="16">
        <f>IF(ISNA(VLOOKUP(A18,'Données projet'!$A$113:$I$133,7,0)),0%,VLOOKUP(A18,'Données projet'!$A$113:$I$133,7,0))</f>
        <v>0.25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0.27698616282609173</v>
      </c>
      <c r="CM18" s="21">
        <f>EXP(-LN(2)/2)*CM17+(1-EXP(-LN(2)/2))/(LN(2)/2)*CG18*CJ18*VLOOKUP('Données projet'!$B$12,Paramètres!$A$1:$I$89,3,0)*0.475*44/12</f>
        <v>0.55196324504415206</v>
      </c>
      <c r="CN18" s="22">
        <f t="shared" si="12"/>
        <v>0.82894940787024374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50</v>
      </c>
      <c r="CR18" s="12">
        <f>VLOOKUP(A18,'Données projet'!$A$139:$I$159,9,0)</f>
        <v>3.3333333333333335</v>
      </c>
      <c r="CS18" s="12">
        <f t="array" ref="CS18">INDEX(CR:CR,MIN(IF(ISNUMBER(CR18:CR214),ROW(CR18:CR214),"")))</f>
        <v>3.3333333333333335</v>
      </c>
      <c r="CT18" s="12">
        <f>IF('Données projet'!$A$140&gt;35,CT17+CS18-DB17,IF(A18&lt;'Données projet'!$A$140,$CQ$205^A18,IF(A18='Données projet'!$A$140,'Données projet'!$B$140,CT17+CS18-DB17)))</f>
        <v>50</v>
      </c>
      <c r="CU18" s="17">
        <f>CT18*VLOOKUP('Données projet'!$B$13,Paramètres!$A$1:$I$89,3,0)*VLOOKUP('Données projet'!$B$13,Paramètres!$A$1:$I$89,5,0)</f>
        <v>33.54</v>
      </c>
      <c r="CV18" s="13">
        <f t="shared" si="41"/>
        <v>10.269270252156668</v>
      </c>
      <c r="CW18" s="20">
        <f t="shared" si="13"/>
        <v>76.301145689172856</v>
      </c>
      <c r="CX18" s="59">
        <f t="shared" si="14"/>
        <v>280.79789562205389</v>
      </c>
      <c r="CY18" s="59">
        <f ca="1">AVERAGE(OFFSET($CX$3,0,0,'Données projet'!$E$13+1,1))-AVERAGE(OFFSET($H$3,0,0,'Données projet'!$E$13+1,1))</f>
        <v>335.73816489539837</v>
      </c>
      <c r="CZ18" s="59">
        <f t="shared" si="42"/>
        <v>254.09787950201044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10.256410256410255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0.13250000000000001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1.0037789148569478</v>
      </c>
      <c r="DH18" s="21">
        <f>EXP(-LN(2)/2)*DH17+(1-EXP(-LN(2)/2))/(LN(2)/2)*DB18*DE18*VLOOKUP('Données projet'!$B$13,Paramètres!$A$1:$I$89,3,0)*0.475*44/12</f>
        <v>1.6228662931212676</v>
      </c>
      <c r="DI18" s="22">
        <f t="shared" si="15"/>
        <v>2.6266452079782154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4.016578947368421</v>
      </c>
      <c r="DO18" s="12">
        <f>IF('Données projet'!$A$166&gt;35,DO17+DN18-DW17,IF(A18&lt;'Données projet'!$A$166,$DL$205^A18,IF(A18='Données projet'!$A$166,'Données projet'!$B$166,DO17+DN18-DW17)))</f>
        <v>60.248684210526335</v>
      </c>
      <c r="DP18" s="17">
        <f>DO18*VLOOKUP('Données projet'!$B$14,Paramètres!$A$1:$I$89,3,0)*VLOOKUP('Données projet'!$B$14,Paramètres!$A$1:$I$89,5,0)</f>
        <v>58.272527368421073</v>
      </c>
      <c r="DQ18" s="13">
        <f t="shared" si="43"/>
        <v>16.730769913929716</v>
      </c>
      <c r="DR18" s="20">
        <f t="shared" si="16"/>
        <v>130.63074276676096</v>
      </c>
      <c r="DS18" s="59">
        <f t="shared" si="17"/>
        <v>335.127492699642</v>
      </c>
      <c r="DT18" s="59">
        <f ca="1">AVERAGE(OFFSET($DS$3,0,0,'Données projet'!$E$14+1,1))-AVERAGE(OFFSET($H$3,0,0,'Données projet'!$E$14+1,1))</f>
        <v>493.03862850474161</v>
      </c>
      <c r="DU18" s="59">
        <f t="shared" si="44"/>
        <v>312.51819065560528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4.016578947368421</v>
      </c>
      <c r="EJ18" s="12">
        <f>IF('Données projet'!$A$192&gt;35,EJ17+EI18-ER17,IF(A18&lt;'Données projet'!$A$192,$EG$205^A18,IF(A18='Données projet'!$A$192,'Données projet'!$B$192,EJ17+EI18-ER17)))</f>
        <v>60.248684210526335</v>
      </c>
      <c r="EK18" s="17">
        <f>EJ18*VLOOKUP('Données projet'!$B$15,Paramètres!$A$1:$I$89,3,0)*VLOOKUP('Données projet'!$B$15,Paramètres!$A$1:$I$89,5,0)</f>
        <v>64.851683684210556</v>
      </c>
      <c r="EL18" s="13">
        <f t="shared" si="45"/>
        <v>18.389320688150931</v>
      </c>
      <c r="EM18" s="20">
        <f t="shared" si="19"/>
        <v>144.97808261519626</v>
      </c>
      <c r="EN18" s="59">
        <f t="shared" si="20"/>
        <v>349.4748325480773</v>
      </c>
      <c r="EO18" s="59">
        <f ca="1">AVERAGE(OFFSET($EN$3,0,0,'Données projet'!$E$15+1,1))-AVERAGE(OFFSET($H$3,0,0,'Données projet'!$E$15+1,1))</f>
        <v>539.72194201710272</v>
      </c>
      <c r="EP18" s="59">
        <f t="shared" si="46"/>
        <v>340.76505385159362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>
        <f>VLOOKUP(A18,'Données projet'!$A$217:$I$237,2,0)</f>
        <v>65</v>
      </c>
      <c r="FC18" s="12">
        <f>VLOOKUP(A18,'Données projet'!$A$217:$I$237,9,0)</f>
        <v>4.333333333333333</v>
      </c>
      <c r="FD18" s="12">
        <f t="array" ref="FD18">INDEX(FC:FC,MIN(IF(ISNUMBER(FC18:FC214),ROW(FC18:FC214),"")))</f>
        <v>4.333333333333333</v>
      </c>
      <c r="FE18" s="12">
        <f>IF('Données projet'!$A$218&gt;35,FE17+FD18-FM17,IF(A18&lt;'Données projet'!$A$218,$FB$205^A18,IF(A18='Données projet'!$A$218,'Données projet'!$B$218,FE17+FD18-FM17)))</f>
        <v>65</v>
      </c>
      <c r="FF18" s="17">
        <f>FE18*VLOOKUP('Données projet'!$B$16,Paramètres!$A$1:$I$89,3,0)*VLOOKUP('Données projet'!$B$16,Paramètres!$A$1:$I$89,5,0)</f>
        <v>52.728000000000009</v>
      </c>
      <c r="FG18" s="13">
        <f t="shared" si="47"/>
        <v>15.316084592505286</v>
      </c>
      <c r="FH18" s="20">
        <f t="shared" si="22"/>
        <v>118.51011399861339</v>
      </c>
      <c r="FI18" s="59">
        <f t="shared" si="23"/>
        <v>323.00686393149442</v>
      </c>
      <c r="FJ18" s="59">
        <f ca="1">AVERAGE(OFFSET($FI$3,0,0,'Données projet'!$E$16+1,1))-AVERAGE(OFFSET($H$3,0,0,'Données projet'!$E$16+1,1))</f>
        <v>383.47860767209028</v>
      </c>
      <c r="FK18" s="59">
        <f t="shared" si="48"/>
        <v>370.49129421395628</v>
      </c>
      <c r="FL18" s="15">
        <f>IF(ISNA(VLOOKUP(A18,'Données projet'!$A$217:$I$237,3,0)),0,VLOOKUP(A18,'Données projet'!$A$217:$I$237,3,0))</f>
        <v>1</v>
      </c>
      <c r="FM18" s="15">
        <f>IF(ISNA(VLOOKUP(A18,'Données projet'!$A$217:$I$237,4,0)),0,VLOOKUP(A18,'Données projet'!$A$217:$I$237,4,0))</f>
        <v>32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0.13250000000000001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3.7872811894509582</v>
      </c>
      <c r="FS18" s="21">
        <f>EXP(-LN(2)/2)*FS17+(1-EXP(-LN(2)/2))/(LN(2)/2)*FM18*FP18*VLOOKUP('Données projet'!$B$16,Paramètres!$A$1:$I$89,3,0)*0.475*44/12</f>
        <v>6.1231122650231278</v>
      </c>
      <c r="FT18" s="22">
        <f t="shared" si="24"/>
        <v>9.9103934544740859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3.3603333333333336</v>
      </c>
      <c r="FZ18" s="12">
        <f>IF('Données projet'!$A$244&gt;35,FZ17+FY18-GH17,IF(A18&lt;'Données projet'!$A$244,$FW$205^A18,IF(A18='Données projet'!$A$244,'Données projet'!$B$244,FZ17+FY18-GH17)))</f>
        <v>50.405000000000022</v>
      </c>
      <c r="GA18" s="17">
        <f>FZ18*VLOOKUP('Données projet'!$B$17,Paramètres!$A$1:$I$89,3,0)*VLOOKUP('Données projet'!$B$17,Paramètres!$A$1:$I$89,5,0)</f>
        <v>57.401214000000024</v>
      </c>
      <c r="GB18" s="13">
        <f t="shared" si="49"/>
        <v>16.509530730966755</v>
      </c>
      <c r="GC18" s="20">
        <f t="shared" si="25"/>
        <v>128.7278804064338</v>
      </c>
      <c r="GD18" s="59">
        <f t="shared" si="26"/>
        <v>333.22463033931484</v>
      </c>
      <c r="GE18" s="59">
        <f ca="1">AVERAGE(OFFSET($GD$3,0,0,'Données projet'!$E$17+1,1))-AVERAGE(OFFSET($H$3,0,0,'Données projet'!$E$17+1,1))</f>
        <v>640.05156427113661</v>
      </c>
      <c r="GF18" s="59">
        <f t="shared" si="50"/>
        <v>308.77220155372902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4.9119354838709679</v>
      </c>
      <c r="N19" s="13">
        <f>IF('Données projet'!$A$36&gt;35,N18+M19-V18,IF(A19&lt;'Données projet'!$A$36,$K$205^A19,IF(A19='Données projet'!$A$36,'Données projet'!$B$36,N18+M19-V18)))</f>
        <v>13.381679717517972</v>
      </c>
      <c r="O19" s="13">
        <f>N19*VLOOKUP('Données projet'!$B$9,Paramètres!$A$1:$I$89,3,0)*VLOOKUP('Données projet'!$B$9,Paramètres!$A$1:$I$89,5,0)</f>
        <v>11.272726994037141</v>
      </c>
      <c r="P19" s="13">
        <f t="shared" si="33"/>
        <v>3.9185453724502666</v>
      </c>
      <c r="Q19" s="20">
        <f t="shared" si="2"/>
        <v>26.458132704965564</v>
      </c>
      <c r="R19" s="59">
        <f t="shared" si="0"/>
        <v>233.40017862707964</v>
      </c>
      <c r="S19" s="59">
        <f ca="1">AVERAGE(OFFSET($R$3,0,0,'Données projet'!$E$9+1,1))-AVERAGE(OFFSET($H$3,0,0,'Données projet'!$E$9+1,1))</f>
        <v>456.35333554128226</v>
      </c>
      <c r="T19" s="59">
        <f t="shared" si="34"/>
        <v>296.4517290984877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13.8</v>
      </c>
      <c r="AI19" s="13">
        <f>IF('Données projet'!$A$62&gt;35,AI18+AH19-AQ18,IF(A19&lt;'Données projet'!$A$62,$AF$205^A19,IF(A19='Données projet'!$A$62,'Données projet'!$B$62,AI18+AH19-AQ18)))</f>
        <v>46.8</v>
      </c>
      <c r="AJ19" s="13">
        <f>AI19*VLOOKUP('Données projet'!$B$10,Paramètres!$A$1:$I$89,3,0)*VLOOKUP('Données projet'!$B$10,Paramètres!$A$1:$I$89,5,0)</f>
        <v>40.884480000000003</v>
      </c>
      <c r="AK19" s="13">
        <f t="shared" si="35"/>
        <v>12.23277918777527</v>
      </c>
      <c r="AL19" s="20">
        <f t="shared" si="4"/>
        <v>92.512559752041952</v>
      </c>
      <c r="AM19" s="59">
        <f t="shared" si="5"/>
        <v>299.45460567415603</v>
      </c>
      <c r="AN19" s="59">
        <f ca="1">AVERAGE(OFFSET($AM$3,0,0,'Données projet'!$E$10+1,1))-AVERAGE(OFFSET($H$3,0,0,'Données projet'!$E$10+1,1))</f>
        <v>408.246209980743</v>
      </c>
      <c r="AO19" s="59">
        <f t="shared" si="36"/>
        <v>394.10236303013903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3.9670806927887265</v>
      </c>
      <c r="AW19" s="21">
        <f>EXP(-LN(2)/2)*AW18+(1-EXP(-LN(2)/2))/(LN(2)/2)*AQ19*AT19*VLOOKUP('Données projet'!$B$10,Paramètres!$A$1:$I$89,3,0)*0.475*44/12</f>
        <v>4.6627476049154808</v>
      </c>
      <c r="AX19" s="21">
        <f t="shared" si="6"/>
        <v>8.6298282977042078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3.3603333333333336</v>
      </c>
      <c r="BD19" s="12">
        <f>IF('Données projet'!$A$88&gt;35,BD18+BC19-BL18,IF(A19&lt;'Données projet'!$A$88,$BA$205^A19,IF(A19='Données projet'!$A$88,'Données projet'!$B$88,BD18+BC19-BL18)))</f>
        <v>53.765333333333359</v>
      </c>
      <c r="BE19" s="13">
        <f>BD19*VLOOKUP('Données projet'!$B$11,Paramètres!$A$1:$I$89,3,0)*VLOOKUP('Données projet'!$B$11,Paramètres!$A$1:$I$89,5,0)</f>
        <v>54.518048000000029</v>
      </c>
      <c r="BF19" s="13">
        <f t="shared" si="37"/>
        <v>15.774626019217196</v>
      </c>
      <c r="BG19" s="20">
        <f t="shared" si="7"/>
        <v>122.42640725013666</v>
      </c>
      <c r="BH19" s="59">
        <f t="shared" si="8"/>
        <v>329.36845317225072</v>
      </c>
      <c r="BI19" s="59">
        <f ca="1">AVERAGE(OFFSET($BH$3,0,0,'Données projet'!$E$11+1,1))-AVERAGE(OFFSET($H$3,0,0,'Données projet'!$E$11+1,1))</f>
        <v>580.02848304986492</v>
      </c>
      <c r="BJ19" s="59">
        <f t="shared" si="38"/>
        <v>281.68891895586728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9.6</v>
      </c>
      <c r="BY19" s="12">
        <f>IF('Données projet'!$A$114&gt;35,BY18+BX19-CG18,IF(A19&lt;'Données projet'!$A$114,$BV$205^A19,IF(A19='Données projet'!$A$114,'Données projet'!$B$114,BY18+BX19-CG18)))</f>
        <v>46.6</v>
      </c>
      <c r="BZ19" s="13">
        <f>BY19*VLOOKUP('Données projet'!$B$12,Paramètres!$A$1:$I$89,3,0)*VLOOKUP('Données projet'!$B$12,Paramètres!$A$1:$I$89,5,0)</f>
        <v>36.347999999999999</v>
      </c>
      <c r="CA19" s="13">
        <f t="shared" si="39"/>
        <v>11.025356771848859</v>
      </c>
      <c r="CB19" s="20">
        <f t="shared" si="10"/>
        <v>82.508596377636763</v>
      </c>
      <c r="CC19" s="59">
        <f t="shared" si="11"/>
        <v>289.45064229975083</v>
      </c>
      <c r="CD19" s="59">
        <f ca="1">AVERAGE(OFFSET($CC$3,0,0,'Données projet'!$E$12+1,1))-AVERAGE(OFFSET($H$3,0,0,'Données projet'!$E$12+1,1))</f>
        <v>308.85018589589453</v>
      </c>
      <c r="CE19" s="59">
        <f t="shared" si="40"/>
        <v>302.59481222418219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0.269411961637543</v>
      </c>
      <c r="CM19" s="21">
        <f>EXP(-LN(2)/2)*CM18+(1-EXP(-LN(2)/2))/(LN(2)/2)*CG19*CJ19*VLOOKUP('Données projet'!$B$12,Paramètres!$A$1:$I$89,3,0)*0.475*44/12</f>
        <v>0.390296953536452</v>
      </c>
      <c r="CN19" s="22">
        <f t="shared" si="12"/>
        <v>0.65970891517399499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8.2051282051282026</v>
      </c>
      <c r="CT19" s="12">
        <f>IF('Données projet'!$A$140&gt;35,CT18+CS19-DB18,IF(A19&lt;'Données projet'!$A$140,$CQ$205^A19,IF(A19='Données projet'!$A$140,'Données projet'!$B$140,CT18+CS19-DB18)))</f>
        <v>47.948717948717949</v>
      </c>
      <c r="CU19" s="17">
        <f>CT19*VLOOKUP('Données projet'!$B$13,Paramètres!$A$1:$I$89,3,0)*VLOOKUP('Données projet'!$B$13,Paramètres!$A$1:$I$89,5,0)</f>
        <v>32.164000000000001</v>
      </c>
      <c r="CV19" s="13">
        <f t="shared" si="41"/>
        <v>9.8961038488351694</v>
      </c>
      <c r="CW19" s="20">
        <f t="shared" si="13"/>
        <v>73.254680870054571</v>
      </c>
      <c r="CX19" s="59">
        <f t="shared" si="14"/>
        <v>280.19672679216865</v>
      </c>
      <c r="CY19" s="59">
        <f ca="1">AVERAGE(OFFSET($CX$3,0,0,'Données projet'!$E$13+1,1))-AVERAGE(OFFSET($H$3,0,0,'Données projet'!$E$13+1,1))</f>
        <v>335.73816489539837</v>
      </c>
      <c r="CZ19" s="59">
        <f t="shared" si="42"/>
        <v>254.09787950201044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0.97633052764374562</v>
      </c>
      <c r="DH19" s="21">
        <f>EXP(-LN(2)/2)*DH18+(1-EXP(-LN(2)/2))/(LN(2)/2)*DB19*DE19*VLOOKUP('Données projet'!$B$13,Paramètres!$A$1:$I$89,3,0)*0.475*44/12</f>
        <v>1.1475397608251237</v>
      </c>
      <c r="DI19" s="22">
        <f t="shared" si="15"/>
        <v>2.1238702884688694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4.016578947368421</v>
      </c>
      <c r="DO19" s="12">
        <f>IF('Données projet'!$A$166&gt;35,DO18+DN19-DW18,IF(A19&lt;'Données projet'!$A$166,$DL$205^A19,IF(A19='Données projet'!$A$166,'Données projet'!$B$166,DO18+DN19-DW18)))</f>
        <v>64.265263157894751</v>
      </c>
      <c r="DP19" s="17">
        <f>DO19*VLOOKUP('Données projet'!$B$14,Paramètres!$A$1:$I$89,3,0)*VLOOKUP('Données projet'!$B$14,Paramètres!$A$1:$I$89,5,0)</f>
        <v>62.157362526315801</v>
      </c>
      <c r="DQ19" s="13">
        <f t="shared" si="43"/>
        <v>17.712591505847861</v>
      </c>
      <c r="DR19" s="20">
        <f t="shared" si="16"/>
        <v>139.10683660601836</v>
      </c>
      <c r="DS19" s="59">
        <f t="shared" si="17"/>
        <v>346.04888252813242</v>
      </c>
      <c r="DT19" s="59">
        <f ca="1">AVERAGE(OFFSET($DS$3,0,0,'Données projet'!$E$14+1,1))-AVERAGE(OFFSET($H$3,0,0,'Données projet'!$E$14+1,1))</f>
        <v>493.03862850474161</v>
      </c>
      <c r="DU19" s="59">
        <f t="shared" si="44"/>
        <v>312.51819065560528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4.016578947368421</v>
      </c>
      <c r="EJ19" s="12">
        <f>IF('Données projet'!$A$192&gt;35,EJ18+EI19-ER18,IF(A19&lt;'Données projet'!$A$192,$EG$205^A19,IF(A19='Données projet'!$A$192,'Données projet'!$B$192,EJ18+EI19-ER18)))</f>
        <v>64.265263157894751</v>
      </c>
      <c r="EK19" s="17">
        <f>EJ19*VLOOKUP('Données projet'!$B$15,Paramètres!$A$1:$I$89,3,0)*VLOOKUP('Données projet'!$B$15,Paramètres!$A$1:$I$89,5,0)</f>
        <v>69.175129263157913</v>
      </c>
      <c r="EL19" s="13">
        <f t="shared" si="45"/>
        <v>19.468471988731622</v>
      </c>
      <c r="EM19" s="20">
        <f t="shared" si="19"/>
        <v>154.3876055137076</v>
      </c>
      <c r="EN19" s="59">
        <f t="shared" si="20"/>
        <v>361.32965143582169</v>
      </c>
      <c r="EO19" s="59">
        <f ca="1">AVERAGE(OFFSET($EN$3,0,0,'Données projet'!$E$15+1,1))-AVERAGE(OFFSET($H$3,0,0,'Données projet'!$E$15+1,1))</f>
        <v>539.72194201710272</v>
      </c>
      <c r="EP19" s="59">
        <f t="shared" si="46"/>
        <v>340.76505385159362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13.8</v>
      </c>
      <c r="FE19" s="12">
        <f>IF('Données projet'!$A$218&gt;35,FE18+FD19-FM18,IF(A19&lt;'Données projet'!$A$218,$FB$205^A19,IF(A19='Données projet'!$A$218,'Données projet'!$B$218,FE18+FD19-FM18)))</f>
        <v>46.8</v>
      </c>
      <c r="FF19" s="17">
        <f>FE19*VLOOKUP('Données projet'!$B$16,Paramètres!$A$1:$I$89,3,0)*VLOOKUP('Données projet'!$B$16,Paramètres!$A$1:$I$89,5,0)</f>
        <v>37.96416</v>
      </c>
      <c r="FG19" s="13">
        <f t="shared" si="47"/>
        <v>11.457417801534429</v>
      </c>
      <c r="FH19" s="20">
        <f t="shared" si="22"/>
        <v>86.075914671005776</v>
      </c>
      <c r="FI19" s="59">
        <f t="shared" si="23"/>
        <v>293.01796059311982</v>
      </c>
      <c r="FJ19" s="59">
        <f ca="1">AVERAGE(OFFSET($FI$3,0,0,'Données projet'!$E$16+1,1))-AVERAGE(OFFSET($H$3,0,0,'Données projet'!$E$16+1,1))</f>
        <v>383.47860767209028</v>
      </c>
      <c r="FK19" s="59">
        <f t="shared" si="48"/>
        <v>370.49129421395628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3.68371778616096</v>
      </c>
      <c r="FS19" s="21">
        <f>EXP(-LN(2)/2)*FS18+(1-EXP(-LN(2)/2))/(LN(2)/2)*FM19*FP19*VLOOKUP('Données projet'!$B$16,Paramètres!$A$1:$I$89,3,0)*0.475*44/12</f>
        <v>4.3296942045643743</v>
      </c>
      <c r="FT19" s="22">
        <f t="shared" si="24"/>
        <v>8.0134119907253343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3.3603333333333336</v>
      </c>
      <c r="FZ19" s="12">
        <f>IF('Données projet'!$A$244&gt;35,FZ18+FY19-GH18,IF(A19&lt;'Données projet'!$A$244,$FW$205^A19,IF(A19='Données projet'!$A$244,'Données projet'!$B$244,FZ18+FY19-GH18)))</f>
        <v>53.765333333333359</v>
      </c>
      <c r="GA19" s="17">
        <f>FZ19*VLOOKUP('Données projet'!$B$17,Paramètres!$A$1:$I$89,3,0)*VLOOKUP('Données projet'!$B$17,Paramètres!$A$1:$I$89,5,0)</f>
        <v>61.227961600000029</v>
      </c>
      <c r="GB19" s="13">
        <f t="shared" si="49"/>
        <v>17.478369214042406</v>
      </c>
      <c r="GC19" s="20">
        <f t="shared" si="25"/>
        <v>137.08019283445722</v>
      </c>
      <c r="GD19" s="59">
        <f t="shared" si="26"/>
        <v>344.02223875657126</v>
      </c>
      <c r="GE19" s="59">
        <f ca="1">AVERAGE(OFFSET($GD$3,0,0,'Données projet'!$E$17+1,1))-AVERAGE(OFFSET($H$3,0,0,'Données projet'!$E$17+1,1))</f>
        <v>640.05156427113661</v>
      </c>
      <c r="GF19" s="59">
        <f t="shared" si="50"/>
        <v>308.77220155372902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4.9119354838709679</v>
      </c>
      <c r="N20" s="13">
        <f>IF('Données projet'!$A$36&gt;35,N19+M20-V19,IF(A20&lt;'Données projet'!$A$36,$K$205^A20,IF(A20='Données projet'!$A$36,'Données projet'!$B$36,N19+M20-V19)))</f>
        <v>15.736840589218154</v>
      </c>
      <c r="O20" s="13">
        <f>N20*VLOOKUP('Données projet'!$B$9,Paramètres!$A$1:$I$89,3,0)*VLOOKUP('Données projet'!$B$9,Paramètres!$A$1:$I$89,5,0)</f>
        <v>13.256714512357373</v>
      </c>
      <c r="P20" s="13">
        <f t="shared" si="33"/>
        <v>4.5220611349087303</v>
      </c>
      <c r="Q20" s="20">
        <f t="shared" si="2"/>
        <v>30.964700918988459</v>
      </c>
      <c r="R20" s="59">
        <f t="shared" si="0"/>
        <v>240.33082523486118</v>
      </c>
      <c r="S20" s="59">
        <f ca="1">AVERAGE(OFFSET($R$3,0,0,'Données projet'!$E$9+1,1))-AVERAGE(OFFSET($H$3,0,0,'Données projet'!$E$9+1,1))</f>
        <v>456.35333554128226</v>
      </c>
      <c r="T20" s="59">
        <f t="shared" si="34"/>
        <v>296.4517290984877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13.8</v>
      </c>
      <c r="AI20" s="13">
        <f>IF('Données projet'!$A$62&gt;35,AI19+AH20-AQ19,IF(A20&lt;'Données projet'!$A$62,$AF$205^A20,IF(A20='Données projet'!$A$62,'Données projet'!$B$62,AI19+AH20-AQ19)))</f>
        <v>60.599999999999994</v>
      </c>
      <c r="AJ20" s="13">
        <f>AI20*VLOOKUP('Données projet'!$B$10,Paramètres!$A$1:$I$89,3,0)*VLOOKUP('Données projet'!$B$10,Paramètres!$A$1:$I$89,5,0)</f>
        <v>52.940159999999999</v>
      </c>
      <c r="AK20" s="13">
        <f t="shared" si="35"/>
        <v>15.37052534377243</v>
      </c>
      <c r="AL20" s="20">
        <f t="shared" si="4"/>
        <v>118.97444364040366</v>
      </c>
      <c r="AM20" s="59">
        <f t="shared" si="5"/>
        <v>328.3405679562764</v>
      </c>
      <c r="AN20" s="59">
        <f ca="1">AVERAGE(OFFSET($AM$3,0,0,'Données projet'!$E$10+1,1))-AVERAGE(OFFSET($H$3,0,0,'Données projet'!$E$10+1,1))</f>
        <v>408.246209980743</v>
      </c>
      <c r="AO20" s="59">
        <f t="shared" si="36"/>
        <v>394.10236303013903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3.858600662624712</v>
      </c>
      <c r="AW20" s="21">
        <f>EXP(-LN(2)/2)*AW19+(1-EXP(-LN(2)/2))/(LN(2)/2)*AQ20*AT20*VLOOKUP('Données projet'!$B$10,Paramètres!$A$1:$I$89,3,0)*0.475*44/12</f>
        <v>3.2970604503970695</v>
      </c>
      <c r="AX20" s="21">
        <f t="shared" si="6"/>
        <v>7.1556611130217815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3.3603333333333336</v>
      </c>
      <c r="BD20" s="12">
        <f>IF('Données projet'!$A$88&gt;35,BD19+BC20-BL19,IF(A20&lt;'Données projet'!$A$88,$BA$205^A20,IF(A20='Données projet'!$A$88,'Données projet'!$B$88,BD19+BC20-BL19)))</f>
        <v>57.125666666666696</v>
      </c>
      <c r="BE20" s="13">
        <f>BD20*VLOOKUP('Données projet'!$B$11,Paramètres!$A$1:$I$89,3,0)*VLOOKUP('Données projet'!$B$11,Paramètres!$A$1:$I$89,5,0)</f>
        <v>57.925426000000037</v>
      </c>
      <c r="BF20" s="13">
        <f t="shared" si="37"/>
        <v>16.64268227480698</v>
      </c>
      <c r="BG20" s="20">
        <f t="shared" si="7"/>
        <v>129.87278857862222</v>
      </c>
      <c r="BH20" s="59">
        <f t="shared" si="8"/>
        <v>339.23891289449494</v>
      </c>
      <c r="BI20" s="59">
        <f ca="1">AVERAGE(OFFSET($BH$3,0,0,'Données projet'!$E$11+1,1))-AVERAGE(OFFSET($H$3,0,0,'Données projet'!$E$11+1,1))</f>
        <v>580.02848304986492</v>
      </c>
      <c r="BJ20" s="59">
        <f t="shared" si="38"/>
        <v>281.68891895586728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9.6</v>
      </c>
      <c r="BY20" s="12">
        <f>IF('Données projet'!$A$114&gt;35,BY19+BX20-CG19,IF(A20&lt;'Données projet'!$A$114,$BV$205^A20,IF(A20='Données projet'!$A$114,'Données projet'!$B$114,BY19+BX20-CG19)))</f>
        <v>56.2</v>
      </c>
      <c r="BZ20" s="13">
        <f>BY20*VLOOKUP('Données projet'!$B$12,Paramètres!$A$1:$I$89,3,0)*VLOOKUP('Données projet'!$B$12,Paramètres!$A$1:$I$89,5,0)</f>
        <v>43.836000000000006</v>
      </c>
      <c r="CA20" s="13">
        <f t="shared" si="39"/>
        <v>13.009897179721728</v>
      </c>
      <c r="CB20" s="20">
        <f t="shared" si="10"/>
        <v>99.006604254682017</v>
      </c>
      <c r="CC20" s="59">
        <f t="shared" si="11"/>
        <v>308.37272857055473</v>
      </c>
      <c r="CD20" s="59">
        <f ca="1">AVERAGE(OFFSET($CC$3,0,0,'Données projet'!$E$12+1,1))-AVERAGE(OFFSET($H$3,0,0,'Données projet'!$E$12+1,1))</f>
        <v>308.85018589589453</v>
      </c>
      <c r="CE20" s="59">
        <f t="shared" si="40"/>
        <v>302.59481222418219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0.26204487737880505</v>
      </c>
      <c r="CM20" s="21">
        <f>EXP(-LN(2)/2)*CM19+(1-EXP(-LN(2)/2))/(LN(2)/2)*CG20*CJ20*VLOOKUP('Données projet'!$B$12,Paramètres!$A$1:$I$89,3,0)*0.475*44/12</f>
        <v>0.27598162252207609</v>
      </c>
      <c r="CN20" s="22">
        <f t="shared" si="12"/>
        <v>0.53802649990088114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8.2051282051282026</v>
      </c>
      <c r="CT20" s="12">
        <f>IF('Données projet'!$A$140&gt;35,CT19+CS20-DB19,IF(A20&lt;'Données projet'!$A$140,$CQ$205^A20,IF(A20='Données projet'!$A$140,'Données projet'!$B$140,CT19+CS20-DB19)))</f>
        <v>56.153846153846153</v>
      </c>
      <c r="CU20" s="17">
        <f>CT20*VLOOKUP('Données projet'!$B$13,Paramètres!$A$1:$I$89,3,0)*VLOOKUP('Données projet'!$B$13,Paramètres!$A$1:$I$89,5,0)</f>
        <v>37.667999999999999</v>
      </c>
      <c r="CV20" s="13">
        <f t="shared" si="41"/>
        <v>11.378405853001878</v>
      </c>
      <c r="CW20" s="20">
        <f t="shared" si="13"/>
        <v>85.422490193978277</v>
      </c>
      <c r="CX20" s="59">
        <f t="shared" si="14"/>
        <v>294.78861450985102</v>
      </c>
      <c r="CY20" s="59">
        <f ca="1">AVERAGE(OFFSET($CX$3,0,0,'Données projet'!$E$13+1,1))-AVERAGE(OFFSET($H$3,0,0,'Données projet'!$E$13+1,1))</f>
        <v>335.73816489539837</v>
      </c>
      <c r="CZ20" s="59">
        <f t="shared" si="42"/>
        <v>254.09787950201044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0.9496327180223364</v>
      </c>
      <c r="DH20" s="21">
        <f>EXP(-LN(2)/2)*DH19+(1-EXP(-LN(2)/2))/(LN(2)/2)*DB20*DE20*VLOOKUP('Données projet'!$B$13,Paramètres!$A$1:$I$89,3,0)*0.475*44/12</f>
        <v>0.81143314656063381</v>
      </c>
      <c r="DI20" s="22">
        <f t="shared" si="15"/>
        <v>1.7610658645829702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4.016578947368421</v>
      </c>
      <c r="DO20" s="12">
        <f>IF('Données projet'!$A$166&gt;35,DO19+DN20-DW19,IF(A20&lt;'Données projet'!$A$166,$DL$205^A20,IF(A20='Données projet'!$A$166,'Données projet'!$B$166,DO19+DN20-DW19)))</f>
        <v>68.281842105263166</v>
      </c>
      <c r="DP20" s="17">
        <f>DO20*VLOOKUP('Données projet'!$B$14,Paramètres!$A$1:$I$89,3,0)*VLOOKUP('Données projet'!$B$14,Paramètres!$A$1:$I$89,5,0)</f>
        <v>66.042197684210535</v>
      </c>
      <c r="DQ20" s="13">
        <f t="shared" si="43"/>
        <v>18.687291371355062</v>
      </c>
      <c r="DR20" s="20">
        <f t="shared" si="16"/>
        <v>147.57052677177674</v>
      </c>
      <c r="DS20" s="59">
        <f t="shared" si="17"/>
        <v>356.93665108764947</v>
      </c>
      <c r="DT20" s="59">
        <f ca="1">AVERAGE(OFFSET($DS$3,0,0,'Données projet'!$E$14+1,1))-AVERAGE(OFFSET($H$3,0,0,'Données projet'!$E$14+1,1))</f>
        <v>493.03862850474161</v>
      </c>
      <c r="DU20" s="59">
        <f t="shared" si="44"/>
        <v>312.51819065560528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4.016578947368421</v>
      </c>
      <c r="EJ20" s="12">
        <f>IF('Données projet'!$A$192&gt;35,EJ19+EI20-ER19,IF(A20&lt;'Données projet'!$A$192,$EG$205^A20,IF(A20='Données projet'!$A$192,'Données projet'!$B$192,EJ19+EI20-ER19)))</f>
        <v>68.281842105263166</v>
      </c>
      <c r="EK20" s="17">
        <f>EJ20*VLOOKUP('Données projet'!$B$15,Paramètres!$A$1:$I$89,3,0)*VLOOKUP('Données projet'!$B$15,Paramètres!$A$1:$I$89,5,0)</f>
        <v>73.49857484210527</v>
      </c>
      <c r="EL20" s="13">
        <f t="shared" si="45"/>
        <v>20.53979557358269</v>
      </c>
      <c r="EM20" s="20">
        <f t="shared" si="19"/>
        <v>163.78349514065653</v>
      </c>
      <c r="EN20" s="59">
        <f t="shared" si="20"/>
        <v>373.14961945652925</v>
      </c>
      <c r="EO20" s="59">
        <f ca="1">AVERAGE(OFFSET($EN$3,0,0,'Données projet'!$E$15+1,1))-AVERAGE(OFFSET($H$3,0,0,'Données projet'!$E$15+1,1))</f>
        <v>539.72194201710272</v>
      </c>
      <c r="EP20" s="59">
        <f t="shared" si="46"/>
        <v>340.76505385159362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13.8</v>
      </c>
      <c r="FE20" s="12">
        <f>IF('Données projet'!$A$218&gt;35,FE19+FD20-FM19,IF(A20&lt;'Données projet'!$A$218,$FB$205^A20,IF(A20='Données projet'!$A$218,'Données projet'!$B$218,FE19+FD20-FM19)))</f>
        <v>60.599999999999994</v>
      </c>
      <c r="FF20" s="17">
        <f>FE20*VLOOKUP('Données projet'!$B$16,Paramètres!$A$1:$I$89,3,0)*VLOOKUP('Données projet'!$B$16,Paramètres!$A$1:$I$89,5,0)</f>
        <v>49.158719999999995</v>
      </c>
      <c r="FG20" s="13">
        <f t="shared" si="47"/>
        <v>14.396281334716242</v>
      </c>
      <c r="FH20" s="20">
        <f t="shared" si="22"/>
        <v>110.69162732463077</v>
      </c>
      <c r="FI20" s="59">
        <f t="shared" si="23"/>
        <v>320.05775164050351</v>
      </c>
      <c r="FJ20" s="59">
        <f ca="1">AVERAGE(OFFSET($FI$3,0,0,'Données projet'!$E$16+1,1))-AVERAGE(OFFSET($H$3,0,0,'Données projet'!$E$16+1,1))</f>
        <v>383.47860767209028</v>
      </c>
      <c r="FK20" s="59">
        <f t="shared" si="48"/>
        <v>370.49129421395628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3.5829863295800894</v>
      </c>
      <c r="FS20" s="21">
        <f>EXP(-LN(2)/2)*FS19+(1-EXP(-LN(2)/2))/(LN(2)/2)*FM20*FP20*VLOOKUP('Données projet'!$B$16,Paramètres!$A$1:$I$89,3,0)*0.475*44/12</f>
        <v>3.0615561325115643</v>
      </c>
      <c r="FT20" s="22">
        <f t="shared" si="24"/>
        <v>6.6445424620916533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3.3603333333333336</v>
      </c>
      <c r="FZ20" s="12">
        <f>IF('Données projet'!$A$244&gt;35,FZ19+FY20-GH19,IF(A20&lt;'Données projet'!$A$244,$FW$205^A20,IF(A20='Données projet'!$A$244,'Données projet'!$B$244,FZ19+FY20-GH19)))</f>
        <v>57.125666666666696</v>
      </c>
      <c r="GA20" s="17">
        <f>FZ20*VLOOKUP('Données projet'!$B$17,Paramètres!$A$1:$I$89,3,0)*VLOOKUP('Données projet'!$B$17,Paramètres!$A$1:$I$89,5,0)</f>
        <v>65.054709200000033</v>
      </c>
      <c r="GB20" s="13">
        <f t="shared" si="49"/>
        <v>18.440180144791182</v>
      </c>
      <c r="GC20" s="20">
        <f t="shared" si="25"/>
        <v>145.42026560884469</v>
      </c>
      <c r="GD20" s="59">
        <f t="shared" si="26"/>
        <v>354.78638992471741</v>
      </c>
      <c r="GE20" s="59">
        <f ca="1">AVERAGE(OFFSET($GD$3,0,0,'Données projet'!$E$17+1,1))-AVERAGE(OFFSET($H$3,0,0,'Données projet'!$E$17+1,1))</f>
        <v>640.05156427113661</v>
      </c>
      <c r="GF20" s="59">
        <f t="shared" si="50"/>
        <v>308.77220155372902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4.9119354838709679</v>
      </c>
      <c r="N21" s="13">
        <f>IF('Données projet'!$A$36&gt;35,N20+M21-V20,IF(A21&lt;'Données projet'!$A$36,$K$205^A21,IF(A21='Données projet'!$A$36,'Données projet'!$B$36,N20+M21-V20)))</f>
        <v>18.50650717684324</v>
      </c>
      <c r="O21" s="13">
        <f>N21*VLOOKUP('Données projet'!$B$9,Paramètres!$A$1:$I$89,3,0)*VLOOKUP('Données projet'!$B$9,Paramètres!$A$1:$I$89,5,0)</f>
        <v>15.589881645772746</v>
      </c>
      <c r="P21" s="13">
        <f t="shared" si="33"/>
        <v>5.2185275310632022</v>
      </c>
      <c r="Q21" s="20">
        <f t="shared" si="2"/>
        <v>36.241312649655946</v>
      </c>
      <c r="R21" s="59">
        <f t="shared" si="0"/>
        <v>248.01066584165906</v>
      </c>
      <c r="S21" s="59">
        <f ca="1">AVERAGE(OFFSET($R$3,0,0,'Données projet'!$E$9+1,1))-AVERAGE(OFFSET($H$3,0,0,'Données projet'!$E$9+1,1))</f>
        <v>456.35333554128226</v>
      </c>
      <c r="T21" s="59">
        <f t="shared" si="34"/>
        <v>296.4517290984877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13.8</v>
      </c>
      <c r="AI21" s="13">
        <f>IF('Données projet'!$A$62&gt;35,AI20+AH21-AQ20,IF(A21&lt;'Données projet'!$A$62,$AF$205^A21,IF(A21='Données projet'!$A$62,'Données projet'!$B$62,AI20+AH21-AQ20)))</f>
        <v>74.399999999999991</v>
      </c>
      <c r="AJ21" s="13">
        <f>AI21*VLOOKUP('Données projet'!$B$10,Paramètres!$A$1:$I$89,3,0)*VLOOKUP('Données projet'!$B$10,Paramètres!$A$1:$I$89,5,0)</f>
        <v>64.995840000000001</v>
      </c>
      <c r="AK21" s="13">
        <f t="shared" si="35"/>
        <v>18.425434860828894</v>
      </c>
      <c r="AL21" s="20">
        <f t="shared" si="4"/>
        <v>145.29205371594367</v>
      </c>
      <c r="AM21" s="59">
        <f t="shared" si="5"/>
        <v>357.06140690794678</v>
      </c>
      <c r="AN21" s="59">
        <f ca="1">AVERAGE(OFFSET($AM$3,0,0,'Données projet'!$E$10+1,1))-AVERAGE(OFFSET($H$3,0,0,'Données projet'!$E$10+1,1))</f>
        <v>408.246209980743</v>
      </c>
      <c r="AO21" s="59">
        <f t="shared" si="36"/>
        <v>394.10236303013903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3.7530870245902492</v>
      </c>
      <c r="AW21" s="21">
        <f>EXP(-LN(2)/2)*AW20+(1-EXP(-LN(2)/2))/(LN(2)/2)*AQ21*AT21*VLOOKUP('Données projet'!$B$10,Paramètres!$A$1:$I$89,3,0)*0.475*44/12</f>
        <v>2.3313738024577408</v>
      </c>
      <c r="AX21" s="21">
        <f t="shared" si="6"/>
        <v>6.0844608270479901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3.3603333333333336</v>
      </c>
      <c r="BD21" s="12">
        <f>IF('Données projet'!$A$88&gt;35,BD20+BC21-BL20,IF(A21&lt;'Données projet'!$A$88,$BA$205^A21,IF(A21='Données projet'!$A$88,'Données projet'!$B$88,BD20+BC21-BL20)))</f>
        <v>60.486000000000033</v>
      </c>
      <c r="BE21" s="13">
        <f>BD21*VLOOKUP('Données projet'!$B$11,Paramètres!$A$1:$I$89,3,0)*VLOOKUP('Données projet'!$B$11,Paramètres!$A$1:$I$89,5,0)</f>
        <v>61.332804000000031</v>
      </c>
      <c r="BF21" s="13">
        <f t="shared" si="37"/>
        <v>17.504811592326099</v>
      </c>
      <c r="BG21" s="20">
        <f t="shared" si="7"/>
        <v>137.30884715663467</v>
      </c>
      <c r="BH21" s="59">
        <f t="shared" si="8"/>
        <v>349.07820034863778</v>
      </c>
      <c r="BI21" s="59">
        <f ca="1">AVERAGE(OFFSET($BH$3,0,0,'Données projet'!$E$11+1,1))-AVERAGE(OFFSET($H$3,0,0,'Données projet'!$E$11+1,1))</f>
        <v>580.02848304986492</v>
      </c>
      <c r="BJ21" s="59">
        <f t="shared" si="38"/>
        <v>281.68891895586728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9.6</v>
      </c>
      <c r="BY21" s="12">
        <f>IF('Données projet'!$A$114&gt;35,BY20+BX21-CG20,IF(A21&lt;'Données projet'!$A$114,$BV$205^A21,IF(A21='Données projet'!$A$114,'Données projet'!$B$114,BY20+BX21-CG20)))</f>
        <v>65.8</v>
      </c>
      <c r="BZ21" s="13">
        <f>BY21*VLOOKUP('Données projet'!$B$12,Paramètres!$A$1:$I$89,3,0)*VLOOKUP('Données projet'!$B$12,Paramètres!$A$1:$I$89,5,0)</f>
        <v>51.323999999999998</v>
      </c>
      <c r="CA21" s="13">
        <f t="shared" si="39"/>
        <v>14.95516659950003</v>
      </c>
      <c r="CB21" s="20">
        <f t="shared" si="10"/>
        <v>115.43621516079588</v>
      </c>
      <c r="CC21" s="59">
        <f t="shared" si="11"/>
        <v>327.20556835279899</v>
      </c>
      <c r="CD21" s="59">
        <f ca="1">AVERAGE(OFFSET($CC$3,0,0,'Données projet'!$E$12+1,1))-AVERAGE(OFFSET($H$3,0,0,'Données projet'!$E$12+1,1))</f>
        <v>308.85018589589453</v>
      </c>
      <c r="CE21" s="59">
        <f t="shared" si="40"/>
        <v>302.59481222418219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0.25487924642654042</v>
      </c>
      <c r="CM21" s="21">
        <f>EXP(-LN(2)/2)*CM20+(1-EXP(-LN(2)/2))/(LN(2)/2)*CG21*CJ21*VLOOKUP('Données projet'!$B$12,Paramètres!$A$1:$I$89,3,0)*0.475*44/12</f>
        <v>0.19514847676822603</v>
      </c>
      <c r="CN21" s="22">
        <f t="shared" si="12"/>
        <v>0.45002772319476647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8.2051282051282026</v>
      </c>
      <c r="CT21" s="12">
        <f>IF('Données projet'!$A$140&gt;35,CT20+CS21-DB20,IF(A21&lt;'Données projet'!$A$140,$CQ$205^A21,IF(A21='Données projet'!$A$140,'Données projet'!$B$140,CT20+CS21-DB20)))</f>
        <v>64.358974358974351</v>
      </c>
      <c r="CU21" s="17">
        <f>CT21*VLOOKUP('Données projet'!$B$13,Paramètres!$A$1:$I$89,3,0)*VLOOKUP('Données projet'!$B$13,Paramètres!$A$1:$I$89,5,0)</f>
        <v>43.171999999999997</v>
      </c>
      <c r="CV21" s="13">
        <f t="shared" si="41"/>
        <v>12.835615554374531</v>
      </c>
      <c r="CW21" s="20">
        <f t="shared" si="13"/>
        <v>97.546597090535627</v>
      </c>
      <c r="CX21" s="59">
        <f t="shared" si="14"/>
        <v>309.31595028253872</v>
      </c>
      <c r="CY21" s="59">
        <f ca="1">AVERAGE(OFFSET($CX$3,0,0,'Données projet'!$E$13+1,1))-AVERAGE(OFFSET($H$3,0,0,'Données projet'!$E$13+1,1))</f>
        <v>335.73816489539837</v>
      </c>
      <c r="CZ21" s="59">
        <f t="shared" si="42"/>
        <v>254.09787950201044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0.92366496140900134</v>
      </c>
      <c r="DH21" s="21">
        <f>EXP(-LN(2)/2)*DH20+(1-EXP(-LN(2)/2))/(LN(2)/2)*DB21*DE21*VLOOKUP('Données projet'!$B$13,Paramètres!$A$1:$I$89,3,0)*0.475*44/12</f>
        <v>0.57376988041256183</v>
      </c>
      <c r="DI21" s="22">
        <f t="shared" si="15"/>
        <v>1.4974348418215633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4.016578947368421</v>
      </c>
      <c r="DO21" s="12">
        <f>IF('Données projet'!$A$166&gt;35,DO20+DN21-DW20,IF(A21&lt;'Données projet'!$A$166,$DL$205^A21,IF(A21='Données projet'!$A$166,'Données projet'!$B$166,DO20+DN21-DW20)))</f>
        <v>72.298421052631582</v>
      </c>
      <c r="DP21" s="17">
        <f>DO21*VLOOKUP('Données projet'!$B$14,Paramètres!$A$1:$I$89,3,0)*VLOOKUP('Données projet'!$B$14,Paramètres!$A$1:$I$89,5,0)</f>
        <v>69.927032842105277</v>
      </c>
      <c r="DQ21" s="13">
        <f t="shared" si="43"/>
        <v>19.655336154656336</v>
      </c>
      <c r="DR21" s="20">
        <f t="shared" si="16"/>
        <v>156.02262600269316</v>
      </c>
      <c r="DS21" s="59">
        <f t="shared" si="17"/>
        <v>367.7919791946963</v>
      </c>
      <c r="DT21" s="59">
        <f ca="1">AVERAGE(OFFSET($DS$3,0,0,'Données projet'!$E$14+1,1))-AVERAGE(OFFSET($H$3,0,0,'Données projet'!$E$14+1,1))</f>
        <v>493.03862850474161</v>
      </c>
      <c r="DU21" s="59">
        <f t="shared" si="44"/>
        <v>312.51819065560528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4.016578947368421</v>
      </c>
      <c r="EJ21" s="12">
        <f>IF('Données projet'!$A$192&gt;35,EJ20+EI21-ER20,IF(A21&lt;'Données projet'!$A$192,$EG$205^A21,IF(A21='Données projet'!$A$192,'Données projet'!$B$192,EJ20+EI21-ER20)))</f>
        <v>72.298421052631582</v>
      </c>
      <c r="EK21" s="17">
        <f>EJ21*VLOOKUP('Données projet'!$B$15,Paramètres!$A$1:$I$89,3,0)*VLOOKUP('Données projet'!$B$15,Paramètres!$A$1:$I$89,5,0)</f>
        <v>77.822020421052642</v>
      </c>
      <c r="EL21" s="13">
        <f t="shared" si="45"/>
        <v>21.603804346173444</v>
      </c>
      <c r="EM21" s="20">
        <f t="shared" si="19"/>
        <v>173.16664480291877</v>
      </c>
      <c r="EN21" s="59">
        <f t="shared" si="20"/>
        <v>384.93599799492188</v>
      </c>
      <c r="EO21" s="59">
        <f ca="1">AVERAGE(OFFSET($EN$3,0,0,'Données projet'!$E$15+1,1))-AVERAGE(OFFSET($H$3,0,0,'Données projet'!$E$15+1,1))</f>
        <v>539.72194201710272</v>
      </c>
      <c r="EP21" s="59">
        <f t="shared" si="46"/>
        <v>340.76505385159362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13.8</v>
      </c>
      <c r="FE21" s="12">
        <f>IF('Données projet'!$A$218&gt;35,FE20+FD21-FM20,IF(A21&lt;'Données projet'!$A$218,$FB$205^A21,IF(A21='Données projet'!$A$218,'Données projet'!$B$218,FE20+FD21-FM20)))</f>
        <v>74.399999999999991</v>
      </c>
      <c r="FF21" s="17">
        <f>FE21*VLOOKUP('Données projet'!$B$16,Paramètres!$A$1:$I$89,3,0)*VLOOKUP('Données projet'!$B$16,Paramètres!$A$1:$I$89,5,0)</f>
        <v>60.353279999999998</v>
      </c>
      <c r="FG21" s="13">
        <f t="shared" si="47"/>
        <v>17.257558739100197</v>
      </c>
      <c r="FH21" s="20">
        <f t="shared" si="22"/>
        <v>135.17221080393281</v>
      </c>
      <c r="FI21" s="59">
        <f t="shared" si="23"/>
        <v>346.94156399593589</v>
      </c>
      <c r="FJ21" s="59">
        <f ca="1">AVERAGE(OFFSET($FI$3,0,0,'Données projet'!$E$16+1,1))-AVERAGE(OFFSET($H$3,0,0,'Données projet'!$E$16+1,1))</f>
        <v>383.47860767209028</v>
      </c>
      <c r="FK21" s="59">
        <f t="shared" si="48"/>
        <v>370.49129421395628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3.4850093799766597</v>
      </c>
      <c r="FS21" s="21">
        <f>EXP(-LN(2)/2)*FS20+(1-EXP(-LN(2)/2))/(LN(2)/2)*FM21*FP21*VLOOKUP('Données projet'!$B$16,Paramètres!$A$1:$I$89,3,0)*0.475*44/12</f>
        <v>2.1648471022821876</v>
      </c>
      <c r="FT21" s="22">
        <f t="shared" si="24"/>
        <v>5.6498564822588477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3.3603333333333336</v>
      </c>
      <c r="FZ21" s="12">
        <f>IF('Données projet'!$A$244&gt;35,FZ20+FY21-GH20,IF(A21&lt;'Données projet'!$A$244,$FW$205^A21,IF(A21='Données projet'!$A$244,'Données projet'!$B$244,FZ20+FY21-GH20)))</f>
        <v>60.486000000000033</v>
      </c>
      <c r="GA21" s="17">
        <f>FZ21*VLOOKUP('Données projet'!$B$17,Paramètres!$A$1:$I$89,3,0)*VLOOKUP('Données projet'!$B$17,Paramètres!$A$1:$I$89,5,0)</f>
        <v>68.881456800000038</v>
      </c>
      <c r="GB21" s="13">
        <f t="shared" si="49"/>
        <v>19.395423996752726</v>
      </c>
      <c r="GC21" s="20">
        <f t="shared" si="25"/>
        <v>153.74890072101104</v>
      </c>
      <c r="GD21" s="59">
        <f t="shared" si="26"/>
        <v>365.51825391301418</v>
      </c>
      <c r="GE21" s="59">
        <f ca="1">AVERAGE(OFFSET($GD$3,0,0,'Données projet'!$E$17+1,1))-AVERAGE(OFFSET($H$3,0,0,'Données projet'!$E$17+1,1))</f>
        <v>640.05156427113661</v>
      </c>
      <c r="GF21" s="59">
        <f t="shared" si="50"/>
        <v>308.77220155372902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4.9119354838709679</v>
      </c>
      <c r="N22" s="13">
        <f>IF('Données projet'!$A$36&gt;35,N21+M22-V21,IF(A22&lt;'Données projet'!$A$36,$K$205^A22,IF(A22='Données projet'!$A$36,'Données projet'!$B$36,N21+M22-V21)))</f>
        <v>21.763632029239876</v>
      </c>
      <c r="O22" s="13">
        <f>N22*VLOOKUP('Données projet'!$B$9,Paramètres!$A$1:$I$89,3,0)*VLOOKUP('Données projet'!$B$9,Paramètres!$A$1:$I$89,5,0)</f>
        <v>18.333683621431675</v>
      </c>
      <c r="P22" s="13">
        <f t="shared" si="33"/>
        <v>6.0222603764100286</v>
      </c>
      <c r="Q22" s="20">
        <f t="shared" si="2"/>
        <v>42.419935796240964</v>
      </c>
      <c r="R22" s="59">
        <f t="shared" si="0"/>
        <v>256.57203003926452</v>
      </c>
      <c r="S22" s="59">
        <f ca="1">AVERAGE(OFFSET($R$3,0,0,'Données projet'!$E$9+1,1))-AVERAGE(OFFSET($H$3,0,0,'Données projet'!$E$9+1,1))</f>
        <v>456.35333554128226</v>
      </c>
      <c r="T22" s="59">
        <f t="shared" si="34"/>
        <v>296.4517290984877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13.8</v>
      </c>
      <c r="AI22" s="13">
        <f>IF('Données projet'!$A$62&gt;35,AI21+AH22-AQ21,IF(A22&lt;'Données projet'!$A$62,$AF$205^A22,IF(A22='Données projet'!$A$62,'Données projet'!$B$62,AI21+AH22-AQ21)))</f>
        <v>88.199999999999989</v>
      </c>
      <c r="AJ22" s="13">
        <f>AI22*VLOOKUP('Données projet'!$B$10,Paramètres!$A$1:$I$89,3,0)*VLOOKUP('Données projet'!$B$10,Paramètres!$A$1:$I$89,5,0)</f>
        <v>77.051519999999996</v>
      </c>
      <c r="AK22" s="13">
        <f t="shared" si="35"/>
        <v>21.414697423431697</v>
      </c>
      <c r="AL22" s="20">
        <f t="shared" si="4"/>
        <v>171.49532867914351</v>
      </c>
      <c r="AM22" s="59">
        <f t="shared" si="5"/>
        <v>385.64742292216704</v>
      </c>
      <c r="AN22" s="59">
        <f ca="1">AVERAGE(OFFSET($AM$3,0,0,'Données projet'!$E$10+1,1))-AVERAGE(OFFSET($H$3,0,0,'Données projet'!$E$10+1,1))</f>
        <v>408.246209980743</v>
      </c>
      <c r="AO22" s="59">
        <f t="shared" si="36"/>
        <v>394.10236303013903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3.6504586625365603</v>
      </c>
      <c r="AW22" s="21">
        <f>EXP(-LN(2)/2)*AW21+(1-EXP(-LN(2)/2))/(LN(2)/2)*AQ22*AT22*VLOOKUP('Données projet'!$B$10,Paramètres!$A$1:$I$89,3,0)*0.475*44/12</f>
        <v>1.6485302251985352</v>
      </c>
      <c r="AX22" s="21">
        <f t="shared" si="6"/>
        <v>5.2989888877350957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3.3603333333333336</v>
      </c>
      <c r="BD22" s="12">
        <f>IF('Données projet'!$A$88&gt;35,BD21+BC22-BL21,IF(A22&lt;'Données projet'!$A$88,$BA$205^A22,IF(A22='Données projet'!$A$88,'Données projet'!$B$88,BD21+BC22-BL21)))</f>
        <v>63.846333333333369</v>
      </c>
      <c r="BE22" s="13">
        <f>BD22*VLOOKUP('Données projet'!$B$11,Paramètres!$A$1:$I$89,3,0)*VLOOKUP('Données projet'!$B$11,Paramètres!$A$1:$I$89,5,0)</f>
        <v>64.740182000000047</v>
      </c>
      <c r="BF22" s="13">
        <f t="shared" si="37"/>
        <v>18.361380775200633</v>
      </c>
      <c r="BG22" s="20">
        <f t="shared" si="7"/>
        <v>144.73522183347453</v>
      </c>
      <c r="BH22" s="59">
        <f t="shared" si="8"/>
        <v>358.88731607649805</v>
      </c>
      <c r="BI22" s="59">
        <f ca="1">AVERAGE(OFFSET($BH$3,0,0,'Données projet'!$E$11+1,1))-AVERAGE(OFFSET($H$3,0,0,'Données projet'!$E$11+1,1))</f>
        <v>580.02848304986492</v>
      </c>
      <c r="BJ22" s="59">
        <f t="shared" si="38"/>
        <v>281.68891895586728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9.6</v>
      </c>
      <c r="BY22" s="12">
        <f>IF('Données projet'!$A$114&gt;35,BY21+BX22-CG21,IF(A22&lt;'Données projet'!$A$114,$BV$205^A22,IF(A22='Données projet'!$A$114,'Données projet'!$B$114,BY21+BX22-CG21)))</f>
        <v>75.399999999999991</v>
      </c>
      <c r="BZ22" s="13">
        <f>BY22*VLOOKUP('Données projet'!$B$12,Paramètres!$A$1:$I$89,3,0)*VLOOKUP('Données projet'!$B$12,Paramètres!$A$1:$I$89,5,0)</f>
        <v>58.811999999999998</v>
      </c>
      <c r="CA22" s="13">
        <f t="shared" si="39"/>
        <v>16.86755663452599</v>
      </c>
      <c r="CB22" s="20">
        <f t="shared" si="10"/>
        <v>131.8085611384661</v>
      </c>
      <c r="CC22" s="59">
        <f t="shared" si="11"/>
        <v>345.96065538148963</v>
      </c>
      <c r="CD22" s="59">
        <f ca="1">AVERAGE(OFFSET($CC$3,0,0,'Données projet'!$E$12+1,1))-AVERAGE(OFFSET($H$3,0,0,'Données projet'!$E$12+1,1))</f>
        <v>308.85018589589453</v>
      </c>
      <c r="CE22" s="59">
        <f t="shared" si="40"/>
        <v>302.59481222418219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0.24790956002948963</v>
      </c>
      <c r="CM22" s="21">
        <f>EXP(-LN(2)/2)*CM21+(1-EXP(-LN(2)/2))/(LN(2)/2)*CG22*CJ22*VLOOKUP('Données projet'!$B$12,Paramètres!$A$1:$I$89,3,0)*0.475*44/12</f>
        <v>0.13799081126103807</v>
      </c>
      <c r="CN22" s="22">
        <f t="shared" si="12"/>
        <v>0.38590037129052768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8.2051282051282026</v>
      </c>
      <c r="CT22" s="12">
        <f>IF('Données projet'!$A$140&gt;35,CT21+CS22-DB21,IF(A22&lt;'Données projet'!$A$140,$CQ$205^A22,IF(A22='Données projet'!$A$140,'Données projet'!$B$140,CT21+CS22-DB21)))</f>
        <v>72.564102564102555</v>
      </c>
      <c r="CU22" s="17">
        <f>CT22*VLOOKUP('Données projet'!$B$13,Paramètres!$A$1:$I$89,3,0)*VLOOKUP('Données projet'!$B$13,Paramètres!$A$1:$I$89,5,0)</f>
        <v>48.675999999999995</v>
      </c>
      <c r="CV22" s="13">
        <f t="shared" si="41"/>
        <v>14.27129866437352</v>
      </c>
      <c r="CW22" s="20">
        <f t="shared" si="13"/>
        <v>109.63321184045054</v>
      </c>
      <c r="CX22" s="59">
        <f t="shared" si="14"/>
        <v>323.7853060834741</v>
      </c>
      <c r="CY22" s="59">
        <f ca="1">AVERAGE(OFFSET($CX$3,0,0,'Données projet'!$E$13+1,1))-AVERAGE(OFFSET($H$3,0,0,'Données projet'!$E$13+1,1))</f>
        <v>335.73816489539837</v>
      </c>
      <c r="CZ22" s="59">
        <f t="shared" si="42"/>
        <v>254.09787950201044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0.89840729446584289</v>
      </c>
      <c r="DH22" s="21">
        <f>EXP(-LN(2)/2)*DH21+(1-EXP(-LN(2)/2))/(LN(2)/2)*DB22*DE22*VLOOKUP('Données projet'!$B$13,Paramètres!$A$1:$I$89,3,0)*0.475*44/12</f>
        <v>0.40571657328031691</v>
      </c>
      <c r="DI22" s="22">
        <f t="shared" si="15"/>
        <v>1.3041238677461597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4.016578947368421</v>
      </c>
      <c r="DO22" s="12">
        <f>IF('Données projet'!$A$166&gt;35,DO21+DN22-DW21,IF(A22&lt;'Données projet'!$A$166,$DL$205^A22,IF(A22='Données projet'!$A$166,'Données projet'!$B$166,DO21+DN22-DW21)))</f>
        <v>76.314999999999998</v>
      </c>
      <c r="DP22" s="17">
        <f>DO22*VLOOKUP('Données projet'!$B$14,Paramètres!$A$1:$I$89,3,0)*VLOOKUP('Données projet'!$B$14,Paramètres!$A$1:$I$89,5,0)</f>
        <v>73.811868000000004</v>
      </c>
      <c r="DQ22" s="13">
        <f t="shared" si="43"/>
        <v>20.617137722203569</v>
      </c>
      <c r="DR22" s="20">
        <f t="shared" si="16"/>
        <v>164.46385163283787</v>
      </c>
      <c r="DS22" s="59">
        <f t="shared" si="17"/>
        <v>378.61594587586137</v>
      </c>
      <c r="DT22" s="59">
        <f ca="1">AVERAGE(OFFSET($DS$3,0,0,'Données projet'!$E$14+1,1))-AVERAGE(OFFSET($H$3,0,0,'Données projet'!$E$14+1,1))</f>
        <v>493.03862850474161</v>
      </c>
      <c r="DU22" s="59">
        <f t="shared" si="44"/>
        <v>312.51819065560528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4.016578947368421</v>
      </c>
      <c r="EJ22" s="12">
        <f>IF('Données projet'!$A$192&gt;35,EJ21+EI22-ER21,IF(A22&lt;'Données projet'!$A$192,$EG$205^A22,IF(A22='Données projet'!$A$192,'Données projet'!$B$192,EJ21+EI22-ER21)))</f>
        <v>76.314999999999998</v>
      </c>
      <c r="EK22" s="17">
        <f>EJ22*VLOOKUP('Données projet'!$B$15,Paramètres!$A$1:$I$89,3,0)*VLOOKUP('Données projet'!$B$15,Paramètres!$A$1:$I$89,5,0)</f>
        <v>82.145465999999999</v>
      </c>
      <c r="EL22" s="13">
        <f t="shared" si="45"/>
        <v>22.660951002004662</v>
      </c>
      <c r="EM22" s="20">
        <f t="shared" si="19"/>
        <v>182.53784294515813</v>
      </c>
      <c r="EN22" s="59">
        <f t="shared" si="20"/>
        <v>396.68993718818166</v>
      </c>
      <c r="EO22" s="59">
        <f ca="1">AVERAGE(OFFSET($EN$3,0,0,'Données projet'!$E$15+1,1))-AVERAGE(OFFSET($H$3,0,0,'Données projet'!$E$15+1,1))</f>
        <v>539.72194201710272</v>
      </c>
      <c r="EP22" s="59">
        <f t="shared" si="46"/>
        <v>340.76505385159362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13.8</v>
      </c>
      <c r="FE22" s="12">
        <f>IF('Données projet'!$A$218&gt;35,FE21+FD22-FM21,IF(A22&lt;'Données projet'!$A$218,$FB$205^A22,IF(A22='Données projet'!$A$218,'Données projet'!$B$218,FE21+FD22-FM21)))</f>
        <v>88.199999999999989</v>
      </c>
      <c r="FF22" s="17">
        <f>FE22*VLOOKUP('Données projet'!$B$16,Paramètres!$A$1:$I$89,3,0)*VLOOKUP('Données projet'!$B$16,Paramètres!$A$1:$I$89,5,0)</f>
        <v>71.547839999999994</v>
      </c>
      <c r="FG22" s="13">
        <f t="shared" si="47"/>
        <v>20.05735014974319</v>
      </c>
      <c r="FH22" s="20">
        <f t="shared" si="22"/>
        <v>159.54570617746938</v>
      </c>
      <c r="FI22" s="59">
        <f t="shared" si="23"/>
        <v>373.69780042049291</v>
      </c>
      <c r="FJ22" s="59">
        <f ca="1">AVERAGE(OFFSET($FI$3,0,0,'Données projet'!$E$16+1,1))-AVERAGE(OFFSET($H$3,0,0,'Données projet'!$E$16+1,1))</f>
        <v>383.47860767209028</v>
      </c>
      <c r="FK22" s="59">
        <f t="shared" si="48"/>
        <v>370.49129421395628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3.3897116152125197</v>
      </c>
      <c r="FS22" s="21">
        <f>EXP(-LN(2)/2)*FS21+(1-EXP(-LN(2)/2))/(LN(2)/2)*FM22*FP22*VLOOKUP('Données projet'!$B$16,Paramètres!$A$1:$I$89,3,0)*0.475*44/12</f>
        <v>1.5307780662557824</v>
      </c>
      <c r="FT22" s="22">
        <f t="shared" si="24"/>
        <v>4.9204896814683021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3.3603333333333336</v>
      </c>
      <c r="FZ22" s="12">
        <f>IF('Données projet'!$A$244&gt;35,FZ21+FY22-GH21,IF(A22&lt;'Données projet'!$A$244,$FW$205^A22,IF(A22='Données projet'!$A$244,'Données projet'!$B$244,FZ21+FY22-GH21)))</f>
        <v>63.846333333333369</v>
      </c>
      <c r="GA22" s="17">
        <f>FZ22*VLOOKUP('Données projet'!$B$17,Paramètres!$A$1:$I$89,3,0)*VLOOKUP('Données projet'!$B$17,Paramètres!$A$1:$I$89,5,0)</f>
        <v>72.708204400000042</v>
      </c>
      <c r="GB22" s="13">
        <f t="shared" si="49"/>
        <v>20.344507190066661</v>
      </c>
      <c r="GC22" s="20">
        <f t="shared" si="25"/>
        <v>162.06680601936617</v>
      </c>
      <c r="GD22" s="59">
        <f t="shared" si="26"/>
        <v>376.2189002623897</v>
      </c>
      <c r="GE22" s="59">
        <f ca="1">AVERAGE(OFFSET($GD$3,0,0,'Données projet'!$E$17+1,1))-AVERAGE(OFFSET($H$3,0,0,'Données projet'!$E$17+1,1))</f>
        <v>640.05156427113661</v>
      </c>
      <c r="GF22" s="59">
        <f t="shared" si="50"/>
        <v>308.77220155372902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4.9119354838709679</v>
      </c>
      <c r="N23" s="13">
        <f>IF('Données projet'!$A$36&gt;35,N22+M23-V22,IF(A23&lt;'Données projet'!$A$36,$K$205^A23,IF(A23='Données projet'!$A$36,'Données projet'!$B$36,N22+M23-V22)))</f>
        <v>25.594007263392744</v>
      </c>
      <c r="O23" s="13">
        <f>N23*VLOOKUP('Données projet'!$B$9,Paramètres!$A$1:$I$89,3,0)*VLOOKUP('Données projet'!$B$9,Paramètres!$A$1:$I$89,5,0)</f>
        <v>21.560391718682048</v>
      </c>
      <c r="P23" s="13">
        <f t="shared" si="33"/>
        <v>6.949780340411313</v>
      </c>
      <c r="Q23" s="20">
        <f t="shared" si="2"/>
        <v>49.655216336254263</v>
      </c>
      <c r="R23" s="59">
        <f t="shared" si="0"/>
        <v>266.16991922314998</v>
      </c>
      <c r="S23" s="59">
        <f ca="1">AVERAGE(OFFSET($R$3,0,0,'Données projet'!$E$9+1,1))-AVERAGE(OFFSET($H$3,0,0,'Données projet'!$E$9+1,1))</f>
        <v>456.35333554128226</v>
      </c>
      <c r="T23" s="59">
        <f t="shared" si="34"/>
        <v>296.4517290984877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102</v>
      </c>
      <c r="AG23" s="12">
        <f>VLOOKUP(A23,'Données projet'!$A$61:$I$81,9,0)</f>
        <v>13.8</v>
      </c>
      <c r="AH23" s="12">
        <f t="array" ref="AH23">INDEX(AG:AG,MIN(IF(ISNUMBER(AG23:AG219),ROW(AG23:AG219),"")))</f>
        <v>13.8</v>
      </c>
      <c r="AI23" s="13">
        <f>IF('Données projet'!$A$62&gt;35,AI22+AH23-AQ22,IF(A23&lt;'Données projet'!$A$62,$AF$205^A23,IF(A23='Données projet'!$A$62,'Données projet'!$B$62,AI22+AH23-AQ22)))</f>
        <v>101.99999999999999</v>
      </c>
      <c r="AJ23" s="13">
        <f>AI23*VLOOKUP('Données projet'!$B$10,Paramètres!$A$1:$I$89,3,0)*VLOOKUP('Données projet'!$B$10,Paramètres!$A$1:$I$89,5,0)</f>
        <v>89.107200000000006</v>
      </c>
      <c r="AK23" s="13">
        <f t="shared" si="35"/>
        <v>24.349778356363352</v>
      </c>
      <c r="AL23" s="20">
        <f t="shared" si="4"/>
        <v>197.6042373039995</v>
      </c>
      <c r="AM23" s="59">
        <f t="shared" si="5"/>
        <v>414.11894019089522</v>
      </c>
      <c r="AN23" s="59">
        <f ca="1">AVERAGE(OFFSET($AM$3,0,0,'Données projet'!$E$10+1,1))-AVERAGE(OFFSET($H$3,0,0,'Données projet'!$E$10+1,1))</f>
        <v>408.246209980743</v>
      </c>
      <c r="AO23" s="59">
        <f t="shared" si="36"/>
        <v>394.10236303013903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35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8.0116169256300509</v>
      </c>
      <c r="AW23" s="21">
        <f>EXP(-LN(2)/2)*AW22+(1-EXP(-LN(2)/2))/(LN(2)/2)*AQ23*AT23*VLOOKUP('Données projet'!$B$10,Paramètres!$A$1:$I$89,3,0)*0.475*44/12</f>
        <v>8.3780066364724597</v>
      </c>
      <c r="AX23" s="21">
        <f t="shared" si="6"/>
        <v>16.389623562102511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3.3603333333333336</v>
      </c>
      <c r="BD23" s="12">
        <f>IF('Données projet'!$A$88&gt;35,BD22+BC23-BL22,IF(A23&lt;'Données projet'!$A$88,$BA$205^A23,IF(A23='Données projet'!$A$88,'Données projet'!$B$88,BD22+BC23-BL22)))</f>
        <v>67.206666666666706</v>
      </c>
      <c r="BE23" s="13">
        <f>BD23*VLOOKUP('Données projet'!$B$11,Paramètres!$A$1:$I$89,3,0)*VLOOKUP('Données projet'!$B$11,Paramètres!$A$1:$I$89,5,0)</f>
        <v>68.147560000000055</v>
      </c>
      <c r="BF23" s="13">
        <f t="shared" si="37"/>
        <v>19.212715835236935</v>
      </c>
      <c r="BG23" s="20">
        <f t="shared" si="7"/>
        <v>152.15248041303775</v>
      </c>
      <c r="BH23" s="59">
        <f t="shared" si="8"/>
        <v>368.66718329993347</v>
      </c>
      <c r="BI23" s="59">
        <f ca="1">AVERAGE(OFFSET($BH$3,0,0,'Données projet'!$E$11+1,1))-AVERAGE(OFFSET($H$3,0,0,'Données projet'!$E$11+1,1))</f>
        <v>580.02848304986492</v>
      </c>
      <c r="BJ23" s="59">
        <f t="shared" si="38"/>
        <v>281.68891895586728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85</v>
      </c>
      <c r="BW23" s="12">
        <f>VLOOKUP(A23,'Données projet'!$A$113:$I$133,9,0)</f>
        <v>9.6</v>
      </c>
      <c r="BX23" s="12">
        <f t="array" ref="BX23">INDEX(BW:BW,MIN(IF(ISNUMBER(BW23:BW219),ROW(BW23:BW219),"")))</f>
        <v>9.6</v>
      </c>
      <c r="BY23" s="12">
        <f>IF('Données projet'!$A$114&gt;35,BY22+BX23-CG22,IF(A23&lt;'Données projet'!$A$114,$BV$205^A23,IF(A23='Données projet'!$A$114,'Données projet'!$B$114,BY22+BX23-CG22)))</f>
        <v>84.999999999999986</v>
      </c>
      <c r="BZ23" s="13">
        <f>BY23*VLOOKUP('Données projet'!$B$12,Paramètres!$A$1:$I$89,3,0)*VLOOKUP('Données projet'!$B$12,Paramètres!$A$1:$I$89,5,0)</f>
        <v>66.3</v>
      </c>
      <c r="CA23" s="13">
        <f t="shared" si="39"/>
        <v>18.751733344032118</v>
      </c>
      <c r="CB23" s="20">
        <f t="shared" si="10"/>
        <v>148.13176890752257</v>
      </c>
      <c r="CC23" s="59">
        <f t="shared" si="11"/>
        <v>364.64647179441829</v>
      </c>
      <c r="CD23" s="59">
        <f ca="1">AVERAGE(OFFSET($CC$3,0,0,'Données projet'!$E$12+1,1))-AVERAGE(OFFSET($H$3,0,0,'Données projet'!$E$12+1,1))</f>
        <v>308.85018589589453</v>
      </c>
      <c r="CE23" s="59">
        <f t="shared" si="40"/>
        <v>302.59481222418219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25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2.5493484836242497</v>
      </c>
      <c r="CM23" s="21">
        <f>EXP(-LN(2)/2)*CM22+(1-EXP(-LN(2)/2))/(LN(2)/2)*CG23*CJ23*VLOOKUP('Données projet'!$B$12,Paramètres!$A$1:$I$89,3,0)*0.475*44/12</f>
        <v>4.69726794708538</v>
      </c>
      <c r="CN23" s="22">
        <f t="shared" si="12"/>
        <v>7.2466164307096292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80.769230769230759</v>
      </c>
      <c r="CR23" s="12">
        <f>VLOOKUP(A23,'Données projet'!$A$139:$I$159,9,0)</f>
        <v>8.2051282051282026</v>
      </c>
      <c r="CS23" s="12">
        <f t="array" ref="CS23">INDEX(CR:CR,MIN(IF(ISNUMBER(CR23:CR219),ROW(CR23:CR219),"")))</f>
        <v>8.2051282051282026</v>
      </c>
      <c r="CT23" s="12">
        <f>IF('Données projet'!$A$140&gt;35,CT22+CS23-DB22,IF(A23&lt;'Données projet'!$A$140,$CQ$205^A23,IF(A23='Données projet'!$A$140,'Données projet'!$B$140,CT22+CS23-DB22)))</f>
        <v>80.769230769230759</v>
      </c>
      <c r="CU23" s="17">
        <f>CT23*VLOOKUP('Données projet'!$B$13,Paramètres!$A$1:$I$89,3,0)*VLOOKUP('Données projet'!$B$13,Paramètres!$A$1:$I$89,5,0)</f>
        <v>54.179999999999993</v>
      </c>
      <c r="CV23" s="13">
        <f t="shared" si="41"/>
        <v>15.688167077713722</v>
      </c>
      <c r="CW23" s="20">
        <f t="shared" si="13"/>
        <v>121.68705766035139</v>
      </c>
      <c r="CX23" s="59">
        <f t="shared" si="14"/>
        <v>338.20176054724709</v>
      </c>
      <c r="CY23" s="59">
        <f ca="1">AVERAGE(OFFSET($CX$3,0,0,'Données projet'!$E$13+1,1))-AVERAGE(OFFSET($H$3,0,0,'Données projet'!$E$13+1,1))</f>
        <v>335.73816489539837</v>
      </c>
      <c r="CZ23" s="59">
        <f t="shared" si="42"/>
        <v>254.09787950201044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14.102564102564102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2.2540363076817909</v>
      </c>
      <c r="DH23" s="21">
        <f>EXP(-LN(2)/2)*DH22+(1-EXP(-LN(2)/2))/(LN(2)/2)*DB23*DE23*VLOOKUP('Données projet'!$B$13,Paramètres!$A$1:$I$89,3,0)*0.475*44/12</f>
        <v>2.5183260932480245</v>
      </c>
      <c r="DI23" s="22">
        <f t="shared" si="15"/>
        <v>4.7723624009298149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4.016578947368421</v>
      </c>
      <c r="DO23" s="12">
        <f>IF('Données projet'!$A$166&gt;35,DO22+DN23-DW22,IF(A23&lt;'Données projet'!$A$166,$DL$205^A23,IF(A23='Données projet'!$A$166,'Données projet'!$B$166,DO22+DN23-DW22)))</f>
        <v>80.331578947368413</v>
      </c>
      <c r="DP23" s="17">
        <f>DO23*VLOOKUP('Données projet'!$B$14,Paramètres!$A$1:$I$89,3,0)*VLOOKUP('Données projet'!$B$14,Paramètres!$A$1:$I$89,5,0)</f>
        <v>77.696703157894731</v>
      </c>
      <c r="DQ23" s="13">
        <f t="shared" si="43"/>
        <v>21.573062137442296</v>
      </c>
      <c r="DR23" s="20">
        <f t="shared" si="16"/>
        <v>172.89484122271199</v>
      </c>
      <c r="DS23" s="59">
        <f t="shared" si="17"/>
        <v>389.40954410960774</v>
      </c>
      <c r="DT23" s="59">
        <f ca="1">AVERAGE(OFFSET($DS$3,0,0,'Données projet'!$E$14+1,1))-AVERAGE(OFFSET($H$3,0,0,'Données projet'!$E$14+1,1))</f>
        <v>493.03862850474161</v>
      </c>
      <c r="DU23" s="59">
        <f t="shared" si="44"/>
        <v>312.51819065560528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4.016578947368421</v>
      </c>
      <c r="EJ23" s="12">
        <f>IF('Données projet'!$A$192&gt;35,EJ22+EI23-ER22,IF(A23&lt;'Données projet'!$A$192,$EG$205^A23,IF(A23='Données projet'!$A$192,'Données projet'!$B$192,EJ22+EI23-ER22)))</f>
        <v>80.331578947368413</v>
      </c>
      <c r="EK23" s="17">
        <f>EJ23*VLOOKUP('Données projet'!$B$15,Paramètres!$A$1:$I$89,3,0)*VLOOKUP('Données projet'!$B$15,Paramètres!$A$1:$I$89,5,0)</f>
        <v>86.468911578947356</v>
      </c>
      <c r="EL23" s="13">
        <f t="shared" si="45"/>
        <v>23.711637893037807</v>
      </c>
      <c r="EM23" s="20">
        <f t="shared" si="19"/>
        <v>191.89779033037416</v>
      </c>
      <c r="EN23" s="59">
        <f t="shared" si="20"/>
        <v>408.41249321726991</v>
      </c>
      <c r="EO23" s="59">
        <f ca="1">AVERAGE(OFFSET($EN$3,0,0,'Données projet'!$E$15+1,1))-AVERAGE(OFFSET($H$3,0,0,'Données projet'!$E$15+1,1))</f>
        <v>539.72194201710272</v>
      </c>
      <c r="EP23" s="59">
        <f t="shared" si="46"/>
        <v>340.76505385159362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102</v>
      </c>
      <c r="FC23" s="12">
        <f>VLOOKUP(A23,'Données projet'!$A$217:$I$237,9,0)</f>
        <v>13.8</v>
      </c>
      <c r="FD23" s="12">
        <f t="array" ref="FD23">INDEX(FC:FC,MIN(IF(ISNUMBER(FC23:FC219),ROW(FC23:FC219),"")))</f>
        <v>13.8</v>
      </c>
      <c r="FE23" s="12">
        <f>IF('Données projet'!$A$218&gt;35,FE22+FD23-FM22,IF(A23&lt;'Données projet'!$A$218,$FB$205^A23,IF(A23='Données projet'!$A$218,'Données projet'!$B$218,FE22+FD23-FM22)))</f>
        <v>101.99999999999999</v>
      </c>
      <c r="FF23" s="17">
        <f>FE23*VLOOKUP('Données projet'!$B$16,Paramètres!$A$1:$I$89,3,0)*VLOOKUP('Données projet'!$B$16,Paramètres!$A$1:$I$89,5,0)</f>
        <v>82.742399999999989</v>
      </c>
      <c r="FG23" s="13">
        <f t="shared" si="47"/>
        <v>22.806394174303204</v>
      </c>
      <c r="FH23" s="20">
        <f t="shared" si="22"/>
        <v>183.83081652024472</v>
      </c>
      <c r="FI23" s="59">
        <f t="shared" si="23"/>
        <v>400.34551940714044</v>
      </c>
      <c r="FJ23" s="59">
        <f ca="1">AVERAGE(OFFSET($FI$3,0,0,'Données projet'!$E$16+1,1))-AVERAGE(OFFSET($H$3,0,0,'Données projet'!$E$16+1,1))</f>
        <v>383.47860767209028</v>
      </c>
      <c r="FK23" s="59">
        <f t="shared" si="48"/>
        <v>370.49129421395628</v>
      </c>
      <c r="FL23" s="15">
        <f>IF(ISNA(VLOOKUP(A23,'Données projet'!$A$217:$I$237,3,0)),0,VLOOKUP(A23,'Données projet'!$A$217:$I$237,3,0))</f>
        <v>2</v>
      </c>
      <c r="FM23" s="15">
        <f>IF(ISNA(VLOOKUP(A23,'Données projet'!$A$217:$I$237,4,0)),0,VLOOKUP(A23,'Données projet'!$A$217:$I$237,4,0))</f>
        <v>35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0.13250000000000001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7.439358573799332</v>
      </c>
      <c r="FS23" s="21">
        <f>EXP(-LN(2)/2)*FS22+(1-EXP(-LN(2)/2))/(LN(2)/2)*FM23*FP23*VLOOKUP('Données projet'!$B$16,Paramètres!$A$1:$I$89,3,0)*0.475*44/12</f>
        <v>7.7795775910101392</v>
      </c>
      <c r="FT23" s="22">
        <f t="shared" si="24"/>
        <v>15.21893616480947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3.3603333333333336</v>
      </c>
      <c r="FZ23" s="12">
        <f>IF('Données projet'!$A$244&gt;35,FZ22+FY23-GH22,IF(A23&lt;'Données projet'!$A$244,$FW$205^A23,IF(A23='Données projet'!$A$244,'Données projet'!$B$244,FZ22+FY23-GH22)))</f>
        <v>67.206666666666706</v>
      </c>
      <c r="GA23" s="17">
        <f>FZ23*VLOOKUP('Données projet'!$B$17,Paramètres!$A$1:$I$89,3,0)*VLOOKUP('Données projet'!$B$17,Paramètres!$A$1:$I$89,5,0)</f>
        <v>76.534952000000047</v>
      </c>
      <c r="GB23" s="13">
        <f t="shared" si="49"/>
        <v>21.287790947541872</v>
      </c>
      <c r="GC23" s="20">
        <f t="shared" si="25"/>
        <v>170.37461063363551</v>
      </c>
      <c r="GD23" s="59">
        <f t="shared" si="26"/>
        <v>386.88931352053123</v>
      </c>
      <c r="GE23" s="59">
        <f ca="1">AVERAGE(OFFSET($GD$3,0,0,'Données projet'!$E$17+1,1))-AVERAGE(OFFSET($H$3,0,0,'Données projet'!$E$17+1,1))</f>
        <v>640.05156427113661</v>
      </c>
      <c r="GF23" s="59">
        <f t="shared" si="50"/>
        <v>308.77220155372902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4.9119354838709679</v>
      </c>
      <c r="N24" s="13">
        <f>IF('Données projet'!$A$36&gt;35,N23+M24-V23,IF(A24&lt;'Données projet'!$A$36,$K$205^A24,IF(A24='Données projet'!$A$36,'Données projet'!$B$36,N23+M24-V23)))</f>
        <v>30.098524314256156</v>
      </c>
      <c r="O24" s="13">
        <f>N24*VLOOKUP('Données projet'!$B$9,Paramètres!$A$1:$I$89,3,0)*VLOOKUP('Données projet'!$B$9,Paramètres!$A$1:$I$89,5,0)</f>
        <v>25.354996882329388</v>
      </c>
      <c r="P24" s="13">
        <f t="shared" si="33"/>
        <v>8.0201525276394197</v>
      </c>
      <c r="Q24" s="20">
        <f t="shared" si="2"/>
        <v>58.12838522236234</v>
      </c>
      <c r="R24" s="59">
        <f t="shared" si="0"/>
        <v>276.98591359823672</v>
      </c>
      <c r="S24" s="59">
        <f ca="1">AVERAGE(OFFSET($R$3,0,0,'Données projet'!$E$9+1,1))-AVERAGE(OFFSET($H$3,0,0,'Données projet'!$E$9+1,1))</f>
        <v>456.35333554128226</v>
      </c>
      <c r="T24" s="59">
        <f t="shared" si="34"/>
        <v>296.4517290984877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14.8</v>
      </c>
      <c r="AI24" s="13">
        <f>IF('Données projet'!$A$62&gt;35,AI23+AH24-AQ23,IF(A24&lt;'Données projet'!$A$62,$AF$205^A24,IF(A24='Données projet'!$A$62,'Données projet'!$B$62,AI23+AH24-AQ23)))</f>
        <v>81.799999999999983</v>
      </c>
      <c r="AJ24" s="13">
        <f>AI24*VLOOKUP('Données projet'!$B$10,Paramètres!$A$1:$I$89,3,0)*VLOOKUP('Données projet'!$B$10,Paramètres!$A$1:$I$89,5,0)</f>
        <v>71.46047999999999</v>
      </c>
      <c r="AK24" s="13">
        <f t="shared" si="35"/>
        <v>20.035709203981977</v>
      </c>
      <c r="AL24" s="20">
        <f t="shared" si="4"/>
        <v>159.35586286360191</v>
      </c>
      <c r="AM24" s="59">
        <f t="shared" si="5"/>
        <v>378.21339123947632</v>
      </c>
      <c r="AN24" s="59">
        <f ca="1">AVERAGE(OFFSET($AM$3,0,0,'Données projet'!$E$10+1,1))-AVERAGE(OFFSET($H$3,0,0,'Données projet'!$E$10+1,1))</f>
        <v>408.246209980743</v>
      </c>
      <c r="AO24" s="59">
        <f t="shared" si="36"/>
        <v>394.10236303013903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7.792538839486074</v>
      </c>
      <c r="AW24" s="21">
        <f>EXP(-LN(2)/2)*AW23+(1-EXP(-LN(2)/2))/(LN(2)/2)*AQ24*AT24*VLOOKUP('Données projet'!$B$10,Paramètres!$A$1:$I$89,3,0)*0.475*44/12</f>
        <v>5.9241453054755748</v>
      </c>
      <c r="AX24" s="21">
        <f t="shared" si="6"/>
        <v>13.716684144961649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3.3603333333333336</v>
      </c>
      <c r="BD24" s="12">
        <f>IF('Données projet'!$A$88&gt;35,BD23+BC24-BL23,IF(A24&lt;'Données projet'!$A$88,$BA$205^A24,IF(A24='Données projet'!$A$88,'Données projet'!$B$88,BD23+BC24-BL23)))</f>
        <v>70.567000000000036</v>
      </c>
      <c r="BE24" s="13">
        <f>BD24*VLOOKUP('Données projet'!$B$11,Paramètres!$A$1:$I$89,3,0)*VLOOKUP('Données projet'!$B$11,Paramètres!$A$1:$I$89,5,0)</f>
        <v>71.55493800000005</v>
      </c>
      <c r="BF24" s="13">
        <f t="shared" si="37"/>
        <v>20.059108341436531</v>
      </c>
      <c r="BG24" s="20">
        <f t="shared" si="7"/>
        <v>159.56113071133535</v>
      </c>
      <c r="BH24" s="59">
        <f t="shared" si="8"/>
        <v>378.41865908720973</v>
      </c>
      <c r="BI24" s="59">
        <f ca="1">AVERAGE(OFFSET($BH$3,0,0,'Données projet'!$E$11+1,1))-AVERAGE(OFFSET($H$3,0,0,'Données projet'!$E$11+1,1))</f>
        <v>580.02848304986492</v>
      </c>
      <c r="BJ24" s="59">
        <f t="shared" si="38"/>
        <v>281.68891895586728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10.6</v>
      </c>
      <c r="BY24" s="12">
        <f>IF('Données projet'!$A$114&gt;35,BY23+BX24-CG23,IF(A24&lt;'Données projet'!$A$114,$BV$205^A24,IF(A24='Données projet'!$A$114,'Données projet'!$B$114,BY23+BX24-CG23)))</f>
        <v>70.59999999999998</v>
      </c>
      <c r="BZ24" s="13">
        <f>BY24*VLOOKUP('Données projet'!$B$12,Paramètres!$A$1:$I$89,3,0)*VLOOKUP('Données projet'!$B$12,Paramètres!$A$1:$I$89,5,0)</f>
        <v>55.067999999999984</v>
      </c>
      <c r="CA24" s="13">
        <f t="shared" si="39"/>
        <v>15.915148294580479</v>
      </c>
      <c r="CB24" s="20">
        <f t="shared" si="10"/>
        <v>123.62898327972762</v>
      </c>
      <c r="CC24" s="59">
        <f t="shared" si="11"/>
        <v>342.48651165560199</v>
      </c>
      <c r="CD24" s="59">
        <f ca="1">AVERAGE(OFFSET($CC$3,0,0,'Données projet'!$E$12+1,1))-AVERAGE(OFFSET($H$3,0,0,'Données projet'!$E$12+1,1))</f>
        <v>308.85018589589453</v>
      </c>
      <c r="CE24" s="59">
        <f t="shared" si="40"/>
        <v>302.59481222418219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2.4796364152751345</v>
      </c>
      <c r="CM24" s="21">
        <f>EXP(-LN(2)/2)*CM23+(1-EXP(-LN(2)/2))/(LN(2)/2)*CG24*CJ24*VLOOKUP('Données projet'!$B$12,Paramètres!$A$1:$I$89,3,0)*0.475*44/12</f>
        <v>3.3214700184342854</v>
      </c>
      <c r="CN24" s="22">
        <f t="shared" si="12"/>
        <v>5.8011064337094194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8.4615384615384617</v>
      </c>
      <c r="CT24" s="12">
        <f>IF('Données projet'!$A$140&gt;35,CT23+CS24-DB23,IF(A24&lt;'Données projet'!$A$140,$CQ$205^A24,IF(A24='Données projet'!$A$140,'Données projet'!$B$140,CT23+CS24-DB23)))</f>
        <v>75.128205128205124</v>
      </c>
      <c r="CU24" s="17">
        <f>CT24*VLOOKUP('Données projet'!$B$13,Paramètres!$A$1:$I$89,3,0)*VLOOKUP('Données projet'!$B$13,Paramètres!$A$1:$I$89,5,0)</f>
        <v>50.396000000000001</v>
      </c>
      <c r="CV24" s="13">
        <f t="shared" si="41"/>
        <v>14.71598138852033</v>
      </c>
      <c r="CW24" s="20">
        <f t="shared" si="13"/>
        <v>113.40336758500625</v>
      </c>
      <c r="CX24" s="59">
        <f t="shared" si="14"/>
        <v>332.26089596088065</v>
      </c>
      <c r="CY24" s="59">
        <f ca="1">AVERAGE(OFFSET($CX$3,0,0,'Données projet'!$E$13+1,1))-AVERAGE(OFFSET($H$3,0,0,'Données projet'!$E$13+1,1))</f>
        <v>335.73816489539837</v>
      </c>
      <c r="CZ24" s="59">
        <f t="shared" si="42"/>
        <v>254.09787950201044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2.1923995663136147</v>
      </c>
      <c r="DH24" s="21">
        <f>EXP(-LN(2)/2)*DH23+(1-EXP(-LN(2)/2))/(LN(2)/2)*DB24*DE24*VLOOKUP('Données projet'!$B$13,Paramètres!$A$1:$I$89,3,0)*0.475*44/12</f>
        <v>1.780725457774704</v>
      </c>
      <c r="DI24" s="22">
        <f t="shared" si="15"/>
        <v>3.9731250240883185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4.016578947368421</v>
      </c>
      <c r="DO24" s="12">
        <f>IF('Données projet'!$A$166&gt;35,DO23+DN24-DW23,IF(A24&lt;'Données projet'!$A$166,$DL$205^A24,IF(A24='Données projet'!$A$166,'Données projet'!$B$166,DO23+DN24-DW23)))</f>
        <v>84.348157894736829</v>
      </c>
      <c r="DP24" s="17">
        <f>DO24*VLOOKUP('Données projet'!$B$14,Paramètres!$A$1:$I$89,3,0)*VLOOKUP('Données projet'!$B$14,Paramètres!$A$1:$I$89,5,0)</f>
        <v>81.581538315789459</v>
      </c>
      <c r="DQ24" s="13">
        <f t="shared" si="43"/>
        <v>22.523436789599526</v>
      </c>
      <c r="DR24" s="20">
        <f t="shared" si="16"/>
        <v>181.31616497521915</v>
      </c>
      <c r="DS24" s="59">
        <f t="shared" si="17"/>
        <v>400.17369335109356</v>
      </c>
      <c r="DT24" s="59">
        <f ca="1">AVERAGE(OFFSET($DS$3,0,0,'Données projet'!$E$14+1,1))-AVERAGE(OFFSET($H$3,0,0,'Données projet'!$E$14+1,1))</f>
        <v>493.03862850474161</v>
      </c>
      <c r="DU24" s="59">
        <f t="shared" si="44"/>
        <v>312.51819065560528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4.016578947368421</v>
      </c>
      <c r="EJ24" s="12">
        <f>IF('Données projet'!$A$192&gt;35,EJ23+EI24-ER23,IF(A24&lt;'Données projet'!$A$192,$EG$205^A24,IF(A24='Données projet'!$A$192,'Données projet'!$B$192,EJ23+EI24-ER23)))</f>
        <v>84.348157894736829</v>
      </c>
      <c r="EK24" s="17">
        <f>EJ24*VLOOKUP('Données projet'!$B$15,Paramètres!$A$1:$I$89,3,0)*VLOOKUP('Données projet'!$B$15,Paramètres!$A$1:$I$89,5,0)</f>
        <v>90.792357157894727</v>
      </c>
      <c r="EL24" s="13">
        <f t="shared" si="45"/>
        <v>24.756224863172324</v>
      </c>
      <c r="EM24" s="20">
        <f t="shared" si="19"/>
        <v>201.24711368669179</v>
      </c>
      <c r="EN24" s="59">
        <f t="shared" si="20"/>
        <v>420.1046420625662</v>
      </c>
      <c r="EO24" s="59">
        <f ca="1">AVERAGE(OFFSET($EN$3,0,0,'Données projet'!$E$15+1,1))-AVERAGE(OFFSET($H$3,0,0,'Données projet'!$E$15+1,1))</f>
        <v>539.72194201710272</v>
      </c>
      <c r="EP24" s="59">
        <f t="shared" si="46"/>
        <v>340.76505385159362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14.8</v>
      </c>
      <c r="FE24" s="12">
        <f>IF('Données projet'!$A$218&gt;35,FE23+FD24-FM23,IF(A24&lt;'Données projet'!$A$218,$FB$205^A24,IF(A24='Données projet'!$A$218,'Données projet'!$B$218,FE23+FD24-FM23)))</f>
        <v>81.799999999999983</v>
      </c>
      <c r="FF24" s="17">
        <f>FE24*VLOOKUP('Données projet'!$B$16,Paramètres!$A$1:$I$89,3,0)*VLOOKUP('Données projet'!$B$16,Paramètres!$A$1:$I$89,5,0)</f>
        <v>66.356159999999988</v>
      </c>
      <c r="FG24" s="13">
        <f t="shared" si="47"/>
        <v>18.765767596743419</v>
      </c>
      <c r="FH24" s="20">
        <f t="shared" si="22"/>
        <v>148.25402389766143</v>
      </c>
      <c r="FI24" s="59">
        <f t="shared" si="23"/>
        <v>367.11155227353584</v>
      </c>
      <c r="FJ24" s="59">
        <f ca="1">AVERAGE(OFFSET($FI$3,0,0,'Données projet'!$E$16+1,1))-AVERAGE(OFFSET($H$3,0,0,'Données projet'!$E$16+1,1))</f>
        <v>383.47860767209028</v>
      </c>
      <c r="FK24" s="59">
        <f t="shared" si="48"/>
        <v>370.49129421395628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7.2359289223799248</v>
      </c>
      <c r="FS24" s="21">
        <f>EXP(-LN(2)/2)*FS23+(1-EXP(-LN(2)/2))/(LN(2)/2)*FM24*FP24*VLOOKUP('Données projet'!$B$16,Paramètres!$A$1:$I$89,3,0)*0.475*44/12</f>
        <v>5.5009920693701755</v>
      </c>
      <c r="FT24" s="22">
        <f t="shared" si="24"/>
        <v>12.7369209917501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3.3603333333333336</v>
      </c>
      <c r="FZ24" s="12">
        <f>IF('Données projet'!$A$244&gt;35,FZ23+FY24-GH23,IF(A24&lt;'Données projet'!$A$244,$FW$205^A24,IF(A24='Données projet'!$A$244,'Données projet'!$B$244,FZ23+FY24-GH23)))</f>
        <v>70.567000000000036</v>
      </c>
      <c r="GA24" s="17">
        <f>FZ24*VLOOKUP('Données projet'!$B$17,Paramètres!$A$1:$I$89,3,0)*VLOOKUP('Données projet'!$B$17,Paramètres!$A$1:$I$89,5,0)</f>
        <v>80.361699600000037</v>
      </c>
      <c r="GB24" s="13">
        <f t="shared" si="49"/>
        <v>22.225598329176997</v>
      </c>
      <c r="GC24" s="20">
        <f t="shared" si="25"/>
        <v>178.67287722665</v>
      </c>
      <c r="GD24" s="59">
        <f t="shared" si="26"/>
        <v>397.53040560252441</v>
      </c>
      <c r="GE24" s="59">
        <f ca="1">AVERAGE(OFFSET($GD$3,0,0,'Données projet'!$E$17+1,1))-AVERAGE(OFFSET($H$3,0,0,'Données projet'!$E$17+1,1))</f>
        <v>640.05156427113661</v>
      </c>
      <c r="GF24" s="59">
        <f t="shared" si="50"/>
        <v>308.77220155372902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4.9119354838709679</v>
      </c>
      <c r="N25" s="13">
        <f>IF('Données projet'!$A$36&gt;35,N24+M25-V24,IF(A25&lt;'Données projet'!$A$36,$K$205^A25,IF(A25='Données projet'!$A$36,'Données projet'!$B$36,N24+M25-V24)))</f>
        <v>35.395831398063777</v>
      </c>
      <c r="O25" s="13">
        <f>N25*VLOOKUP('Données projet'!$B$9,Paramètres!$A$1:$I$89,3,0)*VLOOKUP('Données projet'!$B$9,Paramètres!$A$1:$I$89,5,0)</f>
        <v>29.817448369728929</v>
      </c>
      <c r="P25" s="13">
        <f t="shared" si="33"/>
        <v>9.2553783595977794</v>
      </c>
      <c r="Q25" s="20">
        <f t="shared" si="2"/>
        <v>68.05183988691067</v>
      </c>
      <c r="R25" s="59">
        <f t="shared" si="0"/>
        <v>289.23275379037909</v>
      </c>
      <c r="S25" s="59">
        <f ca="1">AVERAGE(OFFSET($R$3,0,0,'Données projet'!$E$9+1,1))-AVERAGE(OFFSET($H$3,0,0,'Données projet'!$E$9+1,1))</f>
        <v>456.35333554128226</v>
      </c>
      <c r="T25" s="59">
        <f t="shared" si="34"/>
        <v>296.4517290984877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14.8</v>
      </c>
      <c r="AI25" s="13">
        <f>IF('Données projet'!$A$62&gt;35,AI24+AH25-AQ24,IF(A25&lt;'Données projet'!$A$62,$AF$205^A25,IF(A25='Données projet'!$A$62,'Données projet'!$B$62,AI24+AH25-AQ24)))</f>
        <v>96.59999999999998</v>
      </c>
      <c r="AJ25" s="13">
        <f>AI25*VLOOKUP('Données projet'!$B$10,Paramètres!$A$1:$I$89,3,0)*VLOOKUP('Données projet'!$B$10,Paramètres!$A$1:$I$89,5,0)</f>
        <v>84.389759999999995</v>
      </c>
      <c r="AK25" s="13">
        <f t="shared" si="35"/>
        <v>23.207143598424498</v>
      </c>
      <c r="AL25" s="20">
        <f t="shared" si="4"/>
        <v>187.39794043392263</v>
      </c>
      <c r="AM25" s="59">
        <f t="shared" si="5"/>
        <v>408.57885433739102</v>
      </c>
      <c r="AN25" s="59">
        <f ca="1">AVERAGE(OFFSET($AM$3,0,0,'Données projet'!$E$10+1,1))-AVERAGE(OFFSET($H$3,0,0,'Données projet'!$E$10+1,1))</f>
        <v>408.246209980743</v>
      </c>
      <c r="AO25" s="59">
        <f t="shared" si="36"/>
        <v>394.10236303013903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7.5794514551285195</v>
      </c>
      <c r="AW25" s="21">
        <f>EXP(-LN(2)/2)*AW24+(1-EXP(-LN(2)/2))/(LN(2)/2)*AQ25*AT25*VLOOKUP('Données projet'!$B$10,Paramètres!$A$1:$I$89,3,0)*0.475*44/12</f>
        <v>4.1890033182362307</v>
      </c>
      <c r="AX25" s="21">
        <f t="shared" si="6"/>
        <v>11.76845477336475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3.3603333333333336</v>
      </c>
      <c r="BD25" s="12">
        <f>IF('Données projet'!$A$88&gt;35,BD24+BC25-BL24,IF(A25&lt;'Données projet'!$A$88,$BA$205^A25,IF(A25='Données projet'!$A$88,'Données projet'!$B$88,BD24+BC25-BL24)))</f>
        <v>73.927333333333365</v>
      </c>
      <c r="BE25" s="13">
        <f>BD25*VLOOKUP('Données projet'!$B$11,Paramètres!$A$1:$I$89,3,0)*VLOOKUP('Données projet'!$B$11,Paramètres!$A$1:$I$89,5,0)</f>
        <v>74.962316000000044</v>
      </c>
      <c r="BF25" s="13">
        <f t="shared" si="37"/>
        <v>20.900820525249284</v>
      </c>
      <c r="BG25" s="20">
        <f t="shared" si="7"/>
        <v>166.96162944814259</v>
      </c>
      <c r="BH25" s="59">
        <f t="shared" si="8"/>
        <v>388.14254335161098</v>
      </c>
      <c r="BI25" s="59">
        <f ca="1">AVERAGE(OFFSET($BH$3,0,0,'Données projet'!$E$11+1,1))-AVERAGE(OFFSET($H$3,0,0,'Données projet'!$E$11+1,1))</f>
        <v>580.02848304986492</v>
      </c>
      <c r="BJ25" s="59">
        <f t="shared" si="38"/>
        <v>281.68891895586728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10.6</v>
      </c>
      <c r="BY25" s="12">
        <f>IF('Données projet'!$A$114&gt;35,BY24+BX25-CG24,IF(A25&lt;'Données projet'!$A$114,$BV$205^A25,IF(A25='Données projet'!$A$114,'Données projet'!$B$114,BY24+BX25-CG24)))</f>
        <v>81.199999999999974</v>
      </c>
      <c r="BZ25" s="13">
        <f>BY25*VLOOKUP('Données projet'!$B$12,Paramètres!$A$1:$I$89,3,0)*VLOOKUP('Données projet'!$B$12,Paramètres!$A$1:$I$89,5,0)</f>
        <v>63.335999999999984</v>
      </c>
      <c r="CA25" s="13">
        <f t="shared" si="39"/>
        <v>18.009040022946227</v>
      </c>
      <c r="CB25" s="20">
        <f t="shared" si="10"/>
        <v>141.67594470663133</v>
      </c>
      <c r="CC25" s="59">
        <f t="shared" si="11"/>
        <v>362.85685861009972</v>
      </c>
      <c r="CD25" s="59">
        <f ca="1">AVERAGE(OFFSET($CC$3,0,0,'Données projet'!$E$12+1,1))-AVERAGE(OFFSET($H$3,0,0,'Données projet'!$E$12+1,1))</f>
        <v>308.85018589589453</v>
      </c>
      <c r="CE25" s="59">
        <f t="shared" si="40"/>
        <v>302.59481222418219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2.4118306271010241</v>
      </c>
      <c r="CM25" s="21">
        <f>EXP(-LN(2)/2)*CM24+(1-EXP(-LN(2)/2))/(LN(2)/2)*CG25*CJ25*VLOOKUP('Données projet'!$B$12,Paramètres!$A$1:$I$89,3,0)*0.475*44/12</f>
        <v>2.3486339735426904</v>
      </c>
      <c r="CN25" s="22">
        <f t="shared" si="12"/>
        <v>4.760464600643715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8.4615384615384617</v>
      </c>
      <c r="CT25" s="12">
        <f>IF('Données projet'!$A$140&gt;35,CT24+CS25-DB24,IF(A25&lt;'Données projet'!$A$140,$CQ$205^A25,IF(A25='Données projet'!$A$140,'Données projet'!$B$140,CT24+CS25-DB24)))</f>
        <v>83.589743589743591</v>
      </c>
      <c r="CU25" s="17">
        <f>CT25*VLOOKUP('Données projet'!$B$13,Paramètres!$A$1:$I$89,3,0)*VLOOKUP('Données projet'!$B$13,Paramètres!$A$1:$I$89,5,0)</f>
        <v>56.071999999999996</v>
      </c>
      <c r="CV25" s="13">
        <f t="shared" si="41"/>
        <v>16.17126790367621</v>
      </c>
      <c r="CW25" s="20">
        <f t="shared" si="13"/>
        <v>125.82369159890273</v>
      </c>
      <c r="CX25" s="59">
        <f t="shared" si="14"/>
        <v>347.00460550237113</v>
      </c>
      <c r="CY25" s="59">
        <f ca="1">AVERAGE(OFFSET($CX$3,0,0,'Données projet'!$E$13+1,1))-AVERAGE(OFFSET($H$3,0,0,'Données projet'!$E$13+1,1))</f>
        <v>335.73816489539837</v>
      </c>
      <c r="CZ25" s="59">
        <f t="shared" si="42"/>
        <v>254.09787950201044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2.1324482848794863</v>
      </c>
      <c r="DH25" s="21">
        <f>EXP(-LN(2)/2)*DH24+(1-EXP(-LN(2)/2))/(LN(2)/2)*DB25*DE25*VLOOKUP('Données projet'!$B$13,Paramètres!$A$1:$I$89,3,0)*0.475*44/12</f>
        <v>1.2591630466240125</v>
      </c>
      <c r="DI25" s="22">
        <f t="shared" si="15"/>
        <v>3.3916113315034986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4.016578947368421</v>
      </c>
      <c r="DO25" s="12">
        <f>IF('Données projet'!$A$166&gt;35,DO24+DN25-DW24,IF(A25&lt;'Données projet'!$A$166,$DL$205^A25,IF(A25='Données projet'!$A$166,'Données projet'!$B$166,DO24+DN25-DW24)))</f>
        <v>88.364736842105245</v>
      </c>
      <c r="DP25" s="17">
        <f>DO25*VLOOKUP('Données projet'!$B$14,Paramètres!$A$1:$I$89,3,0)*VLOOKUP('Données projet'!$B$14,Paramètres!$A$1:$I$89,5,0)</f>
        <v>85.4663734736842</v>
      </c>
      <c r="DQ25" s="13">
        <f t="shared" si="43"/>
        <v>23.468556126134551</v>
      </c>
      <c r="DR25" s="20">
        <f t="shared" si="16"/>
        <v>189.72833571968431</v>
      </c>
      <c r="DS25" s="59">
        <f t="shared" si="17"/>
        <v>410.90924962315273</v>
      </c>
      <c r="DT25" s="59">
        <f ca="1">AVERAGE(OFFSET($DS$3,0,0,'Données projet'!$E$14+1,1))-AVERAGE(OFFSET($H$3,0,0,'Données projet'!$E$14+1,1))</f>
        <v>493.03862850474161</v>
      </c>
      <c r="DU25" s="59">
        <f t="shared" si="44"/>
        <v>312.51819065560528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4.016578947368421</v>
      </c>
      <c r="EJ25" s="12">
        <f>IF('Données projet'!$A$192&gt;35,EJ24+EI25-ER24,IF(A25&lt;'Données projet'!$A$192,$EG$205^A25,IF(A25='Données projet'!$A$192,'Données projet'!$B$192,EJ24+EI25-ER24)))</f>
        <v>88.364736842105245</v>
      </c>
      <c r="EK25" s="17">
        <f>EJ25*VLOOKUP('Données projet'!$B$15,Paramètres!$A$1:$I$89,3,0)*VLOOKUP('Données projet'!$B$15,Paramètres!$A$1:$I$89,5,0)</f>
        <v>95.115802736842085</v>
      </c>
      <c r="EL25" s="13">
        <f t="shared" si="45"/>
        <v>25.795035548964155</v>
      </c>
      <c r="EM25" s="20">
        <f t="shared" si="19"/>
        <v>210.58637668111251</v>
      </c>
      <c r="EN25" s="59">
        <f t="shared" si="20"/>
        <v>431.76729058458091</v>
      </c>
      <c r="EO25" s="59">
        <f ca="1">AVERAGE(OFFSET($EN$3,0,0,'Données projet'!$E$15+1,1))-AVERAGE(OFFSET($H$3,0,0,'Données projet'!$E$15+1,1))</f>
        <v>539.72194201710272</v>
      </c>
      <c r="EP25" s="59">
        <f t="shared" si="46"/>
        <v>340.76505385159362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14.8</v>
      </c>
      <c r="FE25" s="12">
        <f>IF('Données projet'!$A$218&gt;35,FE24+FD25-FM24,IF(A25&lt;'Données projet'!$A$218,$FB$205^A25,IF(A25='Données projet'!$A$218,'Données projet'!$B$218,FE24+FD25-FM24)))</f>
        <v>96.59999999999998</v>
      </c>
      <c r="FF25" s="17">
        <f>FE25*VLOOKUP('Données projet'!$B$16,Paramètres!$A$1:$I$89,3,0)*VLOOKUP('Données projet'!$B$16,Paramètres!$A$1:$I$89,5,0)</f>
        <v>78.361919999999984</v>
      </c>
      <c r="FG25" s="13">
        <f t="shared" si="47"/>
        <v>21.736184076066191</v>
      </c>
      <c r="FH25" s="20">
        <f t="shared" si="22"/>
        <v>174.33753126581527</v>
      </c>
      <c r="FI25" s="59">
        <f t="shared" si="23"/>
        <v>395.51844516928367</v>
      </c>
      <c r="FJ25" s="59">
        <f ca="1">AVERAGE(OFFSET($FI$3,0,0,'Données projet'!$E$16+1,1))-AVERAGE(OFFSET($H$3,0,0,'Données projet'!$E$16+1,1))</f>
        <v>383.47860767209028</v>
      </c>
      <c r="FK25" s="59">
        <f t="shared" si="48"/>
        <v>370.49129421395628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7.0380620654764821</v>
      </c>
      <c r="FS25" s="21">
        <f>EXP(-LN(2)/2)*FS24+(1-EXP(-LN(2)/2))/(LN(2)/2)*FM25*FP25*VLOOKUP('Données projet'!$B$16,Paramètres!$A$1:$I$89,3,0)*0.475*44/12</f>
        <v>3.8897887955050701</v>
      </c>
      <c r="FT25" s="22">
        <f t="shared" si="24"/>
        <v>10.927850860981552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3.3603333333333336</v>
      </c>
      <c r="FZ25" s="12">
        <f>IF('Données projet'!$A$244&gt;35,FZ24+FY25-GH24,IF(A25&lt;'Données projet'!$A$244,$FW$205^A25,IF(A25='Données projet'!$A$244,'Données projet'!$B$244,FZ24+FY25-GH24)))</f>
        <v>73.927333333333365</v>
      </c>
      <c r="GA25" s="17">
        <f>FZ25*VLOOKUP('Données projet'!$B$17,Paramètres!$A$1:$I$89,3,0)*VLOOKUP('Données projet'!$B$17,Paramètres!$A$1:$I$89,5,0)</f>
        <v>84.188447200000041</v>
      </c>
      <c r="GB25" s="13">
        <f t="shared" si="49"/>
        <v>23.158219888807942</v>
      </c>
      <c r="GC25" s="20">
        <f t="shared" si="25"/>
        <v>186.96211184634055</v>
      </c>
      <c r="GD25" s="59">
        <f t="shared" si="26"/>
        <v>408.14302574980894</v>
      </c>
      <c r="GE25" s="59">
        <f ca="1">AVERAGE(OFFSET($GD$3,0,0,'Données projet'!$E$17+1,1))-AVERAGE(OFFSET($H$3,0,0,'Données projet'!$E$17+1,1))</f>
        <v>640.05156427113661</v>
      </c>
      <c r="GF25" s="59">
        <f t="shared" si="50"/>
        <v>308.77220155372902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4.9119354838709679</v>
      </c>
      <c r="N26" s="13">
        <f>IF('Données projet'!$A$36&gt;35,N25+M26-V25,IF(A26&lt;'Données projet'!$A$36,$K$205^A26,IF(A26='Données projet'!$A$36,'Données projet'!$B$36,N25+M26-V25)))</f>
        <v>41.625458686249885</v>
      </c>
      <c r="O26" s="13">
        <f>N26*VLOOKUP('Données projet'!$B$9,Paramètres!$A$1:$I$89,3,0)*VLOOKUP('Données projet'!$B$9,Paramètres!$A$1:$I$89,5,0)</f>
        <v>35.065286397296909</v>
      </c>
      <c r="P26" s="13">
        <f t="shared" si="33"/>
        <v>10.68084781232009</v>
      </c>
      <c r="Q26" s="20">
        <f t="shared" si="2"/>
        <v>79.674517081749613</v>
      </c>
      <c r="R26" s="59">
        <f t="shared" si="0"/>
        <v>303.1597137912961</v>
      </c>
      <c r="S26" s="59">
        <f ca="1">AVERAGE(OFFSET($R$3,0,0,'Données projet'!$E$9+1,1))-AVERAGE(OFFSET($H$3,0,0,'Données projet'!$E$9+1,1))</f>
        <v>456.35333554128226</v>
      </c>
      <c r="T26" s="59">
        <f t="shared" si="34"/>
        <v>296.4517290984877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14.8</v>
      </c>
      <c r="AI26" s="13">
        <f>IF('Données projet'!$A$62&gt;35,AI25+AH26-AQ25,IF(A26&lt;'Données projet'!$A$62,$AF$205^A26,IF(A26='Données projet'!$A$62,'Données projet'!$B$62,AI25+AH26-AQ25)))</f>
        <v>111.39999999999998</v>
      </c>
      <c r="AJ26" s="13">
        <f>AI26*VLOOKUP('Données projet'!$B$10,Paramètres!$A$1:$I$89,3,0)*VLOOKUP('Données projet'!$B$10,Paramètres!$A$1:$I$89,5,0)</f>
        <v>97.319039999999987</v>
      </c>
      <c r="AK26" s="13">
        <f t="shared" si="35"/>
        <v>26.322289133542785</v>
      </c>
      <c r="AL26" s="20">
        <f t="shared" si="4"/>
        <v>215.34198157425362</v>
      </c>
      <c r="AM26" s="59">
        <f t="shared" si="5"/>
        <v>438.82717828380009</v>
      </c>
      <c r="AN26" s="59">
        <f ca="1">AVERAGE(OFFSET($AM$3,0,0,'Données projet'!$E$10+1,1))-AVERAGE(OFFSET($H$3,0,0,'Données projet'!$E$10+1,1))</f>
        <v>408.246209980743</v>
      </c>
      <c r="AO26" s="59">
        <f t="shared" si="36"/>
        <v>394.10236303013903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7.372190956502001</v>
      </c>
      <c r="AW26" s="21">
        <f>EXP(-LN(2)/2)*AW25+(1-EXP(-LN(2)/2))/(LN(2)/2)*AQ26*AT26*VLOOKUP('Données projet'!$B$10,Paramètres!$A$1:$I$89,3,0)*0.475*44/12</f>
        <v>2.9620726527377883</v>
      </c>
      <c r="AX26" s="21">
        <f t="shared" si="6"/>
        <v>10.334263609239789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3.3603333333333336</v>
      </c>
      <c r="BD26" s="12">
        <f>IF('Données projet'!$A$88&gt;35,BD25+BC26-BL25,IF(A26&lt;'Données projet'!$A$88,$BA$205^A26,IF(A26='Données projet'!$A$88,'Données projet'!$B$88,BD25+BC26-BL25)))</f>
        <v>77.287666666666695</v>
      </c>
      <c r="BE26" s="13">
        <f>BD26*VLOOKUP('Données projet'!$B$11,Paramètres!$A$1:$I$89,3,0)*VLOOKUP('Données projet'!$B$11,Paramètres!$A$1:$I$89,5,0)</f>
        <v>78.369694000000038</v>
      </c>
      <c r="BF26" s="13">
        <f t="shared" si="37"/>
        <v>21.738089431359974</v>
      </c>
      <c r="BG26" s="20">
        <f t="shared" si="7"/>
        <v>174.35438947628532</v>
      </c>
      <c r="BH26" s="59">
        <f t="shared" si="8"/>
        <v>397.83958618583182</v>
      </c>
      <c r="BI26" s="59">
        <f ca="1">AVERAGE(OFFSET($BH$3,0,0,'Données projet'!$E$11+1,1))-AVERAGE(OFFSET($H$3,0,0,'Données projet'!$E$11+1,1))</f>
        <v>580.02848304986492</v>
      </c>
      <c r="BJ26" s="59">
        <f t="shared" si="38"/>
        <v>281.68891895586728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10.6</v>
      </c>
      <c r="BY26" s="12">
        <f>IF('Données projet'!$A$114&gt;35,BY25+BX26-CG25,IF(A26&lt;'Données projet'!$A$114,$BV$205^A26,IF(A26='Données projet'!$A$114,'Données projet'!$B$114,BY25+BX26-CG25)))</f>
        <v>91.799999999999969</v>
      </c>
      <c r="BZ26" s="13">
        <f>BY26*VLOOKUP('Données projet'!$B$12,Paramètres!$A$1:$I$89,3,0)*VLOOKUP('Données projet'!$B$12,Paramètres!$A$1:$I$89,5,0)</f>
        <v>71.603999999999985</v>
      </c>
      <c r="CA26" s="13">
        <f t="shared" si="39"/>
        <v>20.071260561992585</v>
      </c>
      <c r="CB26" s="20">
        <f t="shared" si="10"/>
        <v>159.66774547880371</v>
      </c>
      <c r="CC26" s="59">
        <f t="shared" si="11"/>
        <v>383.15294218835021</v>
      </c>
      <c r="CD26" s="59">
        <f ca="1">AVERAGE(OFFSET($CC$3,0,0,'Données projet'!$E$12+1,1))-AVERAGE(OFFSET($H$3,0,0,'Données projet'!$E$12+1,1))</f>
        <v>308.85018589589453</v>
      </c>
      <c r="CE26" s="59">
        <f t="shared" si="40"/>
        <v>302.59481222418219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2.3458789917702862</v>
      </c>
      <c r="CM26" s="21">
        <f>EXP(-LN(2)/2)*CM25+(1-EXP(-LN(2)/2))/(LN(2)/2)*CG26*CJ26*VLOOKUP('Données projet'!$B$12,Paramètres!$A$1:$I$89,3,0)*0.475*44/12</f>
        <v>1.6607350092171429</v>
      </c>
      <c r="CN26" s="22">
        <f t="shared" si="12"/>
        <v>4.0066140009874296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8.4615384615384617</v>
      </c>
      <c r="CT26" s="12">
        <f>IF('Données projet'!$A$140&gt;35,CT25+CS26-DB25,IF(A26&lt;'Données projet'!$A$140,$CQ$205^A26,IF(A26='Données projet'!$A$140,'Données projet'!$B$140,CT25+CS26-DB25)))</f>
        <v>92.051282051282058</v>
      </c>
      <c r="CU26" s="17">
        <f>CT26*VLOOKUP('Données projet'!$B$13,Paramètres!$A$1:$I$89,3,0)*VLOOKUP('Données projet'!$B$13,Paramètres!$A$1:$I$89,5,0)</f>
        <v>61.748000000000005</v>
      </c>
      <c r="CV26" s="13">
        <f t="shared" si="41"/>
        <v>17.609476905605167</v>
      </c>
      <c r="CW26" s="20">
        <f t="shared" si="13"/>
        <v>138.21427227726232</v>
      </c>
      <c r="CX26" s="59">
        <f t="shared" si="14"/>
        <v>361.69946898680882</v>
      </c>
      <c r="CY26" s="59">
        <f ca="1">AVERAGE(OFFSET($CX$3,0,0,'Données projet'!$E$13+1,1))-AVERAGE(OFFSET($H$3,0,0,'Données projet'!$E$13+1,1))</f>
        <v>335.73816489539837</v>
      </c>
      <c r="CZ26" s="59">
        <f t="shared" si="42"/>
        <v>254.09787950201044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2.0741363743888752</v>
      </c>
      <c r="DH26" s="21">
        <f>EXP(-LN(2)/2)*DH25+(1-EXP(-LN(2)/2))/(LN(2)/2)*DB26*DE26*VLOOKUP('Données projet'!$B$13,Paramètres!$A$1:$I$89,3,0)*0.475*44/12</f>
        <v>0.89036272888735213</v>
      </c>
      <c r="DI26" s="22">
        <f t="shared" si="15"/>
        <v>2.9644991032762276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4.016578947368421</v>
      </c>
      <c r="DO26" s="12">
        <f>IF('Données projet'!$A$166&gt;35,DO25+DN26-DW25,IF(A26&lt;'Données projet'!$A$166,$DL$205^A26,IF(A26='Données projet'!$A$166,'Données projet'!$B$166,DO25+DN26-DW25)))</f>
        <v>92.381315789473661</v>
      </c>
      <c r="DP26" s="17">
        <f>DO26*VLOOKUP('Données projet'!$B$14,Paramètres!$A$1:$I$89,3,0)*VLOOKUP('Données projet'!$B$14,Paramètres!$A$1:$I$89,5,0)</f>
        <v>89.351208631578928</v>
      </c>
      <c r="DQ26" s="13">
        <f t="shared" si="43"/>
        <v>24.408686313463246</v>
      </c>
      <c r="DR26" s="20">
        <f t="shared" si="16"/>
        <v>198.13181702928179</v>
      </c>
      <c r="DS26" s="59">
        <f t="shared" si="17"/>
        <v>421.61701373882829</v>
      </c>
      <c r="DT26" s="59">
        <f ca="1">AVERAGE(OFFSET($DS$3,0,0,'Données projet'!$E$14+1,1))-AVERAGE(OFFSET($H$3,0,0,'Données projet'!$E$14+1,1))</f>
        <v>493.03862850474161</v>
      </c>
      <c r="DU26" s="59">
        <f t="shared" si="44"/>
        <v>312.51819065560528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4.016578947368421</v>
      </c>
      <c r="EJ26" s="12">
        <f>IF('Données projet'!$A$192&gt;35,EJ25+EI26-ER25,IF(A26&lt;'Données projet'!$A$192,$EG$205^A26,IF(A26='Données projet'!$A$192,'Données projet'!$B$192,EJ25+EI26-ER25)))</f>
        <v>92.381315789473661</v>
      </c>
      <c r="EK26" s="17">
        <f>EJ26*VLOOKUP('Données projet'!$B$15,Paramètres!$A$1:$I$89,3,0)*VLOOKUP('Données projet'!$B$15,Paramètres!$A$1:$I$89,5,0)</f>
        <v>99.439248315789442</v>
      </c>
      <c r="EL26" s="13">
        <f t="shared" si="45"/>
        <v>26.828362502376191</v>
      </c>
      <c r="EM26" s="20">
        <f t="shared" si="19"/>
        <v>219.91608884163847</v>
      </c>
      <c r="EN26" s="59">
        <f t="shared" si="20"/>
        <v>443.40128555118497</v>
      </c>
      <c r="EO26" s="59">
        <f ca="1">AVERAGE(OFFSET($EN$3,0,0,'Données projet'!$E$15+1,1))-AVERAGE(OFFSET($H$3,0,0,'Données projet'!$E$15+1,1))</f>
        <v>539.72194201710272</v>
      </c>
      <c r="EP26" s="59">
        <f t="shared" si="46"/>
        <v>340.76505385159362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14.8</v>
      </c>
      <c r="FE26" s="12">
        <f>IF('Données projet'!$A$218&gt;35,FE25+FD26-FM25,IF(A26&lt;'Données projet'!$A$218,$FB$205^A26,IF(A26='Données projet'!$A$218,'Données projet'!$B$218,FE25+FD26-FM25)))</f>
        <v>111.39999999999998</v>
      </c>
      <c r="FF26" s="17">
        <f>FE26*VLOOKUP('Données projet'!$B$16,Paramètres!$A$1:$I$89,3,0)*VLOOKUP('Données projet'!$B$16,Paramètres!$A$1:$I$89,5,0)</f>
        <v>90.367679999999993</v>
      </c>
      <c r="FG26" s="13">
        <f t="shared" si="47"/>
        <v>24.653879504109455</v>
      </c>
      <c r="FH26" s="20">
        <f t="shared" si="22"/>
        <v>200.32921613632394</v>
      </c>
      <c r="FI26" s="59">
        <f t="shared" si="23"/>
        <v>423.81441284587044</v>
      </c>
      <c r="FJ26" s="59">
        <f ca="1">AVERAGE(OFFSET($FI$3,0,0,'Données projet'!$E$16+1,1))-AVERAGE(OFFSET($H$3,0,0,'Données projet'!$E$16+1,1))</f>
        <v>383.47860767209028</v>
      </c>
      <c r="FK26" s="59">
        <f t="shared" si="48"/>
        <v>370.49129421395628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6.8456058881804296</v>
      </c>
      <c r="FS26" s="21">
        <f>EXP(-LN(2)/2)*FS25+(1-EXP(-LN(2)/2))/(LN(2)/2)*FM26*FP26*VLOOKUP('Données projet'!$B$16,Paramètres!$A$1:$I$89,3,0)*0.475*44/12</f>
        <v>2.7504960346850882</v>
      </c>
      <c r="FT26" s="22">
        <f t="shared" si="24"/>
        <v>9.5961019228655182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3.3603333333333336</v>
      </c>
      <c r="FZ26" s="12">
        <f>IF('Données projet'!$A$244&gt;35,FZ25+FY26-GH25,IF(A26&lt;'Données projet'!$A$244,$FW$205^A26,IF(A26='Données projet'!$A$244,'Données projet'!$B$244,FZ25+FY26-GH25)))</f>
        <v>77.287666666666695</v>
      </c>
      <c r="GA26" s="17">
        <f>FZ26*VLOOKUP('Données projet'!$B$17,Paramètres!$A$1:$I$89,3,0)*VLOOKUP('Données projet'!$B$17,Paramètres!$A$1:$I$89,5,0)</f>
        <v>88.015194800000032</v>
      </c>
      <c r="GB26" s="13">
        <f t="shared" si="49"/>
        <v>24.085918273201479</v>
      </c>
      <c r="GC26" s="20">
        <f t="shared" si="25"/>
        <v>195.24277193582597</v>
      </c>
      <c r="GD26" s="59">
        <f t="shared" si="26"/>
        <v>418.72796864537247</v>
      </c>
      <c r="GE26" s="59">
        <f ca="1">AVERAGE(OFFSET($GD$3,0,0,'Données projet'!$E$17+1,1))-AVERAGE(OFFSET($H$3,0,0,'Données projet'!$E$17+1,1))</f>
        <v>640.05156427113661</v>
      </c>
      <c r="GF26" s="59">
        <f t="shared" si="50"/>
        <v>308.77220155372902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4.9119354838709679</v>
      </c>
      <c r="N27" s="13">
        <f>IF('Données projet'!$A$36&gt;35,N26+M27-V26,IF(A27&lt;'Données projet'!$A$36,$K$205^A27,IF(A27='Données projet'!$A$36,'Données projet'!$B$36,N26+M27-V26)))</f>
        <v>48.951493506534135</v>
      </c>
      <c r="O27" s="13">
        <f>N27*VLOOKUP('Données projet'!$B$9,Paramètres!$A$1:$I$89,3,0)*VLOOKUP('Données projet'!$B$9,Paramètres!$A$1:$I$89,5,0)</f>
        <v>41.23673812990436</v>
      </c>
      <c r="P27" s="13">
        <f t="shared" si="33"/>
        <v>12.325861305458343</v>
      </c>
      <c r="Q27" s="20">
        <f t="shared" si="2"/>
        <v>93.288194016590026</v>
      </c>
      <c r="R27" s="59">
        <f t="shared" si="0"/>
        <v>319.05890220020984</v>
      </c>
      <c r="S27" s="59">
        <f ca="1">AVERAGE(OFFSET($R$3,0,0,'Données projet'!$E$9+1,1))-AVERAGE(OFFSET($H$3,0,0,'Données projet'!$E$9+1,1))</f>
        <v>456.35333554128226</v>
      </c>
      <c r="T27" s="59">
        <f t="shared" si="34"/>
        <v>296.4517290984877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14.8</v>
      </c>
      <c r="AI27" s="13">
        <f>IF('Données projet'!$A$62&gt;35,AI26+AH27-AQ26,IF(A27&lt;'Données projet'!$A$62,$AF$205^A27,IF(A27='Données projet'!$A$62,'Données projet'!$B$62,AI26+AH27-AQ26)))</f>
        <v>126.19999999999997</v>
      </c>
      <c r="AJ27" s="13">
        <f>AI27*VLOOKUP('Données projet'!$B$10,Paramètres!$A$1:$I$89,3,0)*VLOOKUP('Données projet'!$B$10,Paramètres!$A$1:$I$89,5,0)</f>
        <v>110.24831999999999</v>
      </c>
      <c r="AK27" s="13">
        <f t="shared" si="35"/>
        <v>29.389483021072536</v>
      </c>
      <c r="AL27" s="20">
        <f t="shared" si="4"/>
        <v>243.20250692836802</v>
      </c>
      <c r="AM27" s="59">
        <f t="shared" si="5"/>
        <v>468.97321511198783</v>
      </c>
      <c r="AN27" s="59">
        <f ca="1">AVERAGE(OFFSET($AM$3,0,0,'Données projet'!$E$10+1,1))-AVERAGE(OFFSET($H$3,0,0,'Données projet'!$E$10+1,1))</f>
        <v>408.246209980743</v>
      </c>
      <c r="AO27" s="59">
        <f t="shared" si="36"/>
        <v>394.10236303013903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7.1705980071097803</v>
      </c>
      <c r="AW27" s="21">
        <f>EXP(-LN(2)/2)*AW26+(1-EXP(-LN(2)/2))/(LN(2)/2)*AQ27*AT27*VLOOKUP('Données projet'!$B$10,Paramètres!$A$1:$I$89,3,0)*0.475*44/12</f>
        <v>2.0945016591181158</v>
      </c>
      <c r="AX27" s="21">
        <f t="shared" si="6"/>
        <v>9.265099666227897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3.3603333333333336</v>
      </c>
      <c r="BD27" s="12">
        <f>IF('Données projet'!$A$88&gt;35,BD26+BC27-BL26,IF(A27&lt;'Données projet'!$A$88,$BA$205^A27,IF(A27='Données projet'!$A$88,'Données projet'!$B$88,BD26+BC27-BL26)))</f>
        <v>80.648000000000025</v>
      </c>
      <c r="BE27" s="13">
        <f>BD27*VLOOKUP('Données projet'!$B$11,Paramètres!$A$1:$I$89,3,0)*VLOOKUP('Données projet'!$B$11,Paramètres!$A$1:$I$89,5,0)</f>
        <v>81.777072000000032</v>
      </c>
      <c r="BF27" s="13">
        <f t="shared" si="37"/>
        <v>22.571130326229738</v>
      </c>
      <c r="BG27" s="20">
        <f t="shared" si="7"/>
        <v>181.7397857181835</v>
      </c>
      <c r="BH27" s="59">
        <f t="shared" si="8"/>
        <v>407.51049390180333</v>
      </c>
      <c r="BI27" s="59">
        <f ca="1">AVERAGE(OFFSET($BH$3,0,0,'Données projet'!$E$11+1,1))-AVERAGE(OFFSET($H$3,0,0,'Données projet'!$E$11+1,1))</f>
        <v>580.02848304986492</v>
      </c>
      <c r="BJ27" s="59">
        <f t="shared" si="38"/>
        <v>281.68891895586728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10.6</v>
      </c>
      <c r="BY27" s="12">
        <f>IF('Données projet'!$A$114&gt;35,BY26+BX27-CG26,IF(A27&lt;'Données projet'!$A$114,$BV$205^A27,IF(A27='Données projet'!$A$114,'Données projet'!$B$114,BY26+BX27-CG26)))</f>
        <v>102.39999999999996</v>
      </c>
      <c r="BZ27" s="13">
        <f>BY27*VLOOKUP('Données projet'!$B$12,Paramètres!$A$1:$I$89,3,0)*VLOOKUP('Données projet'!$B$12,Paramètres!$A$1:$I$89,5,0)</f>
        <v>79.871999999999971</v>
      </c>
      <c r="CA27" s="13">
        <f t="shared" si="39"/>
        <v>22.105884547145401</v>
      </c>
      <c r="CB27" s="20">
        <f t="shared" si="10"/>
        <v>177.61148225294485</v>
      </c>
      <c r="CC27" s="59">
        <f t="shared" si="11"/>
        <v>403.38219043656466</v>
      </c>
      <c r="CD27" s="59">
        <f ca="1">AVERAGE(OFFSET($CC$3,0,0,'Données projet'!$E$12+1,1))-AVERAGE(OFFSET($H$3,0,0,'Données projet'!$E$12+1,1))</f>
        <v>308.85018589589453</v>
      </c>
      <c r="CE27" s="59">
        <f t="shared" si="40"/>
        <v>302.59481222418219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2.2817308073759133</v>
      </c>
      <c r="CM27" s="21">
        <f>EXP(-LN(2)/2)*CM26+(1-EXP(-LN(2)/2))/(LN(2)/2)*CG27*CJ27*VLOOKUP('Données projet'!$B$12,Paramètres!$A$1:$I$89,3,0)*0.475*44/12</f>
        <v>1.1743169867713454</v>
      </c>
      <c r="CN27" s="22">
        <f t="shared" si="12"/>
        <v>3.4560477941472589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8.4615384615384617</v>
      </c>
      <c r="CT27" s="12">
        <f>IF('Données projet'!$A$140&gt;35,CT26+CS27-DB26,IF(A27&lt;'Données projet'!$A$140,$CQ$205^A27,IF(A27='Données projet'!$A$140,'Données projet'!$B$140,CT26+CS27-DB26)))</f>
        <v>100.51282051282053</v>
      </c>
      <c r="CU27" s="17">
        <f>CT27*VLOOKUP('Données projet'!$B$13,Paramètres!$A$1:$I$89,3,0)*VLOOKUP('Données projet'!$B$13,Paramètres!$A$1:$I$89,5,0)</f>
        <v>67.424000000000007</v>
      </c>
      <c r="CV27" s="13">
        <f t="shared" si="41"/>
        <v>19.032356736143235</v>
      </c>
      <c r="CW27" s="20">
        <f t="shared" si="13"/>
        <v>150.57815464878283</v>
      </c>
      <c r="CX27" s="59">
        <f t="shared" si="14"/>
        <v>376.34886283240263</v>
      </c>
      <c r="CY27" s="59">
        <f ca="1">AVERAGE(OFFSET($CX$3,0,0,'Données projet'!$E$13+1,1))-AVERAGE(OFFSET($H$3,0,0,'Données projet'!$E$13+1,1))</f>
        <v>335.73816489539837</v>
      </c>
      <c r="CZ27" s="59">
        <f t="shared" si="42"/>
        <v>254.09787950201044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2.01741900615712</v>
      </c>
      <c r="DH27" s="21">
        <f>EXP(-LN(2)/2)*DH26+(1-EXP(-LN(2)/2))/(LN(2)/2)*DB27*DE27*VLOOKUP('Données projet'!$B$13,Paramètres!$A$1:$I$89,3,0)*0.475*44/12</f>
        <v>0.62958152331200623</v>
      </c>
      <c r="DI27" s="22">
        <f t="shared" si="15"/>
        <v>2.6470005294691261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4.016578947368421</v>
      </c>
      <c r="DO27" s="12">
        <f>IF('Données projet'!$A$166&gt;35,DO26+DN27-DW26,IF(A27&lt;'Données projet'!$A$166,$DL$205^A27,IF(A27='Données projet'!$A$166,'Données projet'!$B$166,DO26+DN27-DW26)))</f>
        <v>96.397894736842076</v>
      </c>
      <c r="DP27" s="17">
        <f>DO27*VLOOKUP('Données projet'!$B$14,Paramètres!$A$1:$I$89,3,0)*VLOOKUP('Données projet'!$B$14,Paramètres!$A$1:$I$89,5,0)</f>
        <v>93.236043789473655</v>
      </c>
      <c r="DQ27" s="13">
        <f t="shared" si="43"/>
        <v>25.344069064250395</v>
      </c>
      <c r="DR27" s="20">
        <f t="shared" si="16"/>
        <v>206.52702988690271</v>
      </c>
      <c r="DS27" s="59">
        <f t="shared" si="17"/>
        <v>432.29773807052254</v>
      </c>
      <c r="DT27" s="59">
        <f ca="1">AVERAGE(OFFSET($DS$3,0,0,'Données projet'!$E$14+1,1))-AVERAGE(OFFSET($H$3,0,0,'Données projet'!$E$14+1,1))</f>
        <v>493.03862850474161</v>
      </c>
      <c r="DU27" s="59">
        <f t="shared" si="44"/>
        <v>312.51819065560528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4.016578947368421</v>
      </c>
      <c r="EJ27" s="12">
        <f>IF('Données projet'!$A$192&gt;35,EJ26+EI27-ER26,IF(A27&lt;'Données projet'!$A$192,$EG$205^A27,IF(A27='Données projet'!$A$192,'Données projet'!$B$192,EJ26+EI27-ER26)))</f>
        <v>96.397894736842076</v>
      </c>
      <c r="EK27" s="17">
        <f>EJ27*VLOOKUP('Données projet'!$B$15,Paramètres!$A$1:$I$89,3,0)*VLOOKUP('Données projet'!$B$15,Paramètres!$A$1:$I$89,5,0)</f>
        <v>103.76269389473681</v>
      </c>
      <c r="EL27" s="13">
        <f t="shared" si="45"/>
        <v>27.856471397476621</v>
      </c>
      <c r="EM27" s="20">
        <f t="shared" si="19"/>
        <v>229.2367128839384</v>
      </c>
      <c r="EN27" s="59">
        <f t="shared" si="20"/>
        <v>455.0074210675582</v>
      </c>
      <c r="EO27" s="59">
        <f ca="1">AVERAGE(OFFSET($EN$3,0,0,'Données projet'!$E$15+1,1))-AVERAGE(OFFSET($H$3,0,0,'Données projet'!$E$15+1,1))</f>
        <v>539.72194201710272</v>
      </c>
      <c r="EP27" s="59">
        <f t="shared" si="46"/>
        <v>340.76505385159362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14.8</v>
      </c>
      <c r="FE27" s="12">
        <f>IF('Données projet'!$A$218&gt;35,FE26+FD27-FM26,IF(A27&lt;'Données projet'!$A$218,$FB$205^A27,IF(A27='Données projet'!$A$218,'Données projet'!$B$218,FE26+FD27-FM26)))</f>
        <v>126.19999999999997</v>
      </c>
      <c r="FF27" s="17">
        <f>FE27*VLOOKUP('Données projet'!$B$16,Paramètres!$A$1:$I$89,3,0)*VLOOKUP('Données projet'!$B$16,Paramètres!$A$1:$I$89,5,0)</f>
        <v>102.37344</v>
      </c>
      <c r="FG27" s="13">
        <f t="shared" si="47"/>
        <v>27.526662647523008</v>
      </c>
      <c r="FH27" s="20">
        <f t="shared" si="22"/>
        <v>226.24267877776924</v>
      </c>
      <c r="FI27" s="59">
        <f t="shared" si="23"/>
        <v>452.01338696138907</v>
      </c>
      <c r="FJ27" s="59">
        <f ca="1">AVERAGE(OFFSET($FI$3,0,0,'Données projet'!$E$16+1,1))-AVERAGE(OFFSET($H$3,0,0,'Données projet'!$E$16+1,1))</f>
        <v>383.47860767209028</v>
      </c>
      <c r="FK27" s="59">
        <f t="shared" si="48"/>
        <v>370.49129421395628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6.6584124351733678</v>
      </c>
      <c r="FS27" s="21">
        <f>EXP(-LN(2)/2)*FS26+(1-EXP(-LN(2)/2))/(LN(2)/2)*FM27*FP27*VLOOKUP('Données projet'!$B$16,Paramètres!$A$1:$I$89,3,0)*0.475*44/12</f>
        <v>1.9448943977525355</v>
      </c>
      <c r="FT27" s="22">
        <f t="shared" si="24"/>
        <v>8.6033068329259024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3.3603333333333336</v>
      </c>
      <c r="FZ27" s="12">
        <f>IF('Données projet'!$A$244&gt;35,FZ26+FY27-GH26,IF(A27&lt;'Données projet'!$A$244,$FW$205^A27,IF(A27='Données projet'!$A$244,'Données projet'!$B$244,FZ26+FY27-GH26)))</f>
        <v>80.648000000000025</v>
      </c>
      <c r="GA27" s="17">
        <f>FZ27*VLOOKUP('Données projet'!$B$17,Paramètres!$A$1:$I$89,3,0)*VLOOKUP('Données projet'!$B$17,Paramètres!$A$1:$I$89,5,0)</f>
        <v>91.841942400000036</v>
      </c>
      <c r="GB27" s="13">
        <f t="shared" si="49"/>
        <v>25.008931998737175</v>
      </c>
      <c r="GC27" s="20">
        <f t="shared" si="25"/>
        <v>203.51527291113393</v>
      </c>
      <c r="GD27" s="59">
        <f t="shared" si="26"/>
        <v>429.28598109475377</v>
      </c>
      <c r="GE27" s="59">
        <f ca="1">AVERAGE(OFFSET($GD$3,0,0,'Données projet'!$E$17+1,1))-AVERAGE(OFFSET($H$3,0,0,'Données projet'!$E$17+1,1))</f>
        <v>640.05156427113661</v>
      </c>
      <c r="GF27" s="59">
        <f t="shared" si="50"/>
        <v>308.77220155372902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4.9119354838709679</v>
      </c>
      <c r="N28" s="13">
        <f>IF('Données projet'!$A$36&gt;35,N27+M28-V27,IF(A28&lt;'Données projet'!$A$36,$K$205^A28,IF(A28='Données projet'!$A$36,'Données projet'!$B$36,N27+M28-V27)))</f>
        <v>57.566902375343794</v>
      </c>
      <c r="O28" s="13">
        <f>N28*VLOOKUP('Données projet'!$B$9,Paramètres!$A$1:$I$89,3,0)*VLOOKUP('Données projet'!$B$9,Paramètres!$A$1:$I$89,5,0)</f>
        <v>48.494358560989618</v>
      </c>
      <c r="P28" s="13">
        <f t="shared" si="33"/>
        <v>14.224231970251598</v>
      </c>
      <c r="Q28" s="20">
        <f t="shared" si="2"/>
        <v>109.23487850857845</v>
      </c>
      <c r="R28" s="59">
        <f t="shared" si="0"/>
        <v>337.27265247491056</v>
      </c>
      <c r="S28" s="59">
        <f ca="1">AVERAGE(OFFSET($R$3,0,0,'Données projet'!$E$9+1,1))-AVERAGE(OFFSET($H$3,0,0,'Données projet'!$E$9+1,1))</f>
        <v>456.35333554128226</v>
      </c>
      <c r="T28" s="59">
        <f t="shared" si="34"/>
        <v>296.4517290984877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141</v>
      </c>
      <c r="AG28" s="12">
        <f>VLOOKUP(A28,'Données projet'!$A$61:$I$81,9,0)</f>
        <v>14.8</v>
      </c>
      <c r="AH28" s="12">
        <f t="array" ref="AH28">INDEX(AG:AG,MIN(IF(ISNUMBER(AG28:AG224),ROW(AG28:AG224),"")))</f>
        <v>14.8</v>
      </c>
      <c r="AI28" s="13">
        <f>IF('Données projet'!$A$62&gt;35,AI27+AH28-AQ27,IF(A28&lt;'Données projet'!$A$62,$AF$205^A28,IF(A28='Données projet'!$A$62,'Données projet'!$B$62,AI27+AH28-AQ27)))</f>
        <v>140.99999999999997</v>
      </c>
      <c r="AJ28" s="13">
        <f>AI28*VLOOKUP('Données projet'!$B$10,Paramètres!$A$1:$I$89,3,0)*VLOOKUP('Données projet'!$B$10,Paramètres!$A$1:$I$89,5,0)</f>
        <v>123.1776</v>
      </c>
      <c r="AK28" s="13">
        <f t="shared" si="35"/>
        <v>32.414991240570416</v>
      </c>
      <c r="AL28" s="20">
        <f t="shared" si="4"/>
        <v>270.99042974399345</v>
      </c>
      <c r="AM28" s="59">
        <f t="shared" si="5"/>
        <v>499.02820371032556</v>
      </c>
      <c r="AN28" s="59">
        <f ca="1">AVERAGE(OFFSET($AM$3,0,0,'Données projet'!$E$10+1,1))-AVERAGE(OFFSET($H$3,0,0,'Données projet'!$E$10+1,1))</f>
        <v>408.246209980743</v>
      </c>
      <c r="AO28" s="59">
        <f t="shared" si="36"/>
        <v>394.10236303013903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35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0.13250000000000001</v>
      </c>
      <c r="AT28" s="16">
        <f>IF(ISNA(VLOOKUP(A28,'Données projet'!$A$61:$I$81,7,0)),0%,VLOOKUP(A28,'Données projet'!$A$61:$I$81,7,0))</f>
        <v>0.25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11.435497874709831</v>
      </c>
      <c r="AW28" s="21">
        <f>EXP(-LN(2)/2)*AW27+(1-EXP(-LN(2)/2))/(LN(2)/2)*AQ28*AT28*VLOOKUP('Données projet'!$B$10,Paramètres!$A$1:$I$89,3,0)*0.475*44/12</f>
        <v>8.6933560616124836</v>
      </c>
      <c r="AX28" s="21">
        <f t="shared" si="6"/>
        <v>20.128853936322315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3.3603333333333336</v>
      </c>
      <c r="BD28" s="12">
        <f>IF('Données projet'!$A$88&gt;35,BD27+BC28-BL27,IF(A28&lt;'Données projet'!$A$88,$BA$205^A28,IF(A28='Données projet'!$A$88,'Données projet'!$B$88,BD27+BC28-BL27)))</f>
        <v>84.008333333333354</v>
      </c>
      <c r="BE28" s="13">
        <f>BD28*VLOOKUP('Données projet'!$B$11,Paramètres!$A$1:$I$89,3,0)*VLOOKUP('Données projet'!$B$11,Paramètres!$A$1:$I$89,5,0)</f>
        <v>85.184450000000027</v>
      </c>
      <c r="BF28" s="13">
        <f t="shared" si="37"/>
        <v>23.400139522539501</v>
      </c>
      <c r="BG28" s="20">
        <f t="shared" si="7"/>
        <v>189.1181600850897</v>
      </c>
      <c r="BH28" s="59">
        <f t="shared" si="8"/>
        <v>417.15593405142181</v>
      </c>
      <c r="BI28" s="59">
        <f ca="1">AVERAGE(OFFSET($BH$3,0,0,'Données projet'!$E$11+1,1))-AVERAGE(OFFSET($H$3,0,0,'Données projet'!$E$11+1,1))</f>
        <v>580.02848304986492</v>
      </c>
      <c r="BJ28" s="59">
        <f t="shared" si="38"/>
        <v>281.68891895586728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113</v>
      </c>
      <c r="BW28" s="12">
        <f>VLOOKUP(A28,'Données projet'!$A$113:$I$133,9,0)</f>
        <v>10.6</v>
      </c>
      <c r="BX28" s="12">
        <f t="array" ref="BX28">INDEX(BW:BW,MIN(IF(ISNUMBER(BW28:BW224),ROW(BW28:BW224),"")))</f>
        <v>10.6</v>
      </c>
      <c r="BY28" s="12">
        <f>IF('Données projet'!$A$114&gt;35,BY27+BX28-CG27,IF(A28&lt;'Données projet'!$A$114,$BV$205^A28,IF(A28='Données projet'!$A$114,'Données projet'!$B$114,BY27+BX28-CG27)))</f>
        <v>112.99999999999996</v>
      </c>
      <c r="BZ28" s="13">
        <f>BY28*VLOOKUP('Données projet'!$B$12,Paramètres!$A$1:$I$89,3,0)*VLOOKUP('Données projet'!$B$12,Paramètres!$A$1:$I$89,5,0)</f>
        <v>88.139999999999972</v>
      </c>
      <c r="CA28" s="13">
        <f t="shared" si="39"/>
        <v>24.116094026318823</v>
      </c>
      <c r="CB28" s="20">
        <f t="shared" si="10"/>
        <v>195.51269709583855</v>
      </c>
      <c r="CC28" s="59">
        <f t="shared" si="11"/>
        <v>423.55047106217069</v>
      </c>
      <c r="CD28" s="59">
        <f ca="1">AVERAGE(OFFSET($CC$3,0,0,'Données projet'!$E$12+1,1))-AVERAGE(OFFSET($H$3,0,0,'Données projet'!$E$12+1,1))</f>
        <v>308.85018589589453</v>
      </c>
      <c r="CE28" s="59">
        <f t="shared" si="40"/>
        <v>302.59481222418219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27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0.1075</v>
      </c>
      <c r="CJ28" s="16">
        <f>IF(ISNA(VLOOKUP(A28,'Données projet'!$A$113:$I$133,7,0)),0%,VLOOKUP(A28,'Données projet'!$A$113:$I$133,7,0))</f>
        <v>0.25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4.7122122238920356</v>
      </c>
      <c r="CM28" s="21">
        <f>EXP(-LN(2)/2)*CM27+(1-EXP(-LN(2)/2))/(LN(2)/2)*CG28*CJ28*VLOOKUP('Données projet'!$B$12,Paramètres!$A$1:$I$89,3,0)*0.475*44/12</f>
        <v>5.7980367100059418</v>
      </c>
      <c r="CN28" s="22">
        <f t="shared" si="12"/>
        <v>10.510248933897977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108.97435897435896</v>
      </c>
      <c r="CR28" s="12">
        <f>VLOOKUP(A28,'Données projet'!$A$139:$I$159,9,0)</f>
        <v>8.4615384615384617</v>
      </c>
      <c r="CS28" s="12">
        <f t="array" ref="CS28">INDEX(CR:CR,MIN(IF(ISNUMBER(CR28:CR224),ROW(CR28:CR224),"")))</f>
        <v>8.4615384615384617</v>
      </c>
      <c r="CT28" s="12">
        <f>IF('Données projet'!$A$140&gt;35,CT27+CS28-DB27,IF(A28&lt;'Données projet'!$A$140,$CQ$205^A28,IF(A28='Données projet'!$A$140,'Données projet'!$B$140,CT27+CS28-DB27)))</f>
        <v>108.97435897435899</v>
      </c>
      <c r="CU28" s="17">
        <f>CT28*VLOOKUP('Données projet'!$B$13,Paramètres!$A$1:$I$89,3,0)*VLOOKUP('Données projet'!$B$13,Paramètres!$A$1:$I$89,5,0)</f>
        <v>73.100000000000009</v>
      </c>
      <c r="CV28" s="13">
        <f t="shared" si="41"/>
        <v>20.44134457781275</v>
      </c>
      <c r="CW28" s="20">
        <f t="shared" si="13"/>
        <v>162.91784180635725</v>
      </c>
      <c r="CX28" s="59">
        <f t="shared" si="14"/>
        <v>390.95561577268938</v>
      </c>
      <c r="CY28" s="59">
        <f ca="1">AVERAGE(OFFSET($CX$3,0,0,'Données projet'!$E$13+1,1))-AVERAGE(OFFSET($H$3,0,0,'Données projet'!$E$13+1,1))</f>
        <v>335.73816489539837</v>
      </c>
      <c r="CZ28" s="59">
        <f t="shared" si="42"/>
        <v>254.09787950201044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16.025641025641026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3.5306571318062794</v>
      </c>
      <c r="DH28" s="21">
        <f>EXP(-LN(2)/2)*DH27+(1-EXP(-LN(2)/2))/(LN(2)/2)*DB28*DE28*VLOOKUP('Données projet'!$B$13,Paramètres!$A$1:$I$89,3,0)*0.475*44/12</f>
        <v>2.9809099474456566</v>
      </c>
      <c r="DI28" s="22">
        <f t="shared" si="15"/>
        <v>6.511567079251936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4.016578947368421</v>
      </c>
      <c r="DO28" s="12">
        <f>IF('Données projet'!$A$166&gt;35,DO27+DN28-DW27,IF(A28&lt;'Données projet'!$A$166,$DL$205^A28,IF(A28='Données projet'!$A$166,'Données projet'!$B$166,DO27+DN28-DW27)))</f>
        <v>100.41447368421049</v>
      </c>
      <c r="DP28" s="17">
        <f>DO28*VLOOKUP('Données projet'!$B$14,Paramètres!$A$1:$I$89,3,0)*VLOOKUP('Données projet'!$B$14,Paramètres!$A$1:$I$89,5,0)</f>
        <v>97.120878947368396</v>
      </c>
      <c r="DQ28" s="13">
        <f t="shared" si="43"/>
        <v>26.27492480884537</v>
      </c>
      <c r="DR28" s="20">
        <f t="shared" si="16"/>
        <v>214.91435820873895</v>
      </c>
      <c r="DS28" s="59">
        <f t="shared" si="17"/>
        <v>442.95213217507103</v>
      </c>
      <c r="DT28" s="59">
        <f ca="1">AVERAGE(OFFSET($DS$3,0,0,'Données projet'!$E$14+1,1))-AVERAGE(OFFSET($H$3,0,0,'Données projet'!$E$14+1,1))</f>
        <v>493.03862850474161</v>
      </c>
      <c r="DU28" s="59">
        <f t="shared" si="44"/>
        <v>312.51819065560528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4.016578947368421</v>
      </c>
      <c r="EJ28" s="12">
        <f>IF('Données projet'!$A$192&gt;35,EJ27+EI28-ER27,IF(A28&lt;'Données projet'!$A$192,$EG$205^A28,IF(A28='Données projet'!$A$192,'Données projet'!$B$192,EJ27+EI28-ER27)))</f>
        <v>100.41447368421049</v>
      </c>
      <c r="EK28" s="17">
        <f>EJ28*VLOOKUP('Données projet'!$B$15,Paramètres!$A$1:$I$89,3,0)*VLOOKUP('Données projet'!$B$15,Paramètres!$A$1:$I$89,5,0)</f>
        <v>108.08613947368417</v>
      </c>
      <c r="EL28" s="13">
        <f t="shared" si="45"/>
        <v>28.879604516264717</v>
      </c>
      <c r="EM28" s="20">
        <f t="shared" si="19"/>
        <v>238.54867078249427</v>
      </c>
      <c r="EN28" s="59">
        <f t="shared" si="20"/>
        <v>466.58644474882635</v>
      </c>
      <c r="EO28" s="59">
        <f ca="1">AVERAGE(OFFSET($EN$3,0,0,'Données projet'!$E$15+1,1))-AVERAGE(OFFSET($H$3,0,0,'Données projet'!$E$15+1,1))</f>
        <v>539.72194201710272</v>
      </c>
      <c r="EP28" s="59">
        <f t="shared" si="46"/>
        <v>340.76505385159362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141</v>
      </c>
      <c r="FC28" s="12">
        <f>VLOOKUP(A28,'Données projet'!$A$217:$I$237,9,0)</f>
        <v>14.8</v>
      </c>
      <c r="FD28" s="12">
        <f t="array" ref="FD28">INDEX(FC:FC,MIN(IF(ISNUMBER(FC28:FC224),ROW(FC28:FC224),"")))</f>
        <v>14.8</v>
      </c>
      <c r="FE28" s="12">
        <f>IF('Données projet'!$A$218&gt;35,FE27+FD28-FM27,IF(A28&lt;'Données projet'!$A$218,$FB$205^A28,IF(A28='Données projet'!$A$218,'Données projet'!$B$218,FE27+FD28-FM27)))</f>
        <v>140.99999999999997</v>
      </c>
      <c r="FF28" s="17">
        <f>FE28*VLOOKUP('Données projet'!$B$16,Paramètres!$A$1:$I$89,3,0)*VLOOKUP('Données projet'!$B$16,Paramètres!$A$1:$I$89,5,0)</f>
        <v>114.3792</v>
      </c>
      <c r="FG28" s="13">
        <f t="shared" si="47"/>
        <v>30.360402323573549</v>
      </c>
      <c r="FH28" s="20">
        <f t="shared" si="22"/>
        <v>252.08814071355724</v>
      </c>
      <c r="FI28" s="59">
        <f t="shared" si="23"/>
        <v>480.12591467988932</v>
      </c>
      <c r="FJ28" s="59">
        <f ca="1">AVERAGE(OFFSET($FI$3,0,0,'Données projet'!$E$16+1,1))-AVERAGE(OFFSET($H$3,0,0,'Données projet'!$E$16+1,1))</f>
        <v>383.47860767209028</v>
      </c>
      <c r="FK28" s="59">
        <f t="shared" si="48"/>
        <v>370.49129421395628</v>
      </c>
      <c r="FL28" s="15">
        <f>IF(ISNA(VLOOKUP(A28,'Données projet'!$A$217:$I$237,3,0)),0,VLOOKUP(A28,'Données projet'!$A$217:$I$237,3,0))</f>
        <v>3</v>
      </c>
      <c r="FM28" s="15">
        <f>IF(ISNA(VLOOKUP(A28,'Données projet'!$A$217:$I$237,4,0)),0,VLOOKUP(A28,'Données projet'!$A$217:$I$237,4,0))</f>
        <v>35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0.13250000000000001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10.618676597944845</v>
      </c>
      <c r="FS28" s="21">
        <f>EXP(-LN(2)/2)*FS27+(1-EXP(-LN(2)/2))/(LN(2)/2)*FM28*FP28*VLOOKUP('Données projet'!$B$16,Paramètres!$A$1:$I$89,3,0)*0.475*44/12</f>
        <v>8.0724020572115904</v>
      </c>
      <c r="FT28" s="22">
        <f t="shared" si="24"/>
        <v>18.691078655156435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3.3603333333333336</v>
      </c>
      <c r="FZ28" s="12">
        <f>IF('Données projet'!$A$244&gt;35,FZ27+FY28-GH27,IF(A28&lt;'Données projet'!$A$244,$FW$205^A28,IF(A28='Données projet'!$A$244,'Données projet'!$B$244,FZ27+FY28-GH27)))</f>
        <v>84.008333333333354</v>
      </c>
      <c r="GA28" s="17">
        <f>FZ28*VLOOKUP('Données projet'!$B$17,Paramètres!$A$1:$I$89,3,0)*VLOOKUP('Données projet'!$B$17,Paramètres!$A$1:$I$89,5,0)</f>
        <v>95.668690000000026</v>
      </c>
      <c r="GB28" s="13">
        <f t="shared" si="49"/>
        <v>25.927478580905699</v>
      </c>
      <c r="GC28" s="20">
        <f t="shared" si="25"/>
        <v>211.77999361174412</v>
      </c>
      <c r="GD28" s="59">
        <f t="shared" si="26"/>
        <v>439.8177675780762</v>
      </c>
      <c r="GE28" s="59">
        <f ca="1">AVERAGE(OFFSET($GD$3,0,0,'Données projet'!$E$17+1,1))-AVERAGE(OFFSET($H$3,0,0,'Données projet'!$E$17+1,1))</f>
        <v>640.05156427113661</v>
      </c>
      <c r="GF28" s="59">
        <f t="shared" si="50"/>
        <v>308.77220155372902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4.9119354838709679</v>
      </c>
      <c r="N29" s="13">
        <f>IF('Données projet'!$A$36&gt;35,N28+M29-V28,IF(A29&lt;'Données projet'!$A$36,$K$205^A29,IF(A29='Données projet'!$A$36,'Données projet'!$B$36,N28+M29-V28)))</f>
        <v>67.698613703175596</v>
      </c>
      <c r="O29" s="13">
        <f>N29*VLOOKUP('Données projet'!$B$9,Paramètres!$A$1:$I$89,3,0)*VLOOKUP('Données projet'!$B$9,Paramètres!$A$1:$I$89,5,0)</f>
        <v>57.029312183555128</v>
      </c>
      <c r="P29" s="13">
        <f t="shared" si="33"/>
        <v>16.414980675949117</v>
      </c>
      <c r="Q29" s="20">
        <f t="shared" si="2"/>
        <v>127.91547673030321</v>
      </c>
      <c r="R29" s="59">
        <f t="shared" si="0"/>
        <v>358.20219077949338</v>
      </c>
      <c r="S29" s="59">
        <f ca="1">AVERAGE(OFFSET($R$3,0,0,'Données projet'!$E$9+1,1))-AVERAGE(OFFSET($H$3,0,0,'Données projet'!$E$9+1,1))</f>
        <v>456.35333554128226</v>
      </c>
      <c r="T29" s="59">
        <f t="shared" si="34"/>
        <v>296.4517290984877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14.2</v>
      </c>
      <c r="AI29" s="13">
        <f>IF('Données projet'!$A$62&gt;35,AI28+AH29-AQ28,IF(A29&lt;'Données projet'!$A$62,$AF$205^A29,IF(A29='Données projet'!$A$62,'Données projet'!$B$62,AI28+AH29-AQ28)))</f>
        <v>120.19999999999996</v>
      </c>
      <c r="AJ29" s="13">
        <f>AI29*VLOOKUP('Données projet'!$B$10,Paramètres!$A$1:$I$89,3,0)*VLOOKUP('Données projet'!$B$10,Paramètres!$A$1:$I$89,5,0)</f>
        <v>105.00671999999997</v>
      </c>
      <c r="AK29" s="13">
        <f t="shared" si="35"/>
        <v>28.151366980410856</v>
      </c>
      <c r="AL29" s="20">
        <f t="shared" si="4"/>
        <v>231.91700149088217</v>
      </c>
      <c r="AM29" s="59">
        <f t="shared" si="5"/>
        <v>462.20371554007238</v>
      </c>
      <c r="AN29" s="59">
        <f ca="1">AVERAGE(OFFSET($AM$3,0,0,'Données projet'!$E$10+1,1))-AVERAGE(OFFSET($H$3,0,0,'Données projet'!$E$10+1,1))</f>
        <v>408.246209980743</v>
      </c>
      <c r="AO29" s="59">
        <f t="shared" si="36"/>
        <v>394.10236303013903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11.122793583959194</v>
      </c>
      <c r="AW29" s="21">
        <f>EXP(-LN(2)/2)*AW28+(1-EXP(-LN(2)/2))/(LN(2)/2)*AQ29*AT29*VLOOKUP('Données projet'!$B$10,Paramètres!$A$1:$I$89,3,0)*0.475*44/12</f>
        <v>6.1471310224353655</v>
      </c>
      <c r="AX29" s="21">
        <f t="shared" si="6"/>
        <v>17.269924606394561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3.3603333333333336</v>
      </c>
      <c r="BD29" s="12">
        <f>IF('Données projet'!$A$88&gt;35,BD28+BC29-BL28,IF(A29&lt;'Données projet'!$A$88,$BA$205^A29,IF(A29='Données projet'!$A$88,'Données projet'!$B$88,BD28+BC29-BL28)))</f>
        <v>87.368666666666684</v>
      </c>
      <c r="BE29" s="13">
        <f>BD29*VLOOKUP('Données projet'!$B$11,Paramètres!$A$1:$I$89,3,0)*VLOOKUP('Données projet'!$B$11,Paramètres!$A$1:$I$89,5,0)</f>
        <v>88.591828000000021</v>
      </c>
      <c r="BF29" s="13">
        <f t="shared" si="37"/>
        <v>24.225296739001799</v>
      </c>
      <c r="BG29" s="20">
        <f t="shared" si="7"/>
        <v>196.48982558709483</v>
      </c>
      <c r="BH29" s="59">
        <f t="shared" si="8"/>
        <v>426.77653963628501</v>
      </c>
      <c r="BI29" s="59">
        <f ca="1">AVERAGE(OFFSET($BH$3,0,0,'Données projet'!$E$11+1,1))-AVERAGE(OFFSET($H$3,0,0,'Données projet'!$E$11+1,1))</f>
        <v>580.02848304986492</v>
      </c>
      <c r="BJ29" s="59">
        <f t="shared" si="38"/>
        <v>281.68891895586728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11.5</v>
      </c>
      <c r="BY29" s="12">
        <f>IF('Données projet'!$A$114&gt;35,BY28+BX29-CG28,IF(A29&lt;'Données projet'!$A$114,$BV$205^A29,IF(A29='Données projet'!$A$114,'Données projet'!$B$114,BY28+BX29-CG28)))</f>
        <v>97.499999999999957</v>
      </c>
      <c r="BZ29" s="13">
        <f>BY29*VLOOKUP('Données projet'!$B$12,Paramètres!$A$1:$I$89,3,0)*VLOOKUP('Données projet'!$B$12,Paramètres!$A$1:$I$89,5,0)</f>
        <v>76.049999999999969</v>
      </c>
      <c r="CA29" s="13">
        <f t="shared" si="39"/>
        <v>21.168560890749262</v>
      </c>
      <c r="CB29" s="20">
        <f t="shared" si="10"/>
        <v>169.32232688472158</v>
      </c>
      <c r="CC29" s="59">
        <f t="shared" si="11"/>
        <v>399.60904093391173</v>
      </c>
      <c r="CD29" s="59">
        <f ca="1">AVERAGE(OFFSET($CC$3,0,0,'Données projet'!$E$12+1,1))-AVERAGE(OFFSET($H$3,0,0,'Données projet'!$E$12+1,1))</f>
        <v>308.85018589589453</v>
      </c>
      <c r="CE29" s="59">
        <f t="shared" si="40"/>
        <v>302.59481222418219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4.5833565328252366</v>
      </c>
      <c r="CM29" s="21">
        <f>EXP(-LN(2)/2)*CM28+(1-EXP(-LN(2)/2))/(LN(2)/2)*CG29*CJ29*VLOOKUP('Données projet'!$B$12,Paramètres!$A$1:$I$89,3,0)*0.475*44/12</f>
        <v>4.0998310752137419</v>
      </c>
      <c r="CN29" s="22">
        <f t="shared" si="12"/>
        <v>8.6831876080389776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8.0769230769230802</v>
      </c>
      <c r="CT29" s="12">
        <f>IF('Données projet'!$A$140&gt;35,CT28+CS29-DB28,IF(A29&lt;'Données projet'!$A$140,$CQ$205^A29,IF(A29='Données projet'!$A$140,'Données projet'!$B$140,CT28+CS29-DB28)))</f>
        <v>101.02564102564105</v>
      </c>
      <c r="CU29" s="17">
        <f>CT29*VLOOKUP('Données projet'!$B$13,Paramètres!$A$1:$I$89,3,0)*VLOOKUP('Données projet'!$B$13,Paramètres!$A$1:$I$89,5,0)</f>
        <v>67.768000000000029</v>
      </c>
      <c r="CV29" s="13">
        <f t="shared" si="41"/>
        <v>19.118132278240573</v>
      </c>
      <c r="CW29" s="20">
        <f t="shared" si="13"/>
        <v>151.32668038460238</v>
      </c>
      <c r="CX29" s="59">
        <f t="shared" si="14"/>
        <v>381.61339443379256</v>
      </c>
      <c r="CY29" s="59">
        <f ca="1">AVERAGE(OFFSET($CX$3,0,0,'Données projet'!$E$13+1,1))-AVERAGE(OFFSET($H$3,0,0,'Données projet'!$E$13+1,1))</f>
        <v>335.73816489539837</v>
      </c>
      <c r="CZ29" s="59">
        <f t="shared" si="42"/>
        <v>254.09787950201044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3.4341111268678475</v>
      </c>
      <c r="DH29" s="21">
        <f>EXP(-LN(2)/2)*DH28+(1-EXP(-LN(2)/2))/(LN(2)/2)*DB29*DE29*VLOOKUP('Données projet'!$B$13,Paramètres!$A$1:$I$89,3,0)*0.475*44/12</f>
        <v>2.1078216379452588</v>
      </c>
      <c r="DI29" s="22">
        <f t="shared" si="15"/>
        <v>5.5419327648131063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4.016578947368421</v>
      </c>
      <c r="DO29" s="12">
        <f>IF('Données projet'!$A$166&gt;35,DO28+DN29-DW28,IF(A29&lt;'Données projet'!$A$166,$DL$205^A29,IF(A29='Données projet'!$A$166,'Données projet'!$B$166,DO28+DN29-DW28)))</f>
        <v>104.43105263157891</v>
      </c>
      <c r="DP29" s="17">
        <f>DO29*VLOOKUP('Données projet'!$B$14,Paramètres!$A$1:$I$89,3,0)*VLOOKUP('Données projet'!$B$14,Paramètres!$A$1:$I$89,5,0)</f>
        <v>101.00571410526311</v>
      </c>
      <c r="DQ29" s="13">
        <f t="shared" si="43"/>
        <v>27.201455345004767</v>
      </c>
      <c r="DR29" s="20">
        <f t="shared" si="16"/>
        <v>223.29415345921657</v>
      </c>
      <c r="DS29" s="59">
        <f t="shared" si="17"/>
        <v>453.58086750840675</v>
      </c>
      <c r="DT29" s="59">
        <f ca="1">AVERAGE(OFFSET($DS$3,0,0,'Données projet'!$E$14+1,1))-AVERAGE(OFFSET($H$3,0,0,'Données projet'!$E$14+1,1))</f>
        <v>493.03862850474161</v>
      </c>
      <c r="DU29" s="59">
        <f t="shared" si="44"/>
        <v>312.51819065560528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4.016578947368421</v>
      </c>
      <c r="EJ29" s="12">
        <f>IF('Données projet'!$A$192&gt;35,EJ28+EI29-ER28,IF(A29&lt;'Données projet'!$A$192,$EG$205^A29,IF(A29='Données projet'!$A$192,'Données projet'!$B$192,EJ28+EI29-ER28)))</f>
        <v>104.43105263157891</v>
      </c>
      <c r="EK29" s="17">
        <f>EJ29*VLOOKUP('Données projet'!$B$15,Paramètres!$A$1:$I$89,3,0)*VLOOKUP('Données projet'!$B$15,Paramètres!$A$1:$I$89,5,0)</f>
        <v>112.40958505263153</v>
      </c>
      <c r="EL29" s="13">
        <f t="shared" si="45"/>
        <v>29.897983661065066</v>
      </c>
      <c r="EM29" s="20">
        <f t="shared" si="19"/>
        <v>247.85234884302153</v>
      </c>
      <c r="EN29" s="59">
        <f t="shared" si="20"/>
        <v>478.13906289221171</v>
      </c>
      <c r="EO29" s="59">
        <f ca="1">AVERAGE(OFFSET($EN$3,0,0,'Données projet'!$E$15+1,1))-AVERAGE(OFFSET($H$3,0,0,'Données projet'!$E$15+1,1))</f>
        <v>539.72194201710272</v>
      </c>
      <c r="EP29" s="59">
        <f t="shared" si="46"/>
        <v>340.76505385159362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14.2</v>
      </c>
      <c r="FE29" s="12">
        <f>IF('Données projet'!$A$218&gt;35,FE28+FD29-FM28,IF(A29&lt;'Données projet'!$A$218,$FB$205^A29,IF(A29='Données projet'!$A$218,'Données projet'!$B$218,FE28+FD29-FM28)))</f>
        <v>120.19999999999996</v>
      </c>
      <c r="FF29" s="17">
        <f>FE29*VLOOKUP('Données projet'!$B$16,Paramètres!$A$1:$I$89,3,0)*VLOOKUP('Données projet'!$B$16,Paramètres!$A$1:$I$89,5,0)</f>
        <v>97.506239999999977</v>
      </c>
      <c r="FG29" s="13">
        <f t="shared" si="47"/>
        <v>26.367023243681039</v>
      </c>
      <c r="FH29" s="20">
        <f t="shared" si="22"/>
        <v>215.74593348274445</v>
      </c>
      <c r="FI29" s="59">
        <f t="shared" si="23"/>
        <v>446.03264753193463</v>
      </c>
      <c r="FJ29" s="59">
        <f ca="1">AVERAGE(OFFSET($FI$3,0,0,'Données projet'!$E$16+1,1))-AVERAGE(OFFSET($H$3,0,0,'Données projet'!$E$16+1,1))</f>
        <v>383.47860767209028</v>
      </c>
      <c r="FK29" s="59">
        <f t="shared" si="48"/>
        <v>370.49129421395628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10.328308327962111</v>
      </c>
      <c r="FS29" s="21">
        <f>EXP(-LN(2)/2)*FS28+(1-EXP(-LN(2)/2))/(LN(2)/2)*FM29*FP29*VLOOKUP('Données projet'!$B$16,Paramètres!$A$1:$I$89,3,0)*0.475*44/12</f>
        <v>5.7080502351185523</v>
      </c>
      <c r="FT29" s="22">
        <f t="shared" si="24"/>
        <v>16.036358563080661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3.3603333333333336</v>
      </c>
      <c r="FZ29" s="12">
        <f>IF('Données projet'!$A$244&gt;35,FZ28+FY29-GH28,IF(A29&lt;'Données projet'!$A$244,$FW$205^A29,IF(A29='Données projet'!$A$244,'Données projet'!$B$244,FZ28+FY29-GH28)))</f>
        <v>87.368666666666684</v>
      </c>
      <c r="GA29" s="17">
        <f>FZ29*VLOOKUP('Données projet'!$B$17,Paramètres!$A$1:$I$89,3,0)*VLOOKUP('Données projet'!$B$17,Paramètres!$A$1:$I$89,5,0)</f>
        <v>99.495437600000017</v>
      </c>
      <c r="GB29" s="13">
        <f t="shared" si="49"/>
        <v>26.84175714899277</v>
      </c>
      <c r="GC29" s="20">
        <f t="shared" si="25"/>
        <v>220.03728085449575</v>
      </c>
      <c r="GD29" s="59">
        <f t="shared" si="26"/>
        <v>450.32399490368596</v>
      </c>
      <c r="GE29" s="59">
        <f ca="1">AVERAGE(OFFSET($GD$3,0,0,'Données projet'!$E$17+1,1))-AVERAGE(OFFSET($H$3,0,0,'Données projet'!$E$17+1,1))</f>
        <v>640.05156427113661</v>
      </c>
      <c r="GF29" s="59">
        <f t="shared" si="50"/>
        <v>308.77220155372902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4.9119354838709679</v>
      </c>
      <c r="N30" s="13">
        <f>IF('Données projet'!$A$36&gt;35,N29+M30-V29,IF(A30&lt;'Données projet'!$A$36,$K$205^A30,IF(A30='Données projet'!$A$36,'Données projet'!$B$36,N29+M30-V29)))</f>
        <v>79.613495050495573</v>
      </c>
      <c r="O30" s="13">
        <f>N30*VLOOKUP('Données projet'!$B$9,Paramètres!$A$1:$I$89,3,0)*VLOOKUP('Données projet'!$B$9,Paramètres!$A$1:$I$89,5,0)</f>
        <v>67.066408230537476</v>
      </c>
      <c r="P30" s="13">
        <f t="shared" si="33"/>
        <v>18.943138100904928</v>
      </c>
      <c r="Q30" s="20">
        <f t="shared" si="2"/>
        <v>149.79995986059552</v>
      </c>
      <c r="R30" s="59">
        <f t="shared" si="0"/>
        <v>382.31780273315906</v>
      </c>
      <c r="S30" s="59">
        <f ca="1">AVERAGE(OFFSET($R$3,0,0,'Données projet'!$E$9+1,1))-AVERAGE(OFFSET($H$3,0,0,'Données projet'!$E$9+1,1))</f>
        <v>456.35333554128226</v>
      </c>
      <c r="T30" s="59">
        <f t="shared" si="34"/>
        <v>296.4517290984877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14.2</v>
      </c>
      <c r="AI30" s="13">
        <f>IF('Données projet'!$A$62&gt;35,AI29+AH30-AQ29,IF(A30&lt;'Données projet'!$A$62,$AF$205^A30,IF(A30='Données projet'!$A$62,'Données projet'!$B$62,AI29+AH30-AQ29)))</f>
        <v>134.39999999999995</v>
      </c>
      <c r="AJ30" s="13">
        <f>AI30*VLOOKUP('Données projet'!$B$10,Paramètres!$A$1:$I$89,3,0)*VLOOKUP('Données projet'!$B$10,Paramètres!$A$1:$I$89,5,0)</f>
        <v>117.41183999999997</v>
      </c>
      <c r="AK30" s="13">
        <f t="shared" si="35"/>
        <v>31.070589593507044</v>
      </c>
      <c r="AL30" s="20">
        <f t="shared" si="4"/>
        <v>258.60689820869135</v>
      </c>
      <c r="AM30" s="59">
        <f t="shared" si="5"/>
        <v>491.12474108125485</v>
      </c>
      <c r="AN30" s="59">
        <f ca="1">AVERAGE(OFFSET($AM$3,0,0,'Données projet'!$E$10+1,1))-AVERAGE(OFFSET($H$3,0,0,'Données projet'!$E$10+1,1))</f>
        <v>408.246209980743</v>
      </c>
      <c r="AO30" s="59">
        <f t="shared" si="36"/>
        <v>394.10236303013903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10.818640208483536</v>
      </c>
      <c r="AW30" s="21">
        <f>EXP(-LN(2)/2)*AW29+(1-EXP(-LN(2)/2))/(LN(2)/2)*AQ30*AT30*VLOOKUP('Données projet'!$B$10,Paramètres!$A$1:$I$89,3,0)*0.475*44/12</f>
        <v>4.3466780308062427</v>
      </c>
      <c r="AX30" s="21">
        <f t="shared" si="6"/>
        <v>15.165318239289778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3.3603333333333336</v>
      </c>
      <c r="BD30" s="12">
        <f>IF('Données projet'!$A$88&gt;35,BD29+BC30-BL29,IF(A30&lt;'Données projet'!$A$88,$BA$205^A30,IF(A30='Données projet'!$A$88,'Données projet'!$B$88,BD29+BC30-BL29)))</f>
        <v>90.729000000000013</v>
      </c>
      <c r="BE30" s="13">
        <f>BD30*VLOOKUP('Données projet'!$B$11,Paramètres!$A$1:$I$89,3,0)*VLOOKUP('Données projet'!$B$11,Paramètres!$A$1:$I$89,5,0)</f>
        <v>91.999206000000029</v>
      </c>
      <c r="BF30" s="13">
        <f t="shared" si="37"/>
        <v>25.046767086912915</v>
      </c>
      <c r="BG30" s="20">
        <f t="shared" si="7"/>
        <v>203.85506979304003</v>
      </c>
      <c r="BH30" s="59">
        <f t="shared" si="8"/>
        <v>436.37291266560351</v>
      </c>
      <c r="BI30" s="59">
        <f ca="1">AVERAGE(OFFSET($BH$3,0,0,'Données projet'!$E$11+1,1))-AVERAGE(OFFSET($H$3,0,0,'Données projet'!$E$11+1,1))</f>
        <v>580.02848304986492</v>
      </c>
      <c r="BJ30" s="59">
        <f t="shared" si="38"/>
        <v>281.68891895586728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11.5</v>
      </c>
      <c r="BY30" s="12">
        <f>IF('Données projet'!$A$114&gt;35,BY29+BX30-CG29,IF(A30&lt;'Données projet'!$A$114,$BV$205^A30,IF(A30='Données projet'!$A$114,'Données projet'!$B$114,BY29+BX30-CG29)))</f>
        <v>108.99999999999996</v>
      </c>
      <c r="BZ30" s="13">
        <f>BY30*VLOOKUP('Données projet'!$B$12,Paramètres!$A$1:$I$89,3,0)*VLOOKUP('Données projet'!$B$12,Paramètres!$A$1:$I$89,5,0)</f>
        <v>85.019999999999968</v>
      </c>
      <c r="CA30" s="13">
        <f t="shared" si="39"/>
        <v>23.360218970693097</v>
      </c>
      <c r="CB30" s="20">
        <f t="shared" si="10"/>
        <v>188.76221470729038</v>
      </c>
      <c r="CC30" s="59">
        <f t="shared" si="11"/>
        <v>421.28005757985386</v>
      </c>
      <c r="CD30" s="59">
        <f ca="1">AVERAGE(OFFSET($CC$3,0,0,'Données projet'!$E$12+1,1))-AVERAGE(OFFSET($H$3,0,0,'Données projet'!$E$12+1,1))</f>
        <v>308.85018589589453</v>
      </c>
      <c r="CE30" s="59">
        <f t="shared" si="40"/>
        <v>302.59481222418219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4.458024407406886</v>
      </c>
      <c r="CM30" s="21">
        <f>EXP(-LN(2)/2)*CM29+(1-EXP(-LN(2)/2))/(LN(2)/2)*CG30*CJ30*VLOOKUP('Données projet'!$B$12,Paramètres!$A$1:$I$89,3,0)*0.475*44/12</f>
        <v>2.8990183550029713</v>
      </c>
      <c r="CN30" s="22">
        <f t="shared" si="12"/>
        <v>7.3570427624098578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8.0769230769230802</v>
      </c>
      <c r="CT30" s="12">
        <f>IF('Données projet'!$A$140&gt;35,CT29+CS30-DB29,IF(A30&lt;'Données projet'!$A$140,$CQ$205^A30,IF(A30='Données projet'!$A$140,'Données projet'!$B$140,CT29+CS30-DB29)))</f>
        <v>109.10256410256413</v>
      </c>
      <c r="CU30" s="17">
        <f>CT30*VLOOKUP('Données projet'!$B$13,Paramètres!$A$1:$I$89,3,0)*VLOOKUP('Données projet'!$B$13,Paramètres!$A$1:$I$89,5,0)</f>
        <v>73.186000000000021</v>
      </c>
      <c r="CV30" s="13">
        <f t="shared" si="41"/>
        <v>20.462592502396515</v>
      </c>
      <c r="CW30" s="20">
        <f t="shared" si="13"/>
        <v>163.10463194167394</v>
      </c>
      <c r="CX30" s="59">
        <f t="shared" si="14"/>
        <v>395.62247481423742</v>
      </c>
      <c r="CY30" s="59">
        <f ca="1">AVERAGE(OFFSET($CX$3,0,0,'Données projet'!$E$13+1,1))-AVERAGE(OFFSET($H$3,0,0,'Données projet'!$E$13+1,1))</f>
        <v>335.73816489539837</v>
      </c>
      <c r="CZ30" s="59">
        <f t="shared" si="42"/>
        <v>254.09787950201044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3.3402051775115909</v>
      </c>
      <c r="DH30" s="21">
        <f>EXP(-LN(2)/2)*DH29+(1-EXP(-LN(2)/2))/(LN(2)/2)*DB30*DE30*VLOOKUP('Données projet'!$B$13,Paramètres!$A$1:$I$89,3,0)*0.475*44/12</f>
        <v>1.4904549737228283</v>
      </c>
      <c r="DI30" s="22">
        <f t="shared" si="15"/>
        <v>4.8306601512344187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4.016578947368421</v>
      </c>
      <c r="DO30" s="12">
        <f>IF('Données projet'!$A$166&gt;35,DO29+DN30-DW29,IF(A30&lt;'Données projet'!$A$166,$DL$205^A30,IF(A30='Données projet'!$A$166,'Données projet'!$B$166,DO29+DN30-DW29)))</f>
        <v>108.44763157894732</v>
      </c>
      <c r="DP30" s="17">
        <f>DO30*VLOOKUP('Données projet'!$B$14,Paramètres!$A$1:$I$89,3,0)*VLOOKUP('Données projet'!$B$14,Paramètres!$A$1:$I$89,5,0)</f>
        <v>104.89054926315785</v>
      </c>
      <c r="DQ30" s="13">
        <f t="shared" si="43"/>
        <v>28.123846068498963</v>
      </c>
      <c r="DR30" s="20">
        <f t="shared" si="16"/>
        <v>231.66673853596896</v>
      </c>
      <c r="DS30" s="59">
        <f t="shared" si="17"/>
        <v>464.18458140853249</v>
      </c>
      <c r="DT30" s="59">
        <f ca="1">AVERAGE(OFFSET($DS$3,0,0,'Données projet'!$E$14+1,1))-AVERAGE(OFFSET($H$3,0,0,'Données projet'!$E$14+1,1))</f>
        <v>493.03862850474161</v>
      </c>
      <c r="DU30" s="59">
        <f t="shared" si="44"/>
        <v>312.51819065560528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4.016578947368421</v>
      </c>
      <c r="EJ30" s="12">
        <f>IF('Données projet'!$A$192&gt;35,EJ29+EI30-ER29,IF(A30&lt;'Données projet'!$A$192,$EG$205^A30,IF(A30='Données projet'!$A$192,'Données projet'!$B$192,EJ29+EI30-ER29)))</f>
        <v>108.44763157894732</v>
      </c>
      <c r="EK30" s="17">
        <f>EJ30*VLOOKUP('Données projet'!$B$15,Paramètres!$A$1:$I$89,3,0)*VLOOKUP('Données projet'!$B$15,Paramètres!$A$1:$I$89,5,0)</f>
        <v>116.7330306315789</v>
      </c>
      <c r="EL30" s="13">
        <f t="shared" si="45"/>
        <v>30.911812606258344</v>
      </c>
      <c r="EM30" s="20">
        <f t="shared" si="19"/>
        <v>257.14810197256651</v>
      </c>
      <c r="EN30" s="59">
        <f t="shared" si="20"/>
        <v>489.66594484513001</v>
      </c>
      <c r="EO30" s="59">
        <f ca="1">AVERAGE(OFFSET($EN$3,0,0,'Données projet'!$E$15+1,1))-AVERAGE(OFFSET($H$3,0,0,'Données projet'!$E$15+1,1))</f>
        <v>539.72194201710272</v>
      </c>
      <c r="EP30" s="59">
        <f t="shared" si="46"/>
        <v>340.76505385159362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14.2</v>
      </c>
      <c r="FE30" s="12">
        <f>IF('Données projet'!$A$218&gt;35,FE29+FD30-FM29,IF(A30&lt;'Données projet'!$A$218,$FB$205^A30,IF(A30='Données projet'!$A$218,'Données projet'!$B$218,FE29+FD30-FM29)))</f>
        <v>134.39999999999995</v>
      </c>
      <c r="FF30" s="17">
        <f>FE30*VLOOKUP('Données projet'!$B$16,Paramètres!$A$1:$I$89,3,0)*VLOOKUP('Données projet'!$B$16,Paramètres!$A$1:$I$89,5,0)</f>
        <v>109.02527999999997</v>
      </c>
      <c r="FG30" s="13">
        <f t="shared" si="47"/>
        <v>29.101214110737224</v>
      </c>
      <c r="FH30" s="20">
        <f t="shared" si="22"/>
        <v>240.57031057620057</v>
      </c>
      <c r="FI30" s="59">
        <f t="shared" si="23"/>
        <v>473.08815344876405</v>
      </c>
      <c r="FJ30" s="59">
        <f ca="1">AVERAGE(OFFSET($FI$3,0,0,'Données projet'!$E$16+1,1))-AVERAGE(OFFSET($H$3,0,0,'Données projet'!$E$16+1,1))</f>
        <v>383.47860767209028</v>
      </c>
      <c r="FK30" s="59">
        <f t="shared" si="48"/>
        <v>370.49129421395628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10.045880193591858</v>
      </c>
      <c r="FS30" s="21">
        <f>EXP(-LN(2)/2)*FS29+(1-EXP(-LN(2)/2))/(LN(2)/2)*FM30*FP30*VLOOKUP('Données projet'!$B$16,Paramètres!$A$1:$I$89,3,0)*0.475*44/12</f>
        <v>4.0362010286057952</v>
      </c>
      <c r="FT30" s="22">
        <f t="shared" si="24"/>
        <v>14.082081222197653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3.3603333333333336</v>
      </c>
      <c r="FZ30" s="12">
        <f>IF('Données projet'!$A$244&gt;35,FZ29+FY30-GH29,IF(A30&lt;'Données projet'!$A$244,$FW$205^A30,IF(A30='Données projet'!$A$244,'Données projet'!$B$244,FZ29+FY30-GH29)))</f>
        <v>90.729000000000013</v>
      </c>
      <c r="GA30" s="17">
        <f>FZ30*VLOOKUP('Données projet'!$B$17,Paramètres!$A$1:$I$89,3,0)*VLOOKUP('Données projet'!$B$17,Paramètres!$A$1:$I$89,5,0)</f>
        <v>103.32218520000002</v>
      </c>
      <c r="GB30" s="13">
        <f t="shared" si="49"/>
        <v>27.751950647189656</v>
      </c>
      <c r="GC30" s="20">
        <f t="shared" si="25"/>
        <v>228.28745326718865</v>
      </c>
      <c r="GD30" s="59">
        <f t="shared" si="26"/>
        <v>460.80529613975216</v>
      </c>
      <c r="GE30" s="59">
        <f ca="1">AVERAGE(OFFSET($GD$3,0,0,'Données projet'!$E$17+1,1))-AVERAGE(OFFSET($H$3,0,0,'Données projet'!$E$17+1,1))</f>
        <v>640.05156427113661</v>
      </c>
      <c r="GF30" s="59">
        <f t="shared" si="50"/>
        <v>308.77220155372902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4.9119354838709679</v>
      </c>
      <c r="N31" s="13">
        <f>IF('Données projet'!$A$36&gt;35,N30+M31-V30,IF(A31&lt;'Données projet'!$A$36,$K$205^A31,IF(A31='Données projet'!$A$36,'Données projet'!$B$36,N30+M31-V30)))</f>
        <v>93.625382374084964</v>
      </c>
      <c r="O31" s="13">
        <f>N31*VLOOKUP('Données projet'!$B$9,Paramètres!$A$1:$I$89,3,0)*VLOOKUP('Données projet'!$B$9,Paramètres!$A$1:$I$89,5,0)</f>
        <v>78.870022111929188</v>
      </c>
      <c r="P31" s="13">
        <f t="shared" si="33"/>
        <v>21.860670334856028</v>
      </c>
      <c r="Q31" s="20">
        <f t="shared" si="2"/>
        <v>175.43928934481758</v>
      </c>
      <c r="R31" s="59">
        <f t="shared" si="0"/>
        <v>410.17075876680167</v>
      </c>
      <c r="S31" s="59">
        <f ca="1">AVERAGE(OFFSET($R$3,0,0,'Données projet'!$E$9+1,1))-AVERAGE(OFFSET($H$3,0,0,'Données projet'!$E$9+1,1))</f>
        <v>456.35333554128226</v>
      </c>
      <c r="T31" s="59">
        <f t="shared" si="34"/>
        <v>296.4517290984877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14.2</v>
      </c>
      <c r="AI31" s="13">
        <f>IF('Données projet'!$A$62&gt;35,AI30+AH31-AQ30,IF(A31&lt;'Données projet'!$A$62,$AF$205^A31,IF(A31='Données projet'!$A$62,'Données projet'!$B$62,AI30+AH31-AQ30)))</f>
        <v>148.59999999999994</v>
      </c>
      <c r="AJ31" s="13">
        <f>AI31*VLOOKUP('Données projet'!$B$10,Paramètres!$A$1:$I$89,3,0)*VLOOKUP('Données projet'!$B$10,Paramètres!$A$1:$I$89,5,0)</f>
        <v>129.81695999999997</v>
      </c>
      <c r="AK31" s="13">
        <f t="shared" si="35"/>
        <v>33.954060694815986</v>
      </c>
      <c r="AL31" s="20">
        <f t="shared" si="4"/>
        <v>285.23452771013774</v>
      </c>
      <c r="AM31" s="59">
        <f t="shared" si="5"/>
        <v>519.96599713212186</v>
      </c>
      <c r="AN31" s="59">
        <f ca="1">AVERAGE(OFFSET($AM$3,0,0,'Données projet'!$E$10+1,1))-AVERAGE(OFFSET($H$3,0,0,'Données projet'!$E$10+1,1))</f>
        <v>408.246209980743</v>
      </c>
      <c r="AO31" s="59">
        <f t="shared" si="36"/>
        <v>394.10236303013903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10.522803923054992</v>
      </c>
      <c r="AW31" s="21">
        <f>EXP(-LN(2)/2)*AW30+(1-EXP(-LN(2)/2))/(LN(2)/2)*AQ31*AT31*VLOOKUP('Données projet'!$B$10,Paramètres!$A$1:$I$89,3,0)*0.475*44/12</f>
        <v>3.0735655112176832</v>
      </c>
      <c r="AX31" s="21">
        <f t="shared" si="6"/>
        <v>13.596369434272676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3.3603333333333336</v>
      </c>
      <c r="BD31" s="12">
        <f>IF('Données projet'!$A$88&gt;35,BD30+BC31-BL30,IF(A31&lt;'Données projet'!$A$88,$BA$205^A31,IF(A31='Données projet'!$A$88,'Données projet'!$B$88,BD30+BC31-BL30)))</f>
        <v>94.089333333333343</v>
      </c>
      <c r="BE31" s="13">
        <f>BD31*VLOOKUP('Données projet'!$B$11,Paramètres!$A$1:$I$89,3,0)*VLOOKUP('Données projet'!$B$11,Paramètres!$A$1:$I$89,5,0)</f>
        <v>95.406584000000024</v>
      </c>
      <c r="BF31" s="13">
        <f t="shared" si="37"/>
        <v>25.864702754127851</v>
      </c>
      <c r="BG31" s="20">
        <f t="shared" si="7"/>
        <v>211.21415776343937</v>
      </c>
      <c r="BH31" s="59">
        <f t="shared" si="8"/>
        <v>445.94562718542346</v>
      </c>
      <c r="BI31" s="59">
        <f ca="1">AVERAGE(OFFSET($BH$3,0,0,'Données projet'!$E$11+1,1))-AVERAGE(OFFSET($H$3,0,0,'Données projet'!$E$11+1,1))</f>
        <v>580.02848304986492</v>
      </c>
      <c r="BJ31" s="59">
        <f t="shared" si="38"/>
        <v>281.68891895586728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11.5</v>
      </c>
      <c r="BY31" s="12">
        <f>IF('Données projet'!$A$114&gt;35,BY30+BX31-CG30,IF(A31&lt;'Données projet'!$A$114,$BV$205^A31,IF(A31='Données projet'!$A$114,'Données projet'!$B$114,BY30+BX31-CG30)))</f>
        <v>120.49999999999996</v>
      </c>
      <c r="BZ31" s="13">
        <f>BY31*VLOOKUP('Données projet'!$B$12,Paramètres!$A$1:$I$89,3,0)*VLOOKUP('Données projet'!$B$12,Paramètres!$A$1:$I$89,5,0)</f>
        <v>93.989999999999966</v>
      </c>
      <c r="CA31" s="13">
        <f t="shared" si="39"/>
        <v>25.525074036970054</v>
      </c>
      <c r="CB31" s="20">
        <f t="shared" si="10"/>
        <v>208.15542061438944</v>
      </c>
      <c r="CC31" s="59">
        <f t="shared" si="11"/>
        <v>442.88689003637353</v>
      </c>
      <c r="CD31" s="59">
        <f ca="1">AVERAGE(OFFSET($CC$3,0,0,'Données projet'!$E$12+1,1))-AVERAGE(OFFSET($H$3,0,0,'Données projet'!$E$12+1,1))</f>
        <v>308.85018589589453</v>
      </c>
      <c r="CE31" s="59">
        <f t="shared" si="40"/>
        <v>302.59481222418219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4.3361194955490303</v>
      </c>
      <c r="CM31" s="21">
        <f>EXP(-LN(2)/2)*CM30+(1-EXP(-LN(2)/2))/(LN(2)/2)*CG31*CJ31*VLOOKUP('Données projet'!$B$12,Paramètres!$A$1:$I$89,3,0)*0.475*44/12</f>
        <v>2.049915537606871</v>
      </c>
      <c r="CN31" s="22">
        <f t="shared" si="12"/>
        <v>6.3860350331559008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8.0769230769230802</v>
      </c>
      <c r="CT31" s="12">
        <f>IF('Données projet'!$A$140&gt;35,CT30+CS31-DB30,IF(A31&lt;'Données projet'!$A$140,$CQ$205^A31,IF(A31='Données projet'!$A$140,'Données projet'!$B$140,CT30+CS31-DB30)))</f>
        <v>117.17948717948721</v>
      </c>
      <c r="CU31" s="17">
        <f>CT31*VLOOKUP('Données projet'!$B$13,Paramètres!$A$1:$I$89,3,0)*VLOOKUP('Données projet'!$B$13,Paramètres!$A$1:$I$89,5,0)</f>
        <v>78.604000000000028</v>
      </c>
      <c r="CV31" s="13">
        <f t="shared" si="41"/>
        <v>21.795505948627731</v>
      </c>
      <c r="CW31" s="20">
        <f t="shared" si="13"/>
        <v>174.86247286052671</v>
      </c>
      <c r="CX31" s="59">
        <f t="shared" si="14"/>
        <v>409.5939422825108</v>
      </c>
      <c r="CY31" s="59">
        <f ca="1">AVERAGE(OFFSET($CX$3,0,0,'Données projet'!$E$13+1,1))-AVERAGE(OFFSET($H$3,0,0,'Données projet'!$E$13+1,1))</f>
        <v>335.73816489539837</v>
      </c>
      <c r="CZ31" s="59">
        <f t="shared" si="42"/>
        <v>254.09787950201044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3.2488670912787803</v>
      </c>
      <c r="DH31" s="21">
        <f>EXP(-LN(2)/2)*DH30+(1-EXP(-LN(2)/2))/(LN(2)/2)*DB31*DE31*VLOOKUP('Données projet'!$B$13,Paramètres!$A$1:$I$89,3,0)*0.475*44/12</f>
        <v>1.0539108189726294</v>
      </c>
      <c r="DI31" s="22">
        <f t="shared" si="15"/>
        <v>4.3027779102514092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4.016578947368421</v>
      </c>
      <c r="DO31" s="12">
        <f>IF('Données projet'!$A$166&gt;35,DO30+DN31-DW30,IF(A31&lt;'Données projet'!$A$166,$DL$205^A31,IF(A31='Données projet'!$A$166,'Données projet'!$B$166,DO30+DN31-DW30)))</f>
        <v>112.46421052631574</v>
      </c>
      <c r="DP31" s="17">
        <f>DO31*VLOOKUP('Données projet'!$B$14,Paramètres!$A$1:$I$89,3,0)*VLOOKUP('Données projet'!$B$14,Paramètres!$A$1:$I$89,5,0)</f>
        <v>108.77538442105259</v>
      </c>
      <c r="DQ31" s="13">
        <f t="shared" si="43"/>
        <v>29.042267863969233</v>
      </c>
      <c r="DR31" s="20">
        <f t="shared" si="16"/>
        <v>240.03241106307971</v>
      </c>
      <c r="DS31" s="59">
        <f t="shared" si="17"/>
        <v>474.76388048506379</v>
      </c>
      <c r="DT31" s="59">
        <f ca="1">AVERAGE(OFFSET($DS$3,0,0,'Données projet'!$E$14+1,1))-AVERAGE(OFFSET($H$3,0,0,'Données projet'!$E$14+1,1))</f>
        <v>493.03862850474161</v>
      </c>
      <c r="DU31" s="59">
        <f t="shared" si="44"/>
        <v>312.51819065560528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4.016578947368421</v>
      </c>
      <c r="EJ31" s="12">
        <f>IF('Données projet'!$A$192&gt;35,EJ30+EI31-ER30,IF(A31&lt;'Données projet'!$A$192,$EG$205^A31,IF(A31='Données projet'!$A$192,'Données projet'!$B$192,EJ30+EI31-ER30)))</f>
        <v>112.46421052631574</v>
      </c>
      <c r="EK31" s="17">
        <f>EJ31*VLOOKUP('Données projet'!$B$15,Paramètres!$A$1:$I$89,3,0)*VLOOKUP('Données projet'!$B$15,Paramètres!$A$1:$I$89,5,0)</f>
        <v>121.05647621052626</v>
      </c>
      <c r="EL31" s="13">
        <f t="shared" si="45"/>
        <v>31.921279176582079</v>
      </c>
      <c r="EM31" s="20">
        <f t="shared" si="19"/>
        <v>266.43625729921371</v>
      </c>
      <c r="EN31" s="59">
        <f t="shared" si="20"/>
        <v>501.16772672119782</v>
      </c>
      <c r="EO31" s="59">
        <f ca="1">AVERAGE(OFFSET($EN$3,0,0,'Données projet'!$E$15+1,1))-AVERAGE(OFFSET($H$3,0,0,'Données projet'!$E$15+1,1))</f>
        <v>539.72194201710272</v>
      </c>
      <c r="EP31" s="59">
        <f t="shared" si="46"/>
        <v>340.76505385159362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14.2</v>
      </c>
      <c r="FE31" s="12">
        <f>IF('Données projet'!$A$218&gt;35,FE30+FD31-FM30,IF(A31&lt;'Données projet'!$A$218,$FB$205^A31,IF(A31='Données projet'!$A$218,'Données projet'!$B$218,FE30+FD31-FM30)))</f>
        <v>148.59999999999994</v>
      </c>
      <c r="FF31" s="17">
        <f>FE31*VLOOKUP('Données projet'!$B$16,Paramètres!$A$1:$I$89,3,0)*VLOOKUP('Données projet'!$B$16,Paramètres!$A$1:$I$89,5,0)</f>
        <v>120.54431999999997</v>
      </c>
      <c r="FG31" s="13">
        <f t="shared" si="47"/>
        <v>31.80191953664422</v>
      </c>
      <c r="FH31" s="20">
        <f t="shared" si="22"/>
        <v>265.33636719298863</v>
      </c>
      <c r="FI31" s="59">
        <f t="shared" si="23"/>
        <v>500.06783661497275</v>
      </c>
      <c r="FJ31" s="59">
        <f ca="1">AVERAGE(OFFSET($FI$3,0,0,'Données projet'!$E$16+1,1))-AVERAGE(OFFSET($H$3,0,0,'Données projet'!$E$16+1,1))</f>
        <v>383.47860767209028</v>
      </c>
      <c r="FK31" s="59">
        <f t="shared" si="48"/>
        <v>370.49129421395628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9.7711750714082086</v>
      </c>
      <c r="FS31" s="21">
        <f>EXP(-LN(2)/2)*FS30+(1-EXP(-LN(2)/2))/(LN(2)/2)*FM31*FP31*VLOOKUP('Données projet'!$B$16,Paramètres!$A$1:$I$89,3,0)*0.475*44/12</f>
        <v>2.8540251175592761</v>
      </c>
      <c r="FT31" s="22">
        <f t="shared" si="24"/>
        <v>12.625200188967485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3.3603333333333336</v>
      </c>
      <c r="FZ31" s="12">
        <f>IF('Données projet'!$A$244&gt;35,FZ30+FY31-GH30,IF(A31&lt;'Données projet'!$A$244,$FW$205^A31,IF(A31='Données projet'!$A$244,'Données projet'!$B$244,FZ30+FY31-GH30)))</f>
        <v>94.089333333333343</v>
      </c>
      <c r="GA31" s="17">
        <f>FZ31*VLOOKUP('Données projet'!$B$17,Paramètres!$A$1:$I$89,3,0)*VLOOKUP('Données projet'!$B$17,Paramètres!$A$1:$I$89,5,0)</f>
        <v>107.14893280000001</v>
      </c>
      <c r="GB31" s="13">
        <f t="shared" si="49"/>
        <v>28.658227700445973</v>
      </c>
      <c r="GC31" s="20">
        <f t="shared" si="25"/>
        <v>236.53080453827673</v>
      </c>
      <c r="GD31" s="59">
        <f t="shared" si="26"/>
        <v>471.26227396026081</v>
      </c>
      <c r="GE31" s="59">
        <f ca="1">AVERAGE(OFFSET($GD$3,0,0,'Données projet'!$E$17+1,1))-AVERAGE(OFFSET($H$3,0,0,'Données projet'!$E$17+1,1))</f>
        <v>640.05156427113661</v>
      </c>
      <c r="GF31" s="59">
        <f t="shared" si="50"/>
        <v>308.77220155372902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4.9119354838709679</v>
      </c>
      <c r="N32" s="13">
        <f>IF('Données projet'!$A$36&gt;35,N31+M32-V31,IF(A32&lt;'Données projet'!$A$36,$K$205^A32,IF(A32='Données projet'!$A$36,'Données projet'!$B$36,N31+M32-V31)))</f>
        <v>110.1033464129905</v>
      </c>
      <c r="O32" s="13">
        <f>N32*VLOOKUP('Données projet'!$B$9,Paramètres!$A$1:$I$89,3,0)*VLOOKUP('Données projet'!$B$9,Paramètres!$A$1:$I$89,5,0)</f>
        <v>92.751059018303209</v>
      </c>
      <c r="P32" s="13">
        <f t="shared" si="33"/>
        <v>25.22754703807103</v>
      </c>
      <c r="Q32" s="20">
        <f t="shared" si="2"/>
        <v>205.47940554818516</v>
      </c>
      <c r="R32" s="59">
        <f t="shared" si="0"/>
        <v>442.40730287096096</v>
      </c>
      <c r="S32" s="59">
        <f ca="1">AVERAGE(OFFSET($R$3,0,0,'Données projet'!$E$9+1,1))-AVERAGE(OFFSET($H$3,0,0,'Données projet'!$E$9+1,1))</f>
        <v>456.35333554128226</v>
      </c>
      <c r="T32" s="59">
        <f t="shared" si="34"/>
        <v>296.4517290984877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14.2</v>
      </c>
      <c r="AI32" s="13">
        <f>IF('Données projet'!$A$62&gt;35,AI31+AH32-AQ31,IF(A32&lt;'Données projet'!$A$62,$AF$205^A32,IF(A32='Données projet'!$A$62,'Données projet'!$B$62,AI31+AH32-AQ31)))</f>
        <v>162.79999999999993</v>
      </c>
      <c r="AJ32" s="13">
        <f>AI32*VLOOKUP('Données projet'!$B$10,Paramètres!$A$1:$I$89,3,0)*VLOOKUP('Données projet'!$B$10,Paramètres!$A$1:$I$89,5,0)</f>
        <v>142.22207999999995</v>
      </c>
      <c r="AK32" s="13">
        <f t="shared" si="35"/>
        <v>36.805585341198615</v>
      </c>
      <c r="AL32" s="20">
        <f t="shared" si="4"/>
        <v>311.80651713592084</v>
      </c>
      <c r="AM32" s="59">
        <f t="shared" si="5"/>
        <v>548.73441445869662</v>
      </c>
      <c r="AN32" s="59">
        <f ca="1">AVERAGE(OFFSET($AM$3,0,0,'Données projet'!$E$10+1,1))-AVERAGE(OFFSET($H$3,0,0,'Données projet'!$E$10+1,1))</f>
        <v>408.246209980743</v>
      </c>
      <c r="AO32" s="59">
        <f t="shared" si="36"/>
        <v>394.10236303013903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10.235057296408845</v>
      </c>
      <c r="AW32" s="21">
        <f>EXP(-LN(2)/2)*AW31+(1-EXP(-LN(2)/2))/(LN(2)/2)*AQ32*AT32*VLOOKUP('Données projet'!$B$10,Paramètres!$A$1:$I$89,3,0)*0.475*44/12</f>
        <v>2.1733390154031214</v>
      </c>
      <c r="AX32" s="21">
        <f t="shared" si="6"/>
        <v>12.408396311811966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3.3603333333333336</v>
      </c>
      <c r="BD32" s="12">
        <f>IF('Données projet'!$A$88&gt;35,BD31+BC32-BL31,IF(A32&lt;'Données projet'!$A$88,$BA$205^A32,IF(A32='Données projet'!$A$88,'Données projet'!$B$88,BD31+BC32-BL31)))</f>
        <v>97.449666666666673</v>
      </c>
      <c r="BE32" s="13">
        <f>BD32*VLOOKUP('Données projet'!$B$11,Paramètres!$A$1:$I$89,3,0)*VLOOKUP('Données projet'!$B$11,Paramètres!$A$1:$I$89,5,0)</f>
        <v>98.813962000000018</v>
      </c>
      <c r="BF32" s="13">
        <f t="shared" si="37"/>
        <v>26.679244441706949</v>
      </c>
      <c r="BG32" s="20">
        <f t="shared" si="7"/>
        <v>218.56733455263964</v>
      </c>
      <c r="BH32" s="59">
        <f t="shared" si="8"/>
        <v>455.49523187541547</v>
      </c>
      <c r="BI32" s="59">
        <f ca="1">AVERAGE(OFFSET($BH$3,0,0,'Données projet'!$E$11+1,1))-AVERAGE(OFFSET($H$3,0,0,'Données projet'!$E$11+1,1))</f>
        <v>580.02848304986492</v>
      </c>
      <c r="BJ32" s="59">
        <f t="shared" si="38"/>
        <v>281.68891895586728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11.5</v>
      </c>
      <c r="BY32" s="12">
        <f>IF('Données projet'!$A$114&gt;35,BY31+BX32-CG31,IF(A32&lt;'Données projet'!$A$114,$BV$205^A32,IF(A32='Données projet'!$A$114,'Données projet'!$B$114,BY31+BX32-CG31)))</f>
        <v>131.99999999999994</v>
      </c>
      <c r="BZ32" s="13">
        <f>BY32*VLOOKUP('Données projet'!$B$12,Paramètres!$A$1:$I$89,3,0)*VLOOKUP('Données projet'!$B$12,Paramètres!$A$1:$I$89,5,0)</f>
        <v>102.95999999999997</v>
      </c>
      <c r="CA32" s="13">
        <f t="shared" si="39"/>
        <v>27.665975080374633</v>
      </c>
      <c r="CB32" s="20">
        <f t="shared" si="10"/>
        <v>227.50690659831903</v>
      </c>
      <c r="CC32" s="59">
        <f t="shared" si="11"/>
        <v>464.43480392109484</v>
      </c>
      <c r="CD32" s="59">
        <f ca="1">AVERAGE(OFFSET($CC$3,0,0,'Données projet'!$E$12+1,1))-AVERAGE(OFFSET($H$3,0,0,'Données projet'!$E$12+1,1))</f>
        <v>308.85018589589453</v>
      </c>
      <c r="CE32" s="59">
        <f t="shared" si="40"/>
        <v>302.59481222418219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4.2175480799166278</v>
      </c>
      <c r="CM32" s="21">
        <f>EXP(-LN(2)/2)*CM31+(1-EXP(-LN(2)/2))/(LN(2)/2)*CG32*CJ32*VLOOKUP('Données projet'!$B$12,Paramètres!$A$1:$I$89,3,0)*0.475*44/12</f>
        <v>1.4495091775014857</v>
      </c>
      <c r="CN32" s="22">
        <f t="shared" si="12"/>
        <v>5.6670572574181133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8.0769230769230802</v>
      </c>
      <c r="CT32" s="12">
        <f>IF('Données projet'!$A$140&gt;35,CT31+CS32-DB31,IF(A32&lt;'Données projet'!$A$140,$CQ$205^A32,IF(A32='Données projet'!$A$140,'Données projet'!$B$140,CT31+CS32-DB31)))</f>
        <v>125.25641025641029</v>
      </c>
      <c r="CU32" s="17">
        <f>CT32*VLOOKUP('Données projet'!$B$13,Paramètres!$A$1:$I$89,3,0)*VLOOKUP('Données projet'!$B$13,Paramètres!$A$1:$I$89,5,0)</f>
        <v>84.022000000000034</v>
      </c>
      <c r="CV32" s="13">
        <f t="shared" si="41"/>
        <v>23.117759050061025</v>
      </c>
      <c r="CW32" s="20">
        <f t="shared" si="13"/>
        <v>186.60174701218966</v>
      </c>
      <c r="CX32" s="59">
        <f t="shared" si="14"/>
        <v>423.5296443349655</v>
      </c>
      <c r="CY32" s="59">
        <f ca="1">AVERAGE(OFFSET($CX$3,0,0,'Données projet'!$E$13+1,1))-AVERAGE(OFFSET($H$3,0,0,'Données projet'!$E$13+1,1))</f>
        <v>335.73816489539837</v>
      </c>
      <c r="CZ32" s="59">
        <f t="shared" si="42"/>
        <v>254.09787950201044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3.1600266498172669</v>
      </c>
      <c r="DH32" s="21">
        <f>EXP(-LN(2)/2)*DH31+(1-EXP(-LN(2)/2))/(LN(2)/2)*DB32*DE32*VLOOKUP('Données projet'!$B$13,Paramètres!$A$1:$I$89,3,0)*0.475*44/12</f>
        <v>0.74522748686141416</v>
      </c>
      <c r="DI32" s="22">
        <f t="shared" si="15"/>
        <v>3.905254136678681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4.016578947368421</v>
      </c>
      <c r="DO32" s="12">
        <f>IF('Données projet'!$A$166&gt;35,DO31+DN32-DW31,IF(A32&lt;'Données projet'!$A$166,$DL$205^A32,IF(A32='Données projet'!$A$166,'Données projet'!$B$166,DO31+DN32-DW31)))</f>
        <v>116.48078947368415</v>
      </c>
      <c r="DP32" s="17">
        <f>DO32*VLOOKUP('Données projet'!$B$14,Paramètres!$A$1:$I$89,3,0)*VLOOKUP('Données projet'!$B$14,Paramètres!$A$1:$I$89,5,0)</f>
        <v>112.66021957894732</v>
      </c>
      <c r="DQ32" s="13">
        <f t="shared" si="43"/>
        <v>29.956878718071046</v>
      </c>
      <c r="DR32" s="20">
        <f t="shared" si="16"/>
        <v>248.39144620064033</v>
      </c>
      <c r="DS32" s="59">
        <f t="shared" si="17"/>
        <v>485.31934352341614</v>
      </c>
      <c r="DT32" s="59">
        <f ca="1">AVERAGE(OFFSET($DS$3,0,0,'Données projet'!$E$14+1,1))-AVERAGE(OFFSET($H$3,0,0,'Données projet'!$E$14+1,1))</f>
        <v>493.03862850474161</v>
      </c>
      <c r="DU32" s="59">
        <f t="shared" si="44"/>
        <v>312.51819065560528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4.016578947368421</v>
      </c>
      <c r="EJ32" s="12">
        <f>IF('Données projet'!$A$192&gt;35,EJ31+EI32-ER31,IF(A32&lt;'Données projet'!$A$192,$EG$205^A32,IF(A32='Données projet'!$A$192,'Données projet'!$B$192,EJ31+EI32-ER31)))</f>
        <v>116.48078947368415</v>
      </c>
      <c r="EK32" s="17">
        <f>EJ32*VLOOKUP('Données projet'!$B$15,Paramètres!$A$1:$I$89,3,0)*VLOOKUP('Données projet'!$B$15,Paramètres!$A$1:$I$89,5,0)</f>
        <v>125.37992178947361</v>
      </c>
      <c r="EL32" s="13">
        <f t="shared" si="45"/>
        <v>32.926557020187957</v>
      </c>
      <c r="EM32" s="20">
        <f t="shared" si="19"/>
        <v>275.71711726016053</v>
      </c>
      <c r="EN32" s="59">
        <f t="shared" si="20"/>
        <v>512.64501458293637</v>
      </c>
      <c r="EO32" s="59">
        <f ca="1">AVERAGE(OFFSET($EN$3,0,0,'Données projet'!$E$15+1,1))-AVERAGE(OFFSET($H$3,0,0,'Données projet'!$E$15+1,1))</f>
        <v>539.72194201710272</v>
      </c>
      <c r="EP32" s="59">
        <f t="shared" si="46"/>
        <v>340.76505385159362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14.2</v>
      </c>
      <c r="FE32" s="12">
        <f>IF('Données projet'!$A$218&gt;35,FE31+FD32-FM31,IF(A32&lt;'Données projet'!$A$218,$FB$205^A32,IF(A32='Données projet'!$A$218,'Données projet'!$B$218,FE31+FD32-FM31)))</f>
        <v>162.79999999999993</v>
      </c>
      <c r="FF32" s="17">
        <f>FE32*VLOOKUP('Données projet'!$B$16,Paramètres!$A$1:$I$89,3,0)*VLOOKUP('Données projet'!$B$16,Paramètres!$A$1:$I$89,5,0)</f>
        <v>132.06335999999996</v>
      </c>
      <c r="FG32" s="13">
        <f t="shared" si="47"/>
        <v>34.472703398877925</v>
      </c>
      <c r="FH32" s="20">
        <f t="shared" si="22"/>
        <v>290.05031041971233</v>
      </c>
      <c r="FI32" s="59">
        <f t="shared" si="23"/>
        <v>526.97820774248817</v>
      </c>
      <c r="FJ32" s="59">
        <f ca="1">AVERAGE(OFFSET($FI$3,0,0,'Données projet'!$E$16+1,1))-AVERAGE(OFFSET($H$3,0,0,'Données projet'!$E$16+1,1))</f>
        <v>383.47860767209028</v>
      </c>
      <c r="FK32" s="59">
        <f t="shared" si="48"/>
        <v>370.49129421395628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9.5039817752367863</v>
      </c>
      <c r="FS32" s="21">
        <f>EXP(-LN(2)/2)*FS31+(1-EXP(-LN(2)/2))/(LN(2)/2)*FM32*FP32*VLOOKUP('Données projet'!$B$16,Paramètres!$A$1:$I$89,3,0)*0.475*44/12</f>
        <v>2.0181005143028976</v>
      </c>
      <c r="FT32" s="22">
        <f t="shared" si="24"/>
        <v>11.522082289539684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3.3603333333333336</v>
      </c>
      <c r="FZ32" s="12">
        <f>IF('Données projet'!$A$244&gt;35,FZ31+FY32-GH31,IF(A32&lt;'Données projet'!$A$244,$FW$205^A32,IF(A32='Données projet'!$A$244,'Données projet'!$B$244,FZ31+FY32-GH31)))</f>
        <v>97.449666666666673</v>
      </c>
      <c r="GA32" s="17">
        <f>FZ32*VLOOKUP('Données projet'!$B$17,Paramètres!$A$1:$I$89,3,0)*VLOOKUP('Données projet'!$B$17,Paramètres!$A$1:$I$89,5,0)</f>
        <v>110.9756804</v>
      </c>
      <c r="GB32" s="13">
        <f t="shared" si="49"/>
        <v>29.560744206282198</v>
      </c>
      <c r="GC32" s="20">
        <f t="shared" si="25"/>
        <v>244.76760618927483</v>
      </c>
      <c r="GD32" s="59">
        <f t="shared" si="26"/>
        <v>481.69550351205066</v>
      </c>
      <c r="GE32" s="59">
        <f ca="1">AVERAGE(OFFSET($GD$3,0,0,'Données projet'!$E$17+1,1))-AVERAGE(OFFSET($H$3,0,0,'Données projet'!$E$17+1,1))</f>
        <v>640.05156427113661</v>
      </c>
      <c r="GF32" s="59">
        <f t="shared" si="50"/>
        <v>308.77220155372902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4.9119354838709679</v>
      </c>
      <c r="N33" s="13">
        <f>IF('Données projet'!$A$36&gt;35,N32+M33-V32,IF(A33&lt;'Données projet'!$A$36,$K$205^A33,IF(A33='Données projet'!$A$36,'Données projet'!$B$36,N32+M33-V32)))</f>
        <v>129.48141394928501</v>
      </c>
      <c r="O33" s="13">
        <f>N33*VLOOKUP('Données projet'!$B$9,Paramètres!$A$1:$I$89,3,0)*VLOOKUP('Données projet'!$B$9,Paramètres!$A$1:$I$89,5,0)</f>
        <v>109.0751431108777</v>
      </c>
      <c r="P33" s="13">
        <f t="shared" si="33"/>
        <v>29.112974113301696</v>
      </c>
      <c r="Q33" s="20">
        <f t="shared" si="2"/>
        <v>240.67763749877909</v>
      </c>
      <c r="R33" s="59">
        <f t="shared" si="0"/>
        <v>479.78506243182107</v>
      </c>
      <c r="S33" s="59">
        <f ca="1">AVERAGE(OFFSET($R$3,0,0,'Données projet'!$E$9+1,1))-AVERAGE(OFFSET($H$3,0,0,'Données projet'!$E$9+1,1))</f>
        <v>456.35333554128226</v>
      </c>
      <c r="T33" s="59">
        <f t="shared" si="34"/>
        <v>296.4517290984877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177</v>
      </c>
      <c r="AG33" s="12">
        <f>VLOOKUP(A33,'Données projet'!$A$61:$I$81,9,0)</f>
        <v>14.2</v>
      </c>
      <c r="AH33" s="12">
        <f t="array" ref="AH33">INDEX(AG:AG,MIN(IF(ISNUMBER(AG33:AG229),ROW(AG33:AG229),"")))</f>
        <v>14.2</v>
      </c>
      <c r="AI33" s="13">
        <f>IF('Données projet'!$A$62&gt;35,AI32+AH33-AQ32,IF(A33&lt;'Données projet'!$A$62,$AF$205^A33,IF(A33='Données projet'!$A$62,'Données projet'!$B$62,AI32+AH33-AQ32)))</f>
        <v>176.99999999999991</v>
      </c>
      <c r="AJ33" s="13">
        <f>AI33*VLOOKUP('Données projet'!$B$10,Paramètres!$A$1:$I$89,3,0)*VLOOKUP('Données projet'!$B$10,Paramètres!$A$1:$I$89,5,0)</f>
        <v>154.62719999999996</v>
      </c>
      <c r="AK33" s="13">
        <f t="shared" si="35"/>
        <v>39.62826685000794</v>
      </c>
      <c r="AL33" s="20">
        <f t="shared" si="4"/>
        <v>338.32827143043039</v>
      </c>
      <c r="AM33" s="59">
        <f t="shared" si="5"/>
        <v>577.4356963634724</v>
      </c>
      <c r="AN33" s="59">
        <f ca="1">AVERAGE(OFFSET($AM$3,0,0,'Données projet'!$E$10+1,1))-AVERAGE(OFFSET($H$3,0,0,'Données projet'!$E$10+1,1))</f>
        <v>408.246209980743</v>
      </c>
      <c r="AO33" s="59">
        <f t="shared" si="36"/>
        <v>394.10236303013903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35</v>
      </c>
      <c r="AR33" s="16">
        <f>IF(ISNA(VLOOKUP(A33,'Données projet'!$A$61:$I$81,5,0)),0%,VLOOKUP(A33,'Données projet'!$A$61:$I$81,5,0)*VLOOKUP('Données projet'!$B$10,Paramètres!$A$1:$I$89,7,0))</f>
        <v>0.13250000000000001</v>
      </c>
      <c r="AS33" s="16">
        <f>IF(ISNA(VLOOKUP(A33,'Données projet'!$A$61:$I$81,6,0)),0%,VLOOKUP(A33,'Données projet'!$A$61:$I$81,6,0)*VLOOKUP('Données projet'!$B$10,Paramètres!$A$1:$I$89,7,0))</f>
        <v>0.13250000000000001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4.4786142580094328</v>
      </c>
      <c r="AV33" s="21">
        <f>EXP(-LN(2)/25)*AV32+(1-EXP(-LN(2)/25))/(LN(2)/25)*Calculateur!AQ33*Calculateur!AS33*VLOOKUP('Données projet'!$B$10,Paramètres!$A$1:$I$89,3,0)*0.475*44/12</f>
        <v>14.416159363590104</v>
      </c>
      <c r="AW33" s="21">
        <f>EXP(-LN(2)/2)*AW32+(1-EXP(-LN(2)/2))/(LN(2)/2)*AQ33*AT33*VLOOKUP('Données projet'!$B$10,Paramètres!$A$1:$I$89,3,0)*0.475*44/12</f>
        <v>8.7491024908524295</v>
      </c>
      <c r="AX33" s="21">
        <f t="shared" si="6"/>
        <v>27.643876112451967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3.3603333333333336</v>
      </c>
      <c r="BD33" s="12">
        <f>IF('Données projet'!$A$88&gt;35,BD32+BC33-BL32,IF(A33&lt;'Données projet'!$A$88,$BA$205^A33,IF(A33='Données projet'!$A$88,'Données projet'!$B$88,BD32+BC33-BL32)))</f>
        <v>100.81</v>
      </c>
      <c r="BE33" s="13">
        <f>BD33*VLOOKUP('Données projet'!$B$11,Paramètres!$A$1:$I$89,3,0)*VLOOKUP('Données projet'!$B$11,Paramètres!$A$1:$I$89,5,0)</f>
        <v>102.22134</v>
      </c>
      <c r="BF33" s="13">
        <f t="shared" si="37"/>
        <v>27.490522596837476</v>
      </c>
      <c r="BG33" s="20">
        <f t="shared" si="7"/>
        <v>225.91482735615861</v>
      </c>
      <c r="BH33" s="59">
        <f t="shared" si="8"/>
        <v>465.02225228920059</v>
      </c>
      <c r="BI33" s="59">
        <f ca="1">AVERAGE(OFFSET($BH$3,0,0,'Données projet'!$E$11+1,1))-AVERAGE(OFFSET($H$3,0,0,'Données projet'!$E$11+1,1))</f>
        <v>580.02848304986492</v>
      </c>
      <c r="BJ33" s="59">
        <f t="shared" si="38"/>
        <v>281.68891895586728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11.5</v>
      </c>
      <c r="BY33" s="12">
        <f>IF('Données projet'!$A$114&gt;35,BY32+BX33-CG32,IF(A33&lt;'Données projet'!$A$114,$BV$205^A33,IF(A33='Données projet'!$A$114,'Données projet'!$B$114,BY32+BX33-CG32)))</f>
        <v>143.49999999999994</v>
      </c>
      <c r="BZ33" s="13">
        <f>BY33*VLOOKUP('Données projet'!$B$12,Paramètres!$A$1:$I$89,3,0)*VLOOKUP('Données projet'!$B$12,Paramètres!$A$1:$I$89,5,0)</f>
        <v>111.92999999999996</v>
      </c>
      <c r="CA33" s="13">
        <f t="shared" si="39"/>
        <v>29.785246291563833</v>
      </c>
      <c r="CB33" s="20">
        <f t="shared" si="10"/>
        <v>246.82072062447358</v>
      </c>
      <c r="CC33" s="59">
        <f t="shared" si="11"/>
        <v>485.92814555751556</v>
      </c>
      <c r="CD33" s="59">
        <f ca="1">AVERAGE(OFFSET($CC$3,0,0,'Données projet'!$E$12+1,1))-AVERAGE(OFFSET($H$3,0,0,'Données projet'!$E$12+1,1))</f>
        <v>308.85018589589453</v>
      </c>
      <c r="CE33" s="59">
        <f t="shared" si="40"/>
        <v>302.59481222418219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4.1022190058800936</v>
      </c>
      <c r="CM33" s="21">
        <f>EXP(-LN(2)/2)*CM32+(1-EXP(-LN(2)/2))/(LN(2)/2)*CG33*CJ33*VLOOKUP('Données projet'!$B$12,Paramètres!$A$1:$I$89,3,0)*0.475*44/12</f>
        <v>1.0249577688034355</v>
      </c>
      <c r="CN33" s="22">
        <f t="shared" si="12"/>
        <v>5.1271767746835293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133.33333333333334</v>
      </c>
      <c r="CR33" s="12">
        <f>VLOOKUP(A33,'Données projet'!$A$139:$I$159,9,0)</f>
        <v>8.0769230769230802</v>
      </c>
      <c r="CS33" s="12">
        <f t="array" ref="CS33">INDEX(CR:CR,MIN(IF(ISNUMBER(CR33:CR229),ROW(CR33:CR229),"")))</f>
        <v>8.0769230769230802</v>
      </c>
      <c r="CT33" s="12">
        <f>IF('Données projet'!$A$140&gt;35,CT32+CS33-DB32,IF(A33&lt;'Données projet'!$A$140,$CQ$205^A33,IF(A33='Données projet'!$A$140,'Données projet'!$B$140,CT32+CS33-DB32)))</f>
        <v>133.33333333333337</v>
      </c>
      <c r="CU33" s="17">
        <f>CT33*VLOOKUP('Données projet'!$B$13,Paramètres!$A$1:$I$89,3,0)*VLOOKUP('Données projet'!$B$13,Paramètres!$A$1:$I$89,5,0)</f>
        <v>89.440000000000026</v>
      </c>
      <c r="CV33" s="13">
        <f t="shared" si="41"/>
        <v>24.430117455867048</v>
      </c>
      <c r="CW33" s="20">
        <f t="shared" si="13"/>
        <v>198.3237879023018</v>
      </c>
      <c r="CX33" s="59">
        <f t="shared" si="14"/>
        <v>437.43121283534379</v>
      </c>
      <c r="CY33" s="59">
        <f ca="1">AVERAGE(OFFSET($CX$3,0,0,'Données projet'!$E$13+1,1))-AVERAGE(OFFSET($H$3,0,0,'Données projet'!$E$13+1,1))</f>
        <v>335.73816489539837</v>
      </c>
      <c r="CZ33" s="59">
        <f t="shared" si="42"/>
        <v>254.09787950201044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16.666666666666668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4.7047562915419743</v>
      </c>
      <c r="DH33" s="21">
        <f>EXP(-LN(2)/2)*DH32+(1-EXP(-LN(2)/2))/(LN(2)/2)*DB33*DE33*VLOOKUP('Données projet'!$B$13,Paramètres!$A$1:$I$89,3,0)*0.475*44/12</f>
        <v>3.1641131358083752</v>
      </c>
      <c r="DI33" s="22">
        <f t="shared" si="15"/>
        <v>7.868869427350349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4.016578947368421</v>
      </c>
      <c r="DO33" s="12">
        <f>IF('Données projet'!$A$166&gt;35,DO32+DN33-DW32,IF(A33&lt;'Données projet'!$A$166,$DL$205^A33,IF(A33='Données projet'!$A$166,'Données projet'!$B$166,DO32+DN33-DW32)))</f>
        <v>120.49736842105257</v>
      </c>
      <c r="DP33" s="17">
        <f>DO33*VLOOKUP('Données projet'!$B$14,Paramètres!$A$1:$I$89,3,0)*VLOOKUP('Données projet'!$B$14,Paramètres!$A$1:$I$89,5,0)</f>
        <v>116.54505473684206</v>
      </c>
      <c r="DQ33" s="13">
        <f t="shared" si="43"/>
        <v>30.867825103864195</v>
      </c>
      <c r="DR33" s="20">
        <f t="shared" si="16"/>
        <v>256.7440990558967</v>
      </c>
      <c r="DS33" s="59">
        <f t="shared" si="17"/>
        <v>495.85152398893865</v>
      </c>
      <c r="DT33" s="59">
        <f ca="1">AVERAGE(OFFSET($DS$3,0,0,'Données projet'!$E$14+1,1))-AVERAGE(OFFSET($H$3,0,0,'Données projet'!$E$14+1,1))</f>
        <v>493.03862850474161</v>
      </c>
      <c r="DU33" s="59">
        <f t="shared" si="44"/>
        <v>312.51819065560528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4.016578947368421</v>
      </c>
      <c r="EJ33" s="12">
        <f>IF('Données projet'!$A$192&gt;35,EJ32+EI33-ER32,IF(A33&lt;'Données projet'!$A$192,$EG$205^A33,IF(A33='Données projet'!$A$192,'Données projet'!$B$192,EJ32+EI33-ER32)))</f>
        <v>120.49736842105257</v>
      </c>
      <c r="EK33" s="17">
        <f>EJ33*VLOOKUP('Données projet'!$B$15,Paramètres!$A$1:$I$89,3,0)*VLOOKUP('Données projet'!$B$15,Paramètres!$A$1:$I$89,5,0)</f>
        <v>129.703367368421</v>
      </c>
      <c r="EL33" s="13">
        <f t="shared" si="45"/>
        <v>33.927807130269002</v>
      </c>
      <c r="EM33" s="20">
        <f t="shared" si="19"/>
        <v>284.99096225188504</v>
      </c>
      <c r="EN33" s="59">
        <f t="shared" si="20"/>
        <v>524.09838718492699</v>
      </c>
      <c r="EO33" s="59">
        <f ca="1">AVERAGE(OFFSET($EN$3,0,0,'Données projet'!$E$15+1,1))-AVERAGE(OFFSET($H$3,0,0,'Données projet'!$E$15+1,1))</f>
        <v>539.72194201710272</v>
      </c>
      <c r="EP33" s="59">
        <f t="shared" si="46"/>
        <v>340.76505385159362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177</v>
      </c>
      <c r="FC33" s="12">
        <f>VLOOKUP(A33,'Données projet'!$A$217:$I$237,9,0)</f>
        <v>14.2</v>
      </c>
      <c r="FD33" s="12">
        <f t="array" ref="FD33">INDEX(FC:FC,MIN(IF(ISNUMBER(FC33:FC229),ROW(FC33:FC229),"")))</f>
        <v>14.2</v>
      </c>
      <c r="FE33" s="12">
        <f>IF('Données projet'!$A$218&gt;35,FE32+FD33-FM32,IF(A33&lt;'Données projet'!$A$218,$FB$205^A33,IF(A33='Données projet'!$A$218,'Données projet'!$B$218,FE32+FD33-FM32)))</f>
        <v>176.99999999999991</v>
      </c>
      <c r="FF33" s="17">
        <f>FE33*VLOOKUP('Données projet'!$B$16,Paramètres!$A$1:$I$89,3,0)*VLOOKUP('Données projet'!$B$16,Paramètres!$A$1:$I$89,5,0)</f>
        <v>143.58239999999995</v>
      </c>
      <c r="FG33" s="13">
        <f t="shared" si="47"/>
        <v>37.116472314400653</v>
      </c>
      <c r="FH33" s="20">
        <f t="shared" si="22"/>
        <v>314.7172026142477</v>
      </c>
      <c r="FI33" s="59">
        <f t="shared" si="23"/>
        <v>553.82462754728965</v>
      </c>
      <c r="FJ33" s="59">
        <f ca="1">AVERAGE(OFFSET($FI$3,0,0,'Données projet'!$E$16+1,1))-AVERAGE(OFFSET($H$3,0,0,'Données projet'!$E$16+1,1))</f>
        <v>383.47860767209028</v>
      </c>
      <c r="FK33" s="59">
        <f t="shared" si="48"/>
        <v>370.49129421395628</v>
      </c>
      <c r="FL33" s="15">
        <f>IF(ISNA(VLOOKUP(A33,'Données projet'!$A$217:$I$237,3,0)),0,VLOOKUP(A33,'Données projet'!$A$217:$I$237,3,0))</f>
        <v>4</v>
      </c>
      <c r="FM33" s="15">
        <f>IF(ISNA(VLOOKUP(A33,'Données projet'!$A$217:$I$237,4,0)),0,VLOOKUP(A33,'Données projet'!$A$217:$I$237,4,0))</f>
        <v>35</v>
      </c>
      <c r="FN33" s="16">
        <f>IF(ISNA(VLOOKUP(A33,'Données projet'!$A$217:$I$237,5,0)),0%,VLOOKUP(A33,'Données projet'!$A$217:$I$237,5,0)*VLOOKUP('Données projet'!$B$16,Paramètres!$A$1:$I$89,7,0))</f>
        <v>0.13250000000000001</v>
      </c>
      <c r="FO33" s="16">
        <f>IF(ISNA(VLOOKUP(A33,'Données projet'!$A$217:$I$237,6,0)),0%,VLOOKUP(A33,'Données projet'!$A$217:$I$237,6,0)*VLOOKUP('Données projet'!$B$16,Paramètres!$A$1:$I$89,7,0))</f>
        <v>0.13250000000000001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4.1587132395801873</v>
      </c>
      <c r="FR33" s="21">
        <f>EXP(-LN(2)/25)*FR32+(1-EXP(-LN(2)/25))/(LN(2)/25)*Calculateur!FM33*Calculateur!FO33*VLOOKUP('Données projet'!$B$16,Paramètres!$A$1:$I$89,3,0)*0.475*44/12</f>
        <v>13.386433694762241</v>
      </c>
      <c r="FS33" s="21">
        <f>EXP(-LN(2)/2)*FS32+(1-EXP(-LN(2)/2))/(LN(2)/2)*FM33*FP33*VLOOKUP('Données projet'!$B$16,Paramètres!$A$1:$I$89,3,0)*0.475*44/12</f>
        <v>8.1241665986486833</v>
      </c>
      <c r="FT33" s="22">
        <f t="shared" si="24"/>
        <v>25.669313532991112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3.3603333333333336</v>
      </c>
      <c r="FZ33" s="12">
        <f>IF('Données projet'!$A$244&gt;35,FZ32+FY33-GH32,IF(A33&lt;'Données projet'!$A$244,$FW$205^A33,IF(A33='Données projet'!$A$244,'Données projet'!$B$244,FZ32+FY33-GH32)))</f>
        <v>100.81</v>
      </c>
      <c r="GA33" s="17">
        <f>FZ33*VLOOKUP('Données projet'!$B$17,Paramètres!$A$1:$I$89,3,0)*VLOOKUP('Données projet'!$B$17,Paramètres!$A$1:$I$89,5,0)</f>
        <v>114.80242800000001</v>
      </c>
      <c r="GB33" s="13">
        <f t="shared" si="49"/>
        <v>30.459644700872925</v>
      </c>
      <c r="GC33" s="20">
        <f t="shared" si="25"/>
        <v>252.99810995402035</v>
      </c>
      <c r="GD33" s="59">
        <f t="shared" si="26"/>
        <v>492.10553488706233</v>
      </c>
      <c r="GE33" s="59">
        <f ca="1">AVERAGE(OFFSET($GD$3,0,0,'Données projet'!$E$17+1,1))-AVERAGE(OFFSET($H$3,0,0,'Données projet'!$E$17+1,1))</f>
        <v>640.05156427113661</v>
      </c>
      <c r="GF33" s="59">
        <f t="shared" si="50"/>
        <v>308.77220155372902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152.27000000000001</v>
      </c>
      <c r="L34" s="12">
        <f>VLOOKUP(A34,'Données projet'!$A$35:$I$55,9,0)</f>
        <v>4.9119354838709679</v>
      </c>
      <c r="M34" s="12">
        <f t="array" ref="M34">INDEX(L:L,MIN(IF(ISNUMBER(L34:L230),ROW(L34:L230),"")))</f>
        <v>4.9119354838709679</v>
      </c>
      <c r="N34" s="13">
        <f>IF('Données projet'!$A$36&gt;35,N33+M34-V33,IF(A34&lt;'Données projet'!$A$36,$K$205^A34,IF(A34='Données projet'!$A$36,'Données projet'!$B$36,N33+M34-V33)))</f>
        <v>152.27000000000001</v>
      </c>
      <c r="O34" s="13">
        <f>N34*VLOOKUP('Données projet'!$B$9,Paramètres!$A$1:$I$89,3,0)*VLOOKUP('Données projet'!$B$9,Paramètres!$A$1:$I$89,5,0)</f>
        <v>128.27224800000002</v>
      </c>
      <c r="P34" s="13">
        <f t="shared" si="33"/>
        <v>33.596816228018859</v>
      </c>
      <c r="Q34" s="20">
        <f t="shared" si="2"/>
        <v>281.92195353046623</v>
      </c>
      <c r="R34" s="59">
        <f t="shared" si="0"/>
        <v>521.97007674328381</v>
      </c>
      <c r="S34" s="59">
        <f ca="1">AVERAGE(OFFSET($R$3,0,0,'Données projet'!$E$9+1,1))-AVERAGE(OFFSET($H$3,0,0,'Données projet'!$E$9+1,1))</f>
        <v>456.35333554128226</v>
      </c>
      <c r="T34" s="59">
        <f t="shared" si="34"/>
        <v>296.4517290984877</v>
      </c>
      <c r="U34" s="15">
        <f>IF(ISNA(VLOOKUP(A34,'Données projet'!$A$35:$I$55,3,0)),0,VLOOKUP(A34,'Données projet'!$A$35:$I$55,3,0))</f>
        <v>1</v>
      </c>
      <c r="V34" s="15">
        <f>IF(ISNA(VLOOKUP(A34,'Données projet'!$A$35:$I$55,4,0)),0,VLOOKUP(A34,'Données projet'!$A$35:$I$55,4,0))</f>
        <v>65.77000000000001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0.34400000000000003</v>
      </c>
      <c r="Y34" s="16">
        <f>IF(ISNA(VLOOKUP(A34,'Données projet'!$A$35:$I$55,7,0)),0%,VLOOKUP(A34,'Données projet'!$A$35:$I$55,7,0))</f>
        <v>0.2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20.986421678291009</v>
      </c>
      <c r="AB34" s="21">
        <f>EXP(-LN(2)/2)*AB33+(1-EXP(-LN(2)/2))/(LN(2)/2)*V34*Y34*VLOOKUP('Données projet'!$B$9,Paramètres!$A$1:$I$89,3,0)*0.475*44/12</f>
        <v>10.45515531644752</v>
      </c>
      <c r="AC34" s="22">
        <f t="shared" si="3"/>
        <v>31.441576994738529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12.8</v>
      </c>
      <c r="AI34" s="13">
        <f>IF('Données projet'!$A$62&gt;35,AI33+AH34-AQ33,IF(A34&lt;'Données projet'!$A$62,$AF$205^A34,IF(A34='Données projet'!$A$62,'Données projet'!$B$62,AI33+AH34-AQ33)))</f>
        <v>154.79999999999993</v>
      </c>
      <c r="AJ34" s="13">
        <f>AI34*VLOOKUP('Données projet'!$B$10,Paramètres!$A$1:$I$89,3,0)*VLOOKUP('Données projet'!$B$10,Paramètres!$A$1:$I$89,5,0)</f>
        <v>135.23327999999995</v>
      </c>
      <c r="AK34" s="13">
        <f t="shared" si="35"/>
        <v>35.202825080004438</v>
      </c>
      <c r="AL34" s="20">
        <f t="shared" si="4"/>
        <v>296.842883014341</v>
      </c>
      <c r="AM34" s="59">
        <f t="shared" si="5"/>
        <v>536.89100622715853</v>
      </c>
      <c r="AN34" s="59">
        <f ca="1">AVERAGE(OFFSET($AM$3,0,0,'Données projet'!$E$10+1,1))-AVERAGE(OFFSET($H$3,0,0,'Données projet'!$E$10+1,1))</f>
        <v>408.246209980743</v>
      </c>
      <c r="AO34" s="59">
        <f t="shared" si="36"/>
        <v>394.10236303013903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4.3907913640948335</v>
      </c>
      <c r="AV34" s="21">
        <f>EXP(-LN(2)/25)*AV33+(1-EXP(-LN(2)/25))/(LN(2)/25)*Calculateur!AQ34*Calculateur!AS34*VLOOKUP('Données projet'!$B$10,Paramètres!$A$1:$I$89,3,0)*0.475*44/12</f>
        <v>14.02194872767986</v>
      </c>
      <c r="AW34" s="21">
        <f>EXP(-LN(2)/2)*AW33+(1-EXP(-LN(2)/2))/(LN(2)/2)*AQ34*AT34*VLOOKUP('Données projet'!$B$10,Paramètres!$A$1:$I$89,3,0)*0.475*44/12</f>
        <v>6.1865497005778671</v>
      </c>
      <c r="AX34" s="21">
        <f t="shared" si="6"/>
        <v>24.599289792352561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3.3603333333333336</v>
      </c>
      <c r="BD34" s="12">
        <f>IF('Données projet'!$A$88&gt;35,BD33+BC34-BL33,IF(A34&lt;'Données projet'!$A$88,$BA$205^A34,IF(A34='Données projet'!$A$88,'Données projet'!$B$88,BD33+BC34-BL33)))</f>
        <v>104.17033333333333</v>
      </c>
      <c r="BE34" s="13">
        <f>BD34*VLOOKUP('Données projet'!$B$11,Paramètres!$A$1:$I$89,3,0)*VLOOKUP('Données projet'!$B$11,Paramètres!$A$1:$I$89,5,0)</f>
        <v>105.62871800000001</v>
      </c>
      <c r="BF34" s="13">
        <f t="shared" si="37"/>
        <v>28.298658476747377</v>
      </c>
      <c r="BG34" s="20">
        <f t="shared" si="7"/>
        <v>233.25684736366836</v>
      </c>
      <c r="BH34" s="59">
        <f t="shared" si="8"/>
        <v>473.30497057648591</v>
      </c>
      <c r="BI34" s="59">
        <f ca="1">AVERAGE(OFFSET($BH$3,0,0,'Données projet'!$E$11+1,1))-AVERAGE(OFFSET($H$3,0,0,'Données projet'!$E$11+1,1))</f>
        <v>580.02848304986492</v>
      </c>
      <c r="BJ34" s="59">
        <f t="shared" si="38"/>
        <v>281.68891895586728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>
        <f>VLOOKUP(A34,'Données projet'!$A$113:$I$133,2,0)</f>
        <v>155</v>
      </c>
      <c r="BW34" s="12">
        <f>VLOOKUP(A34,'Données projet'!$A$113:$I$133,9,0)</f>
        <v>11.5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154.99999999999994</v>
      </c>
      <c r="BZ34" s="13">
        <f>BY34*VLOOKUP('Données projet'!$B$12,Paramètres!$A$1:$I$89,3,0)*VLOOKUP('Données projet'!$B$12,Paramètres!$A$1:$I$89,5,0)</f>
        <v>120.89999999999996</v>
      </c>
      <c r="CA34" s="13">
        <f t="shared" si="39"/>
        <v>31.884818143351602</v>
      </c>
      <c r="CB34" s="20">
        <f t="shared" si="10"/>
        <v>266.10022493300397</v>
      </c>
      <c r="CC34" s="59">
        <f t="shared" si="11"/>
        <v>506.1483481458215</v>
      </c>
      <c r="CD34" s="59">
        <f ca="1">AVERAGE(OFFSET($CC$3,0,0,'Données projet'!$E$12+1,1))-AVERAGE(OFFSET($H$3,0,0,'Données projet'!$E$12+1,1))</f>
        <v>308.85018589589453</v>
      </c>
      <c r="CE34" s="59">
        <f t="shared" si="40"/>
        <v>302.59481222418219</v>
      </c>
      <c r="CF34" s="15">
        <f>IF(ISNA(VLOOKUP(A34,'Données projet'!$A$113:$I$133,3,0)),0,VLOOKUP(A34,'Données projet'!$A$113:$I$133,3,0))</f>
        <v>4</v>
      </c>
      <c r="CG34" s="15">
        <f>IF(ISNA(VLOOKUP(A34,'Données projet'!$A$113:$I$133,4,0)),0,VLOOKUP(A34,'Données projet'!$A$113:$I$133,4,0))</f>
        <v>36</v>
      </c>
      <c r="CH34" s="16">
        <f>IF(ISNA(VLOOKUP(A34,'Données projet'!$A$113:$I$133,5,0)),0%,VLOOKUP(A34,'Données projet'!$A$113:$I$133,5,0)*VLOOKUP('Données projet'!$B$12,Paramètres!$A$1:$I$89,7,0))</f>
        <v>0.1075</v>
      </c>
      <c r="CI34" s="16">
        <f>IF(ISNA(VLOOKUP(A34,'Données projet'!$A$113:$I$133,6,0)),0%,VLOOKUP(A34,'Données projet'!$A$113:$I$133,6,0)*VLOOKUP('Données projet'!$B$12,Paramètres!$A$1:$I$89,7,0))</f>
        <v>0.1075</v>
      </c>
      <c r="CJ34" s="16">
        <f>IF(ISNA(VLOOKUP(A34,'Données projet'!$A$113:$I$133,7,0)),0%,VLOOKUP(A34,'Données projet'!$A$113:$I$133,7,0))</f>
        <v>0.25</v>
      </c>
      <c r="CK34" s="21">
        <f>EXP(-LN(2)/35)*CK33+(1-EXP(-LN(2)/35))/(LN(2)/35)*CG34*CH34*VLOOKUP('Données projet'!$B$12,Paramètres!$A$1:$I$89,3,0)*0.475*44/12</f>
        <v>3.3369728876581632</v>
      </c>
      <c r="CL34" s="21">
        <f>EXP(-LN(2)/25)*CL33+(1-EXP(-LN(2)/25))/(LN(2)/25)*Calculateur!CG34*Calculateur!CI34*VLOOKUP('Données projet'!$B$12,Paramètres!$A$1:$I$89,3,0)*0.475*44/12</f>
        <v>7.3138775653510812</v>
      </c>
      <c r="CM34" s="21">
        <f>EXP(-LN(2)/2)*CM33+(1-EXP(-LN(2)/2))/(LN(2)/2)*CG34*CJ34*VLOOKUP('Données projet'!$B$12,Paramètres!$A$1:$I$89,3,0)*0.475*44/12</f>
        <v>7.3483135292805679</v>
      </c>
      <c r="CN34" s="22">
        <f t="shared" si="12"/>
        <v>17.999163982289812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7.6923076923076881</v>
      </c>
      <c r="CT34" s="12">
        <f>IF('Données projet'!$A$140&gt;35,CT33+CS34-DB33,IF(A34&lt;'Données projet'!$A$140,$CQ$205^A34,IF(A34='Données projet'!$A$140,'Données projet'!$B$140,CT33+CS34-DB33)))</f>
        <v>124.35897435897438</v>
      </c>
      <c r="CU34" s="17">
        <f>CT34*VLOOKUP('Données projet'!$B$13,Paramètres!$A$1:$I$89,3,0)*VLOOKUP('Données projet'!$B$13,Paramètres!$A$1:$I$89,5,0)</f>
        <v>83.420000000000016</v>
      </c>
      <c r="CV34" s="13">
        <f t="shared" si="41"/>
        <v>22.971343750654679</v>
      </c>
      <c r="CW34" s="20">
        <f t="shared" si="13"/>
        <v>185.29825703239024</v>
      </c>
      <c r="CX34" s="59">
        <f t="shared" si="14"/>
        <v>425.3463802452078</v>
      </c>
      <c r="CY34" s="59">
        <f ca="1">AVERAGE(OFFSET($CX$3,0,0,'Données projet'!$E$13+1,1))-AVERAGE(OFFSET($H$3,0,0,'Données projet'!$E$13+1,1))</f>
        <v>335.73816489539837</v>
      </c>
      <c r="CZ34" s="59">
        <f t="shared" si="42"/>
        <v>254.09787950201044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4.5761044833373781</v>
      </c>
      <c r="DH34" s="21">
        <f>EXP(-LN(2)/2)*DH33+(1-EXP(-LN(2)/2))/(LN(2)/2)*DB34*DE34*VLOOKUP('Données projet'!$B$13,Paramètres!$A$1:$I$89,3,0)*0.475*44/12</f>
        <v>2.2373658547715336</v>
      </c>
      <c r="DI34" s="22">
        <f t="shared" si="15"/>
        <v>6.8134703381089121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4.016578947368421</v>
      </c>
      <c r="DO34" s="12">
        <f>IF('Données projet'!$A$166&gt;35,DO33+DN34-DW33,IF(A34&lt;'Données projet'!$A$166,$DL$205^A34,IF(A34='Données projet'!$A$166,'Données projet'!$B$166,DO33+DN34-DW33)))</f>
        <v>124.51394736842099</v>
      </c>
      <c r="DP34" s="17">
        <f>DO34*VLOOKUP('Données projet'!$B$14,Paramètres!$A$1:$I$89,3,0)*VLOOKUP('Données projet'!$B$14,Paramètres!$A$1:$I$89,5,0)</f>
        <v>120.42988989473677</v>
      </c>
      <c r="DQ34" s="13">
        <f t="shared" si="43"/>
        <v>31.775243175432106</v>
      </c>
      <c r="DR34" s="20">
        <f t="shared" si="16"/>
        <v>265.09060676387742</v>
      </c>
      <c r="DS34" s="59">
        <f t="shared" si="17"/>
        <v>505.138729976695</v>
      </c>
      <c r="DT34" s="59">
        <f ca="1">AVERAGE(OFFSET($DS$3,0,0,'Données projet'!$E$14+1,1))-AVERAGE(OFFSET($H$3,0,0,'Données projet'!$E$14+1,1))</f>
        <v>493.03862850474161</v>
      </c>
      <c r="DU34" s="59">
        <f t="shared" si="44"/>
        <v>312.51819065560528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4.016578947368421</v>
      </c>
      <c r="EJ34" s="12">
        <f>IF('Données projet'!$A$192&gt;35,EJ33+EI34-ER33,IF(A34&lt;'Données projet'!$A$192,$EG$205^A34,IF(A34='Données projet'!$A$192,'Données projet'!$B$192,EJ33+EI34-ER33)))</f>
        <v>124.51394736842099</v>
      </c>
      <c r="EK34" s="17">
        <f>EJ34*VLOOKUP('Données projet'!$B$15,Paramètres!$A$1:$I$89,3,0)*VLOOKUP('Données projet'!$B$15,Paramètres!$A$1:$I$89,5,0)</f>
        <v>134.02681294736834</v>
      </c>
      <c r="EL34" s="13">
        <f t="shared" si="45"/>
        <v>34.925179158103305</v>
      </c>
      <c r="EM34" s="20">
        <f t="shared" si="19"/>
        <v>294.25805291702977</v>
      </c>
      <c r="EN34" s="59">
        <f t="shared" si="20"/>
        <v>534.30617612984736</v>
      </c>
      <c r="EO34" s="59">
        <f ca="1">AVERAGE(OFFSET($EN$3,0,0,'Données projet'!$E$15+1,1))-AVERAGE(OFFSET($H$3,0,0,'Données projet'!$E$15+1,1))</f>
        <v>539.72194201710272</v>
      </c>
      <c r="EP34" s="59">
        <f t="shared" si="46"/>
        <v>340.76505385159362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154.79999999999993</v>
      </c>
      <c r="FF34" s="17">
        <f>FE34*VLOOKUP('Données projet'!$B$16,Paramètres!$A$1:$I$89,3,0)*VLOOKUP('Données projet'!$B$16,Paramètres!$A$1:$I$89,5,0)</f>
        <v>125.57375999999995</v>
      </c>
      <c r="FG34" s="13">
        <f t="shared" si="47"/>
        <v>32.97153235129214</v>
      </c>
      <c r="FH34" s="20">
        <f t="shared" si="22"/>
        <v>276.13305084516702</v>
      </c>
      <c r="FI34" s="59">
        <f t="shared" si="23"/>
        <v>516.18117405798455</v>
      </c>
      <c r="FJ34" s="59">
        <f ca="1">AVERAGE(OFFSET($FI$3,0,0,'Données projet'!$E$16+1,1))-AVERAGE(OFFSET($H$3,0,0,'Données projet'!$E$16+1,1))</f>
        <v>383.47860767209028</v>
      </c>
      <c r="FK34" s="59">
        <f t="shared" si="48"/>
        <v>370.49129421395628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4.0771634095166309</v>
      </c>
      <c r="FR34" s="21">
        <f>EXP(-LN(2)/25)*FR33+(1-EXP(-LN(2)/25))/(LN(2)/25)*Calculateur!FM34*Calculateur!FO34*VLOOKUP('Données projet'!$B$16,Paramètres!$A$1:$I$89,3,0)*0.475*44/12</f>
        <v>13.020380961417015</v>
      </c>
      <c r="FS34" s="21">
        <f>EXP(-LN(2)/2)*FS33+(1-EXP(-LN(2)/2))/(LN(2)/2)*FM34*FP34*VLOOKUP('Données projet'!$B$16,Paramètres!$A$1:$I$89,3,0)*0.475*44/12</f>
        <v>5.7446532933937329</v>
      </c>
      <c r="FT34" s="22">
        <f t="shared" si="24"/>
        <v>22.842197664327379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3.3603333333333336</v>
      </c>
      <c r="FZ34" s="12">
        <f>IF('Données projet'!$A$244&gt;35,FZ33+FY34-GH33,IF(A34&lt;'Données projet'!$A$244,$FW$205^A34,IF(A34='Données projet'!$A$244,'Données projet'!$B$244,FZ33+FY34-GH33)))</f>
        <v>104.17033333333333</v>
      </c>
      <c r="GA34" s="17">
        <f>FZ34*VLOOKUP('Données projet'!$B$17,Paramètres!$A$1:$I$89,3,0)*VLOOKUP('Données projet'!$B$17,Paramètres!$A$1:$I$89,5,0)</f>
        <v>118.6291756</v>
      </c>
      <c r="GB34" s="13">
        <f t="shared" si="49"/>
        <v>31.355063537869306</v>
      </c>
      <c r="GC34" s="20">
        <f t="shared" si="25"/>
        <v>261.22254983178902</v>
      </c>
      <c r="GD34" s="59">
        <f t="shared" si="26"/>
        <v>501.27067304460661</v>
      </c>
      <c r="GE34" s="59">
        <f ca="1">AVERAGE(OFFSET($GD$3,0,0,'Données projet'!$E$17+1,1))-AVERAGE(OFFSET($H$3,0,0,'Données projet'!$E$17+1,1))</f>
        <v>640.05156427113661</v>
      </c>
      <c r="GF34" s="59">
        <f t="shared" si="50"/>
        <v>308.77220155372902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12.998333333333335</v>
      </c>
      <c r="N35" s="13">
        <f>IF('Données projet'!$A$36&gt;35,N34+M35-V34,IF(A35&lt;'Données projet'!$A$36,$K$205^A35,IF(A35='Données projet'!$A$36,'Données projet'!$B$36,N34+M35-V34)))</f>
        <v>99.498333333333335</v>
      </c>
      <c r="O35" s="13">
        <f>N35*VLOOKUP('Données projet'!$B$9,Paramètres!$A$1:$I$89,3,0)*VLOOKUP('Données projet'!$B$9,Paramètres!$A$1:$I$89,5,0)</f>
        <v>83.817396000000002</v>
      </c>
      <c r="P35" s="13">
        <f t="shared" si="33"/>
        <v>23.068010073991108</v>
      </c>
      <c r="Q35" s="20">
        <f t="shared" ref="Q35:Q66" si="53">(O35+P35)*0.475*44/12</f>
        <v>186.15874891220116</v>
      </c>
      <c r="R35" s="59">
        <f t="shared" si="0"/>
        <v>427.13125139272648</v>
      </c>
      <c r="S35" s="59">
        <f ca="1">AVERAGE(OFFSET($R$3,0,0,'Données projet'!$E$9+1,1))-AVERAGE(OFFSET($H$3,0,0,'Données projet'!$E$9+1,1))</f>
        <v>456.35333554128226</v>
      </c>
      <c r="T35" s="59">
        <f t="shared" si="34"/>
        <v>296.4517290984877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20.412546873870191</v>
      </c>
      <c r="AB35" s="21">
        <f>EXP(-LN(2)/2)*AB34+(1-EXP(-LN(2)/2))/(LN(2)/2)*V35*Y35*VLOOKUP('Données projet'!$B$9,Paramètres!$A$1:$I$89,3,0)*0.475*44/12</f>
        <v>7.3929112226186264</v>
      </c>
      <c r="AC35" s="22">
        <f t="shared" si="3"/>
        <v>27.805458096488817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12.8</v>
      </c>
      <c r="AI35" s="13">
        <f>IF('Données projet'!$A$62&gt;35,AI34+AH35-AQ34,IF(A35&lt;'Données projet'!$A$62,$AF$205^A35,IF(A35='Données projet'!$A$62,'Données projet'!$B$62,AI34+AH35-AQ34)))</f>
        <v>167.59999999999994</v>
      </c>
      <c r="AJ35" s="13">
        <f>AI35*VLOOKUP('Données projet'!$B$10,Paramètres!$A$1:$I$89,3,0)*VLOOKUP('Données projet'!$B$10,Paramètres!$A$1:$I$89,5,0)</f>
        <v>146.41535999999996</v>
      </c>
      <c r="AK35" s="13">
        <f t="shared" si="35"/>
        <v>37.762820103024467</v>
      </c>
      <c r="AL35" s="20">
        <f t="shared" si="4"/>
        <v>320.77699701276748</v>
      </c>
      <c r="AM35" s="59">
        <f t="shared" si="5"/>
        <v>561.74949949329277</v>
      </c>
      <c r="AN35" s="59">
        <f ca="1">AVERAGE(OFFSET($AM$3,0,0,'Données projet'!$E$10+1,1))-AVERAGE(OFFSET($H$3,0,0,'Données projet'!$E$10+1,1))</f>
        <v>408.246209980743</v>
      </c>
      <c r="AO35" s="59">
        <f t="shared" si="36"/>
        <v>394.10236303013903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4.3046906235632241</v>
      </c>
      <c r="AV35" s="21">
        <f>EXP(-LN(2)/25)*AV34+(1-EXP(-LN(2)/25))/(LN(2)/25)*Calculateur!AQ35*Calculateur!AS35*VLOOKUP('Données projet'!$B$10,Paramètres!$A$1:$I$89,3,0)*0.475*44/12</f>
        <v>13.638517802339218</v>
      </c>
      <c r="AW35" s="21">
        <f>EXP(-LN(2)/2)*AW34+(1-EXP(-LN(2)/2))/(LN(2)/2)*AQ35*AT35*VLOOKUP('Données projet'!$B$10,Paramètres!$A$1:$I$89,3,0)*0.475*44/12</f>
        <v>4.3745512454262157</v>
      </c>
      <c r="AX35" s="21">
        <f t="shared" si="6"/>
        <v>22.317759671328655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3.3603333333333336</v>
      </c>
      <c r="BD35" s="12">
        <f>IF('Données projet'!$A$88&gt;35,BD34+BC35-BL34,IF(A35&lt;'Données projet'!$A$88,$BA$205^A35,IF(A35='Données projet'!$A$88,'Données projet'!$B$88,BD34+BC35-BL34)))</f>
        <v>107.53066666666666</v>
      </c>
      <c r="BE35" s="13">
        <f>BD35*VLOOKUP('Données projet'!$B$11,Paramètres!$A$1:$I$89,3,0)*VLOOKUP('Données projet'!$B$11,Paramètres!$A$1:$I$89,5,0)</f>
        <v>109.036096</v>
      </c>
      <c r="BF35" s="13">
        <f t="shared" si="37"/>
        <v>29.103765071483942</v>
      </c>
      <c r="BG35" s="20">
        <f t="shared" si="7"/>
        <v>240.59359136616786</v>
      </c>
      <c r="BH35" s="59">
        <f t="shared" si="8"/>
        <v>481.56609384669321</v>
      </c>
      <c r="BI35" s="59">
        <f ca="1">AVERAGE(OFFSET($BH$3,0,0,'Données projet'!$E$11+1,1))-AVERAGE(OFFSET($H$3,0,0,'Données projet'!$E$11+1,1))</f>
        <v>580.02848304986492</v>
      </c>
      <c r="BJ35" s="59">
        <f t="shared" si="38"/>
        <v>281.68891895586728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130.49999999999994</v>
      </c>
      <c r="BZ35" s="13">
        <f>BY35*VLOOKUP('Données projet'!$B$12,Paramètres!$A$1:$I$89,3,0)*VLOOKUP('Données projet'!$B$12,Paramètres!$A$1:$I$89,5,0)</f>
        <v>101.78999999999996</v>
      </c>
      <c r="CA35" s="13">
        <f t="shared" si="39"/>
        <v>27.38799903683508</v>
      </c>
      <c r="CB35" s="20">
        <f t="shared" si="10"/>
        <v>224.98501498915437</v>
      </c>
      <c r="CC35" s="59">
        <f t="shared" si="11"/>
        <v>465.95751746967971</v>
      </c>
      <c r="CD35" s="59">
        <f ca="1">AVERAGE(OFFSET($CC$3,0,0,'Données projet'!$E$12+1,1))-AVERAGE(OFFSET($H$3,0,0,'Données projet'!$E$12+1,1))</f>
        <v>308.85018589589453</v>
      </c>
      <c r="CE35" s="59">
        <f t="shared" si="40"/>
        <v>302.59481222418219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3.2715368846836737</v>
      </c>
      <c r="CL35" s="21">
        <f>EXP(-LN(2)/25)*CL34+(1-EXP(-LN(2)/25))/(LN(2)/25)*Calculateur!CG35*Calculateur!CI35*VLOOKUP('Données projet'!$B$12,Paramètres!$A$1:$I$89,3,0)*0.475*44/12</f>
        <v>7.1138791987064511</v>
      </c>
      <c r="CM35" s="21">
        <f>EXP(-LN(2)/2)*CM34+(1-EXP(-LN(2)/2))/(LN(2)/2)*CG35*CJ35*VLOOKUP('Données projet'!$B$12,Paramètres!$A$1:$I$89,3,0)*0.475*44/12</f>
        <v>5.1960423268391418</v>
      </c>
      <c r="CN35" s="22">
        <f t="shared" si="12"/>
        <v>15.581458410229267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7.6923076923076881</v>
      </c>
      <c r="CT35" s="12">
        <f>IF('Données projet'!$A$140&gt;35,CT34+CS35-DB34,IF(A35&lt;'Données projet'!$A$140,$CQ$205^A35,IF(A35='Données projet'!$A$140,'Données projet'!$B$140,CT34+CS35-DB34)))</f>
        <v>132.05128205128207</v>
      </c>
      <c r="CU35" s="17">
        <f>CT35*VLOOKUP('Données projet'!$B$13,Paramètres!$A$1:$I$89,3,0)*VLOOKUP('Données projet'!$B$13,Paramètres!$A$1:$I$89,5,0)</f>
        <v>88.580000000000013</v>
      </c>
      <c r="CV35" s="13">
        <f t="shared" si="41"/>
        <v>24.222438846820232</v>
      </c>
      <c r="CW35" s="20">
        <f t="shared" si="13"/>
        <v>196.46424765821192</v>
      </c>
      <c r="CX35" s="59">
        <f t="shared" si="14"/>
        <v>437.43675013873724</v>
      </c>
      <c r="CY35" s="59">
        <f ca="1">AVERAGE(OFFSET($CX$3,0,0,'Données projet'!$E$13+1,1))-AVERAGE(OFFSET($H$3,0,0,'Données projet'!$E$13+1,1))</f>
        <v>335.73816489539837</v>
      </c>
      <c r="CZ35" s="59">
        <f t="shared" si="42"/>
        <v>254.09787950201044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4.4509706655936414</v>
      </c>
      <c r="DH35" s="21">
        <f>EXP(-LN(2)/2)*DH34+(1-EXP(-LN(2)/2))/(LN(2)/2)*DB35*DE35*VLOOKUP('Données projet'!$B$13,Paramètres!$A$1:$I$89,3,0)*0.475*44/12</f>
        <v>1.5820565679041878</v>
      </c>
      <c r="DI35" s="22">
        <f t="shared" si="15"/>
        <v>6.0330272334978297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4.016578947368421</v>
      </c>
      <c r="DO35" s="12">
        <f>IF('Données projet'!$A$166&gt;35,DO34+DN35-DW34,IF(A35&lt;'Données projet'!$A$166,$DL$205^A35,IF(A35='Données projet'!$A$166,'Données projet'!$B$166,DO34+DN35-DW34)))</f>
        <v>128.53052631578942</v>
      </c>
      <c r="DP35" s="17">
        <f>DO35*VLOOKUP('Données projet'!$B$14,Paramètres!$A$1:$I$89,3,0)*VLOOKUP('Données projet'!$B$14,Paramètres!$A$1:$I$89,5,0)</f>
        <v>124.31472505263152</v>
      </c>
      <c r="DQ35" s="13">
        <f t="shared" si="43"/>
        <v>32.679259804026707</v>
      </c>
      <c r="DR35" s="20">
        <f t="shared" si="16"/>
        <v>273.43119029201307</v>
      </c>
      <c r="DS35" s="59">
        <f t="shared" si="17"/>
        <v>514.40369277253842</v>
      </c>
      <c r="DT35" s="59">
        <f ca="1">AVERAGE(OFFSET($DS$3,0,0,'Données projet'!$E$14+1,1))-AVERAGE(OFFSET($H$3,0,0,'Données projet'!$E$14+1,1))</f>
        <v>493.03862850474161</v>
      </c>
      <c r="DU35" s="59">
        <f t="shared" si="44"/>
        <v>312.51819065560528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4.016578947368421</v>
      </c>
      <c r="EJ35" s="12">
        <f>IF('Données projet'!$A$192&gt;35,EJ34+EI35-ER34,IF(A35&lt;'Données projet'!$A$192,$EG$205^A35,IF(A35='Données projet'!$A$192,'Données projet'!$B$192,EJ34+EI35-ER34)))</f>
        <v>128.53052631578942</v>
      </c>
      <c r="EK35" s="17">
        <f>EJ35*VLOOKUP('Données projet'!$B$15,Paramètres!$A$1:$I$89,3,0)*VLOOKUP('Données projet'!$B$15,Paramètres!$A$1:$I$89,5,0)</f>
        <v>138.35025852631571</v>
      </c>
      <c r="EL35" s="13">
        <f t="shared" si="45"/>
        <v>35.918812551914193</v>
      </c>
      <c r="EM35" s="20">
        <f t="shared" si="19"/>
        <v>303.51863212791704</v>
      </c>
      <c r="EN35" s="59">
        <f t="shared" si="20"/>
        <v>544.49113460844239</v>
      </c>
      <c r="EO35" s="59">
        <f ca="1">AVERAGE(OFFSET($EN$3,0,0,'Données projet'!$E$15+1,1))-AVERAGE(OFFSET($H$3,0,0,'Données projet'!$E$15+1,1))</f>
        <v>539.72194201710272</v>
      </c>
      <c r="EP35" s="59">
        <f t="shared" si="46"/>
        <v>340.76505385159362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167.59999999999994</v>
      </c>
      <c r="FF35" s="17">
        <f>FE35*VLOOKUP('Données projet'!$B$16,Paramètres!$A$1:$I$89,3,0)*VLOOKUP('Données projet'!$B$16,Paramètres!$A$1:$I$89,5,0)</f>
        <v>135.95711999999997</v>
      </c>
      <c r="FG35" s="13">
        <f t="shared" si="47"/>
        <v>35.369264877838596</v>
      </c>
      <c r="FH35" s="20">
        <f t="shared" si="22"/>
        <v>298.39345366223546</v>
      </c>
      <c r="FI35" s="59">
        <f t="shared" si="23"/>
        <v>539.36595614276075</v>
      </c>
      <c r="FJ35" s="59">
        <f ca="1">AVERAGE(OFFSET($FI$3,0,0,'Données projet'!$E$16+1,1))-AVERAGE(OFFSET($H$3,0,0,'Données projet'!$E$16+1,1))</f>
        <v>383.47860767209028</v>
      </c>
      <c r="FK35" s="59">
        <f t="shared" si="48"/>
        <v>370.49129421395628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3.9972127218801363</v>
      </c>
      <c r="FR35" s="21">
        <f>EXP(-LN(2)/25)*FR34+(1-EXP(-LN(2)/25))/(LN(2)/25)*Calculateur!FM35*Calculateur!FO35*VLOOKUP('Données projet'!$B$16,Paramètres!$A$1:$I$89,3,0)*0.475*44/12</f>
        <v>12.66433795931499</v>
      </c>
      <c r="FS35" s="21">
        <f>EXP(-LN(2)/2)*FS34+(1-EXP(-LN(2)/2))/(LN(2)/2)*FM35*FP35*VLOOKUP('Données projet'!$B$16,Paramètres!$A$1:$I$89,3,0)*0.475*44/12</f>
        <v>4.0620832993243425</v>
      </c>
      <c r="FT35" s="22">
        <f t="shared" si="24"/>
        <v>20.72363398051947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3.3603333333333336</v>
      </c>
      <c r="FZ35" s="12">
        <f>IF('Données projet'!$A$244&gt;35,FZ34+FY35-GH34,IF(A35&lt;'Données projet'!$A$244,$FW$205^A35,IF(A35='Données projet'!$A$244,'Données projet'!$B$244,FZ34+FY35-GH34)))</f>
        <v>107.53066666666666</v>
      </c>
      <c r="GA35" s="17">
        <f>FZ35*VLOOKUP('Données projet'!$B$17,Paramètres!$A$1:$I$89,3,0)*VLOOKUP('Données projet'!$B$17,Paramètres!$A$1:$I$89,5,0)</f>
        <v>122.45592319999999</v>
      </c>
      <c r="GB35" s="13">
        <f t="shared" si="49"/>
        <v>32.247125910842406</v>
      </c>
      <c r="GC35" s="20">
        <f t="shared" si="25"/>
        <v>269.44114386805046</v>
      </c>
      <c r="GD35" s="59">
        <f t="shared" si="26"/>
        <v>510.41364634857575</v>
      </c>
      <c r="GE35" s="59">
        <f ca="1">AVERAGE(OFFSET($GD$3,0,0,'Données projet'!$E$17+1,1))-AVERAGE(OFFSET($H$3,0,0,'Données projet'!$E$17+1,1))</f>
        <v>640.05156427113661</v>
      </c>
      <c r="GF35" s="59">
        <f t="shared" si="50"/>
        <v>308.77220155372902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12.998333333333335</v>
      </c>
      <c r="N36" s="13">
        <f>IF('Données projet'!$A$36&gt;35,N35+M36-V35,IF(A36&lt;'Données projet'!$A$36,$K$205^A36,IF(A36='Données projet'!$A$36,'Données projet'!$B$36,N35+M36-V35)))</f>
        <v>112.49666666666667</v>
      </c>
      <c r="O36" s="13">
        <f>N36*VLOOKUP('Données projet'!$B$9,Paramètres!$A$1:$I$89,3,0)*VLOOKUP('Données projet'!$B$9,Paramètres!$A$1:$I$89,5,0)</f>
        <v>94.767192000000009</v>
      </c>
      <c r="P36" s="13">
        <f t="shared" si="33"/>
        <v>25.711480504393407</v>
      </c>
      <c r="Q36" s="20">
        <f t="shared" si="53"/>
        <v>209.83368794515187</v>
      </c>
      <c r="R36" s="59">
        <f t="shared" si="0"/>
        <v>451.7145337796926</v>
      </c>
      <c r="S36" s="59">
        <f ca="1">AVERAGE(OFFSET($R$3,0,0,'Données projet'!$E$9+1,1))-AVERAGE(OFFSET($H$3,0,0,'Données projet'!$E$9+1,1))</f>
        <v>456.35333554128226</v>
      </c>
      <c r="T36" s="59">
        <f t="shared" si="34"/>
        <v>296.4517290984877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19.854364706155025</v>
      </c>
      <c r="AB36" s="21">
        <f>EXP(-LN(2)/2)*AB35+(1-EXP(-LN(2)/2))/(LN(2)/2)*V36*Y36*VLOOKUP('Données projet'!$B$9,Paramètres!$A$1:$I$89,3,0)*0.475*44/12</f>
        <v>5.227577658223761</v>
      </c>
      <c r="AC36" s="22">
        <f t="shared" si="3"/>
        <v>25.081942364378786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12.8</v>
      </c>
      <c r="AI36" s="13">
        <f>IF('Données projet'!$A$62&gt;35,AI35+AH36-AQ35,IF(A36&lt;'Données projet'!$A$62,$AF$205^A36,IF(A36='Données projet'!$A$62,'Données projet'!$B$62,AI35+AH36-AQ35)))</f>
        <v>180.39999999999995</v>
      </c>
      <c r="AJ36" s="13">
        <f>AI36*VLOOKUP('Données projet'!$B$10,Paramètres!$A$1:$I$89,3,0)*VLOOKUP('Données projet'!$B$10,Paramètres!$A$1:$I$89,5,0)</f>
        <v>157.59743999999998</v>
      </c>
      <c r="AK36" s="13">
        <f t="shared" si="35"/>
        <v>40.300135037830529</v>
      </c>
      <c r="AL36" s="20">
        <f t="shared" si="4"/>
        <v>344.67160985755481</v>
      </c>
      <c r="AM36" s="59">
        <f t="shared" si="5"/>
        <v>586.55245569209558</v>
      </c>
      <c r="AN36" s="59">
        <f ca="1">AVERAGE(OFFSET($AM$3,0,0,'Données projet'!$E$10+1,1))-AVERAGE(OFFSET($H$3,0,0,'Données projet'!$E$10+1,1))</f>
        <v>408.246209980743</v>
      </c>
      <c r="AO36" s="59">
        <f t="shared" si="36"/>
        <v>394.10236303013903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4.2202782660371732</v>
      </c>
      <c r="AV36" s="21">
        <f>EXP(-LN(2)/25)*AV35+(1-EXP(-LN(2)/25))/(LN(2)/25)*Calculateur!AQ36*Calculateur!AS36*VLOOKUP('Données projet'!$B$10,Paramètres!$A$1:$I$89,3,0)*0.475*44/12</f>
        <v>13.265571815815772</v>
      </c>
      <c r="AW36" s="21">
        <f>EXP(-LN(2)/2)*AW35+(1-EXP(-LN(2)/2))/(LN(2)/2)*AQ36*AT36*VLOOKUP('Données projet'!$B$10,Paramètres!$A$1:$I$89,3,0)*0.475*44/12</f>
        <v>3.0932748502889345</v>
      </c>
      <c r="AX36" s="21">
        <f t="shared" si="6"/>
        <v>20.57912493214188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3.3603333333333336</v>
      </c>
      <c r="BD36" s="12">
        <f>IF('Données projet'!$A$88&gt;35,BD35+BC36-BL35,IF(A36&lt;'Données projet'!$A$88,$BA$205^A36,IF(A36='Données projet'!$A$88,'Données projet'!$B$88,BD35+BC36-BL35)))</f>
        <v>110.89099999999999</v>
      </c>
      <c r="BE36" s="13">
        <f>BD36*VLOOKUP('Données projet'!$B$11,Paramètres!$A$1:$I$89,3,0)*VLOOKUP('Données projet'!$B$11,Paramètres!$A$1:$I$89,5,0)</f>
        <v>112.44347399999999</v>
      </c>
      <c r="BF36" s="13">
        <f t="shared" si="37"/>
        <v>29.905947908104487</v>
      </c>
      <c r="BG36" s="20">
        <f t="shared" si="7"/>
        <v>247.92524315661532</v>
      </c>
      <c r="BH36" s="59">
        <f t="shared" si="8"/>
        <v>489.80608899115606</v>
      </c>
      <c r="BI36" s="59">
        <f ca="1">AVERAGE(OFFSET($BH$3,0,0,'Données projet'!$E$11+1,1))-AVERAGE(OFFSET($H$3,0,0,'Données projet'!$E$11+1,1))</f>
        <v>580.02848304986492</v>
      </c>
      <c r="BJ36" s="59">
        <f t="shared" si="38"/>
        <v>281.68891895586728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141.99999999999994</v>
      </c>
      <c r="BZ36" s="13">
        <f>BY36*VLOOKUP('Données projet'!$B$12,Paramètres!$A$1:$I$89,3,0)*VLOOKUP('Données projet'!$B$12,Paramètres!$A$1:$I$89,5,0)</f>
        <v>110.75999999999996</v>
      </c>
      <c r="CA36" s="13">
        <f t="shared" si="39"/>
        <v>29.509974682362923</v>
      </c>
      <c r="CB36" s="20">
        <f t="shared" si="10"/>
        <v>244.30353923844871</v>
      </c>
      <c r="CC36" s="59">
        <f t="shared" si="11"/>
        <v>486.18438507298947</v>
      </c>
      <c r="CD36" s="59">
        <f ca="1">AVERAGE(OFFSET($CC$3,0,0,'Données projet'!$E$12+1,1))-AVERAGE(OFFSET($H$3,0,0,'Données projet'!$E$12+1,1))</f>
        <v>308.85018589589453</v>
      </c>
      <c r="CE36" s="59">
        <f t="shared" si="40"/>
        <v>302.59481222418219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3.2073840418154931</v>
      </c>
      <c r="CL36" s="21">
        <f>EXP(-LN(2)/25)*CL35+(1-EXP(-LN(2)/25))/(LN(2)/25)*Calculateur!CG36*Calculateur!CI36*VLOOKUP('Données projet'!$B$12,Paramètres!$A$1:$I$89,3,0)*0.475*44/12</f>
        <v>6.9193497979151752</v>
      </c>
      <c r="CM36" s="21">
        <f>EXP(-LN(2)/2)*CM35+(1-EXP(-LN(2)/2))/(LN(2)/2)*CG36*CJ36*VLOOKUP('Données projet'!$B$12,Paramètres!$A$1:$I$89,3,0)*0.475*44/12</f>
        <v>3.6741567646402844</v>
      </c>
      <c r="CN36" s="22">
        <f t="shared" si="12"/>
        <v>13.800890604370952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7.6923076923076881</v>
      </c>
      <c r="CT36" s="12">
        <f>IF('Données projet'!$A$140&gt;35,CT35+CS36-DB35,IF(A36&lt;'Données projet'!$A$140,$CQ$205^A36,IF(A36='Données projet'!$A$140,'Données projet'!$B$140,CT35+CS36-DB35)))</f>
        <v>139.74358974358975</v>
      </c>
      <c r="CU36" s="17">
        <f>CT36*VLOOKUP('Données projet'!$B$13,Paramètres!$A$1:$I$89,3,0)*VLOOKUP('Données projet'!$B$13,Paramètres!$A$1:$I$89,5,0)</f>
        <v>93.740000000000009</v>
      </c>
      <c r="CV36" s="13">
        <f t="shared" si="41"/>
        <v>25.465074435109123</v>
      </c>
      <c r="CW36" s="20">
        <f t="shared" si="13"/>
        <v>207.61550464114839</v>
      </c>
      <c r="CX36" s="59">
        <f t="shared" si="14"/>
        <v>449.49635047568916</v>
      </c>
      <c r="CY36" s="59">
        <f ca="1">AVERAGE(OFFSET($CX$3,0,0,'Données projet'!$E$13+1,1))-AVERAGE(OFFSET($H$3,0,0,'Données projet'!$E$13+1,1))</f>
        <v>335.73816489539837</v>
      </c>
      <c r="CZ36" s="59">
        <f t="shared" si="42"/>
        <v>254.09787950201044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4.3292586386766088</v>
      </c>
      <c r="DH36" s="21">
        <f>EXP(-LN(2)/2)*DH35+(1-EXP(-LN(2)/2))/(LN(2)/2)*DB36*DE36*VLOOKUP('Données projet'!$B$13,Paramètres!$A$1:$I$89,3,0)*0.475*44/12</f>
        <v>1.118682927385767</v>
      </c>
      <c r="DI36" s="22">
        <f t="shared" si="15"/>
        <v>5.4479415660623758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4.016578947368421</v>
      </c>
      <c r="DO36" s="12">
        <f>IF('Données projet'!$A$166&gt;35,DO35+DN36-DW35,IF(A36&lt;'Données projet'!$A$166,$DL$205^A36,IF(A36='Données projet'!$A$166,'Données projet'!$B$166,DO35+DN36-DW35)))</f>
        <v>132.54710526315785</v>
      </c>
      <c r="DP36" s="17">
        <f>DO36*VLOOKUP('Données projet'!$B$14,Paramètres!$A$1:$I$89,3,0)*VLOOKUP('Données projet'!$B$14,Paramètres!$A$1:$I$89,5,0)</f>
        <v>128.19956021052627</v>
      </c>
      <c r="DQ36" s="13">
        <f t="shared" si="43"/>
        <v>33.579993481056668</v>
      </c>
      <c r="DR36" s="20">
        <f t="shared" si="16"/>
        <v>281.76605601284024</v>
      </c>
      <c r="DS36" s="59">
        <f t="shared" si="17"/>
        <v>523.64690184738095</v>
      </c>
      <c r="DT36" s="59">
        <f ca="1">AVERAGE(OFFSET($DS$3,0,0,'Données projet'!$E$14+1,1))-AVERAGE(OFFSET($H$3,0,0,'Données projet'!$E$14+1,1))</f>
        <v>493.03862850474161</v>
      </c>
      <c r="DU36" s="59">
        <f t="shared" si="44"/>
        <v>312.51819065560528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4.016578947368421</v>
      </c>
      <c r="EJ36" s="12">
        <f>IF('Données projet'!$A$192&gt;35,EJ35+EI36-ER35,IF(A36&lt;'Données projet'!$A$192,$EG$205^A36,IF(A36='Données projet'!$A$192,'Données projet'!$B$192,EJ35+EI36-ER35)))</f>
        <v>132.54710526315785</v>
      </c>
      <c r="EK36" s="17">
        <f>EJ36*VLOOKUP('Données projet'!$B$15,Paramètres!$A$1:$I$89,3,0)*VLOOKUP('Données projet'!$B$15,Paramètres!$A$1:$I$89,5,0)</f>
        <v>142.67370410526308</v>
      </c>
      <c r="EL36" s="13">
        <f t="shared" si="45"/>
        <v>36.908837549372954</v>
      </c>
      <c r="EM36" s="20">
        <f t="shared" si="19"/>
        <v>312.77292671515772</v>
      </c>
      <c r="EN36" s="59">
        <f t="shared" si="20"/>
        <v>554.65377254969849</v>
      </c>
      <c r="EO36" s="59">
        <f ca="1">AVERAGE(OFFSET($EN$3,0,0,'Données projet'!$E$15+1,1))-AVERAGE(OFFSET($H$3,0,0,'Données projet'!$E$15+1,1))</f>
        <v>539.72194201710272</v>
      </c>
      <c r="EP36" s="59">
        <f t="shared" si="46"/>
        <v>340.76505385159362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180.39999999999995</v>
      </c>
      <c r="FF36" s="17">
        <f>FE36*VLOOKUP('Données projet'!$B$16,Paramètres!$A$1:$I$89,3,0)*VLOOKUP('Données projet'!$B$16,Paramètres!$A$1:$I$89,5,0)</f>
        <v>146.34047999999999</v>
      </c>
      <c r="FG36" s="13">
        <f t="shared" si="47"/>
        <v>37.745754868861937</v>
      </c>
      <c r="FH36" s="20">
        <f t="shared" si="22"/>
        <v>320.6168590632679</v>
      </c>
      <c r="FI36" s="59">
        <f t="shared" si="23"/>
        <v>562.4977048978086</v>
      </c>
      <c r="FJ36" s="59">
        <f ca="1">AVERAGE(OFFSET($FI$3,0,0,'Données projet'!$E$16+1,1))-AVERAGE(OFFSET($H$3,0,0,'Données projet'!$E$16+1,1))</f>
        <v>383.47860767209028</v>
      </c>
      <c r="FK36" s="59">
        <f t="shared" si="48"/>
        <v>370.49129421395628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3.918829818463089</v>
      </c>
      <c r="FR36" s="21">
        <f>EXP(-LN(2)/25)*FR35+(1-EXP(-LN(2)/25))/(LN(2)/25)*Calculateur!FM36*Calculateur!FO36*VLOOKUP('Données projet'!$B$16,Paramètres!$A$1:$I$89,3,0)*0.475*44/12</f>
        <v>12.318030971828932</v>
      </c>
      <c r="FS36" s="21">
        <f>EXP(-LN(2)/2)*FS35+(1-EXP(-LN(2)/2))/(LN(2)/2)*FM36*FP36*VLOOKUP('Données projet'!$B$16,Paramètres!$A$1:$I$89,3,0)*0.475*44/12</f>
        <v>2.8723266466968673</v>
      </c>
      <c r="FT36" s="22">
        <f t="shared" si="24"/>
        <v>19.109187436988886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3.3603333333333336</v>
      </c>
      <c r="FZ36" s="12">
        <f>IF('Données projet'!$A$244&gt;35,FZ35+FY36-GH35,IF(A36&lt;'Données projet'!$A$244,$FW$205^A36,IF(A36='Données projet'!$A$244,'Données projet'!$B$244,FZ35+FY36-GH35)))</f>
        <v>110.89099999999999</v>
      </c>
      <c r="GA36" s="17">
        <f>FZ36*VLOOKUP('Données projet'!$B$17,Paramètres!$A$1:$I$89,3,0)*VLOOKUP('Données projet'!$B$17,Paramètres!$A$1:$I$89,5,0)</f>
        <v>126.28267080000001</v>
      </c>
      <c r="GB36" s="13">
        <f t="shared" si="49"/>
        <v>33.135948744330882</v>
      </c>
      <c r="GC36" s="20">
        <f t="shared" si="25"/>
        <v>277.65409570637627</v>
      </c>
      <c r="GD36" s="59">
        <f t="shared" si="26"/>
        <v>519.53494154091698</v>
      </c>
      <c r="GE36" s="59">
        <f ca="1">AVERAGE(OFFSET($GD$3,0,0,'Données projet'!$E$17+1,1))-AVERAGE(OFFSET($H$3,0,0,'Données projet'!$E$17+1,1))</f>
        <v>640.05156427113661</v>
      </c>
      <c r="GF36" s="59">
        <f t="shared" si="50"/>
        <v>308.77220155372902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12.998333333333335</v>
      </c>
      <c r="N37" s="13">
        <f>IF('Données projet'!$A$36&gt;35,N36+M37-V36,IF(A37&lt;'Données projet'!$A$36,$K$205^A37,IF(A37='Données projet'!$A$36,'Données projet'!$B$36,N36+M37-V36)))</f>
        <v>125.495</v>
      </c>
      <c r="O37" s="13">
        <f>N37*VLOOKUP('Données projet'!$B$9,Paramètres!$A$1:$I$89,3,0)*VLOOKUP('Données projet'!$B$9,Paramètres!$A$1:$I$89,5,0)</f>
        <v>105.71698800000001</v>
      </c>
      <c r="P37" s="13">
        <f t="shared" si="33"/>
        <v>28.319552956235832</v>
      </c>
      <c r="Q37" s="20">
        <f t="shared" si="53"/>
        <v>233.44697549877742</v>
      </c>
      <c r="R37" s="59">
        <f t="shared" si="0"/>
        <v>476.220406960893</v>
      </c>
      <c r="S37" s="59">
        <f ca="1">AVERAGE(OFFSET($R$3,0,0,'Données projet'!$E$9+1,1))-AVERAGE(OFFSET($H$3,0,0,'Données projet'!$E$9+1,1))</f>
        <v>456.35333554128226</v>
      </c>
      <c r="T37" s="59">
        <f t="shared" si="34"/>
        <v>296.4517290984877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19.311446059169555</v>
      </c>
      <c r="AB37" s="21">
        <f>EXP(-LN(2)/2)*AB36+(1-EXP(-LN(2)/2))/(LN(2)/2)*V37*Y37*VLOOKUP('Données projet'!$B$9,Paramètres!$A$1:$I$89,3,0)*0.475*44/12</f>
        <v>3.6964556113093137</v>
      </c>
      <c r="AC37" s="22">
        <f t="shared" si="3"/>
        <v>23.007901670478869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12.8</v>
      </c>
      <c r="AI37" s="13">
        <f>IF('Données projet'!$A$62&gt;35,AI36+AH37-AQ36,IF(A37&lt;'Données projet'!$A$62,$AF$205^A37,IF(A37='Données projet'!$A$62,'Données projet'!$B$62,AI36+AH37-AQ36)))</f>
        <v>193.19999999999996</v>
      </c>
      <c r="AJ37" s="13">
        <f>AI37*VLOOKUP('Données projet'!$B$10,Paramètres!$A$1:$I$89,3,0)*VLOOKUP('Données projet'!$B$10,Paramètres!$A$1:$I$89,5,0)</f>
        <v>168.77951999999999</v>
      </c>
      <c r="AK37" s="13">
        <f t="shared" si="35"/>
        <v>42.816562145177031</v>
      </c>
      <c r="AL37" s="20">
        <f t="shared" si="4"/>
        <v>368.52984306951663</v>
      </c>
      <c r="AM37" s="59">
        <f t="shared" si="5"/>
        <v>611.30327453163227</v>
      </c>
      <c r="AN37" s="59">
        <f ca="1">AVERAGE(OFFSET($AM$3,0,0,'Données projet'!$E$10+1,1))-AVERAGE(OFFSET($H$3,0,0,'Données projet'!$E$10+1,1))</f>
        <v>408.246209980743</v>
      </c>
      <c r="AO37" s="59">
        <f t="shared" si="36"/>
        <v>394.10236303013903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4.1375211833557533</v>
      </c>
      <c r="AV37" s="21">
        <f>EXP(-LN(2)/25)*AV36+(1-EXP(-LN(2)/25))/(LN(2)/25)*Calculateur!AQ37*Calculateur!AS37*VLOOKUP('Données projet'!$B$10,Paramètres!$A$1:$I$89,3,0)*0.475*44/12</f>
        <v>12.902824056906187</v>
      </c>
      <c r="AW37" s="21">
        <f>EXP(-LN(2)/2)*AW36+(1-EXP(-LN(2)/2))/(LN(2)/2)*AQ37*AT37*VLOOKUP('Données projet'!$B$10,Paramètres!$A$1:$I$89,3,0)*0.475*44/12</f>
        <v>2.1872756227131083</v>
      </c>
      <c r="AX37" s="21">
        <f t="shared" si="6"/>
        <v>19.227620862975051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3.3603333333333336</v>
      </c>
      <c r="BD37" s="12">
        <f>IF('Données projet'!$A$88&gt;35,BD36+BC37-BL36,IF(A37&lt;'Données projet'!$A$88,$BA$205^A37,IF(A37='Données projet'!$A$88,'Données projet'!$B$88,BD36+BC37-BL36)))</f>
        <v>114.25133333333332</v>
      </c>
      <c r="BE37" s="13">
        <f>BD37*VLOOKUP('Données projet'!$B$11,Paramètres!$A$1:$I$89,3,0)*VLOOKUP('Données projet'!$B$11,Paramètres!$A$1:$I$89,5,0)</f>
        <v>115.85085199999999</v>
      </c>
      <c r="BF37" s="13">
        <f t="shared" si="37"/>
        <v>30.705305754650677</v>
      </c>
      <c r="BG37" s="20">
        <f t="shared" si="7"/>
        <v>255.25197475601655</v>
      </c>
      <c r="BH37" s="59">
        <f t="shared" si="8"/>
        <v>498.02540621813216</v>
      </c>
      <c r="BI37" s="59">
        <f ca="1">AVERAGE(OFFSET($BH$3,0,0,'Données projet'!$E$11+1,1))-AVERAGE(OFFSET($H$3,0,0,'Données projet'!$E$11+1,1))</f>
        <v>580.02848304986492</v>
      </c>
      <c r="BJ37" s="59">
        <f t="shared" si="38"/>
        <v>281.68891895586728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153.49999999999994</v>
      </c>
      <c r="BZ37" s="13">
        <f>BY37*VLOOKUP('Données projet'!$B$12,Paramètres!$A$1:$I$89,3,0)*VLOOKUP('Données projet'!$B$12,Paramètres!$A$1:$I$89,5,0)</f>
        <v>119.72999999999996</v>
      </c>
      <c r="CA37" s="13">
        <f t="shared" si="39"/>
        <v>31.612017974790529</v>
      </c>
      <c r="CB37" s="20">
        <f t="shared" si="10"/>
        <v>263.58734797276003</v>
      </c>
      <c r="CC37" s="59">
        <f t="shared" si="11"/>
        <v>506.36077943487561</v>
      </c>
      <c r="CD37" s="59">
        <f ca="1">AVERAGE(OFFSET($CC$3,0,0,'Données projet'!$E$12+1,1))-AVERAGE(OFFSET($H$3,0,0,'Données projet'!$E$12+1,1))</f>
        <v>308.85018589589453</v>
      </c>
      <c r="CE37" s="59">
        <f t="shared" si="40"/>
        <v>302.59481222418219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3.1444891970665871</v>
      </c>
      <c r="CL37" s="21">
        <f>EXP(-LN(2)/25)*CL36+(1-EXP(-LN(2)/25))/(LN(2)/25)*Calculateur!CG37*Calculateur!CI37*VLOOKUP('Données projet'!$B$12,Paramètres!$A$1:$I$89,3,0)*0.475*44/12</f>
        <v>6.7301398138183934</v>
      </c>
      <c r="CM37" s="21">
        <f>EXP(-LN(2)/2)*CM36+(1-EXP(-LN(2)/2))/(LN(2)/2)*CG37*CJ37*VLOOKUP('Données projet'!$B$12,Paramètres!$A$1:$I$89,3,0)*0.475*44/12</f>
        <v>2.5980211634195713</v>
      </c>
      <c r="CN37" s="22">
        <f t="shared" si="12"/>
        <v>12.472650174304551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7.6923076923076881</v>
      </c>
      <c r="CT37" s="12">
        <f>IF('Données projet'!$A$140&gt;35,CT36+CS37-DB36,IF(A37&lt;'Données projet'!$A$140,$CQ$205^A37,IF(A37='Données projet'!$A$140,'Données projet'!$B$140,CT36+CS37-DB36)))</f>
        <v>147.43589743589743</v>
      </c>
      <c r="CU37" s="17">
        <f>CT37*VLOOKUP('Données projet'!$B$13,Paramètres!$A$1:$I$89,3,0)*VLOOKUP('Données projet'!$B$13,Paramètres!$A$1:$I$89,5,0)</f>
        <v>98.9</v>
      </c>
      <c r="CV37" s="13">
        <f t="shared" si="41"/>
        <v>26.699769255487553</v>
      </c>
      <c r="CW37" s="20">
        <f t="shared" si="13"/>
        <v>218.7529314533075</v>
      </c>
      <c r="CX37" s="59">
        <f t="shared" si="14"/>
        <v>461.52636291542308</v>
      </c>
      <c r="CY37" s="59">
        <f ca="1">AVERAGE(OFFSET($CX$3,0,0,'Données projet'!$E$13+1,1))-AVERAGE(OFFSET($H$3,0,0,'Données projet'!$E$13+1,1))</f>
        <v>335.73816489539837</v>
      </c>
      <c r="CZ37" s="59">
        <f t="shared" si="42"/>
        <v>254.09787950201044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4.2108748335361801</v>
      </c>
      <c r="DH37" s="21">
        <f>EXP(-LN(2)/2)*DH36+(1-EXP(-LN(2)/2))/(LN(2)/2)*DB37*DE37*VLOOKUP('Données projet'!$B$13,Paramètres!$A$1:$I$89,3,0)*0.475*44/12</f>
        <v>0.79102828395209401</v>
      </c>
      <c r="DI37" s="22">
        <f t="shared" si="15"/>
        <v>5.0019031174882738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4.016578947368421</v>
      </c>
      <c r="DO37" s="12">
        <f>IF('Données projet'!$A$166&gt;35,DO36+DN37-DW36,IF(A37&lt;'Données projet'!$A$166,$DL$205^A37,IF(A37='Données projet'!$A$166,'Données projet'!$B$166,DO36+DN37-DW36)))</f>
        <v>136.56368421052628</v>
      </c>
      <c r="DP37" s="17">
        <f>DO37*VLOOKUP('Données projet'!$B$14,Paramètres!$A$1:$I$89,3,0)*VLOOKUP('Données projet'!$B$14,Paramètres!$A$1:$I$89,5,0)</f>
        <v>132.08439536842101</v>
      </c>
      <c r="DQ37" s="13">
        <f t="shared" si="43"/>
        <v>34.477555108547413</v>
      </c>
      <c r="DR37" s="20">
        <f t="shared" si="16"/>
        <v>290.09539708071998</v>
      </c>
      <c r="DS37" s="59">
        <f t="shared" si="17"/>
        <v>532.86882854283556</v>
      </c>
      <c r="DT37" s="59">
        <f ca="1">AVERAGE(OFFSET($DS$3,0,0,'Données projet'!$E$14+1,1))-AVERAGE(OFFSET($H$3,0,0,'Données projet'!$E$14+1,1))</f>
        <v>493.03862850474161</v>
      </c>
      <c r="DU37" s="59">
        <f t="shared" si="44"/>
        <v>312.51819065560528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4.016578947368421</v>
      </c>
      <c r="EJ37" s="12">
        <f>IF('Données projet'!$A$192&gt;35,EJ36+EI37-ER36,IF(A37&lt;'Données projet'!$A$192,$EG$205^A37,IF(A37='Données projet'!$A$192,'Données projet'!$B$192,EJ36+EI37-ER36)))</f>
        <v>136.56368421052628</v>
      </c>
      <c r="EK37" s="17">
        <f>EJ37*VLOOKUP('Données projet'!$B$15,Paramètres!$A$1:$I$89,3,0)*VLOOKUP('Données projet'!$B$15,Paramètres!$A$1:$I$89,5,0)</f>
        <v>146.99714968421048</v>
      </c>
      <c r="EL37" s="13">
        <f t="shared" si="45"/>
        <v>37.895376046418704</v>
      </c>
      <c r="EM37" s="20">
        <f t="shared" si="19"/>
        <v>322.02114898084585</v>
      </c>
      <c r="EN37" s="59">
        <f t="shared" si="20"/>
        <v>564.79458044296143</v>
      </c>
      <c r="EO37" s="59">
        <f ca="1">AVERAGE(OFFSET($EN$3,0,0,'Données projet'!$E$15+1,1))-AVERAGE(OFFSET($H$3,0,0,'Données projet'!$E$15+1,1))</f>
        <v>539.72194201710272</v>
      </c>
      <c r="EP37" s="59">
        <f t="shared" si="46"/>
        <v>340.76505385159362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193.19999999999996</v>
      </c>
      <c r="FF37" s="17">
        <f>FE37*VLOOKUP('Données projet'!$B$16,Paramètres!$A$1:$I$89,3,0)*VLOOKUP('Données projet'!$B$16,Paramètres!$A$1:$I$89,5,0)</f>
        <v>156.72383999999997</v>
      </c>
      <c r="FG37" s="13">
        <f t="shared" si="47"/>
        <v>40.102680984620484</v>
      </c>
      <c r="FH37" s="20">
        <f t="shared" si="22"/>
        <v>342.80619071488059</v>
      </c>
      <c r="FI37" s="59">
        <f t="shared" si="23"/>
        <v>585.57962217699617</v>
      </c>
      <c r="FJ37" s="59">
        <f ca="1">AVERAGE(OFFSET($FI$3,0,0,'Données projet'!$E$16+1,1))-AVERAGE(OFFSET($H$3,0,0,'Données projet'!$E$16+1,1))</f>
        <v>383.47860767209028</v>
      </c>
      <c r="FK37" s="59">
        <f t="shared" si="48"/>
        <v>370.49129421395628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3.8419839559731996</v>
      </c>
      <c r="FR37" s="21">
        <f>EXP(-LN(2)/25)*FR36+(1-EXP(-LN(2)/25))/(LN(2)/25)*Calculateur!FM37*Calculateur!FO37*VLOOKUP('Données projet'!$B$16,Paramètres!$A$1:$I$89,3,0)*0.475*44/12</f>
        <v>11.981193767127175</v>
      </c>
      <c r="FS37" s="21">
        <f>EXP(-LN(2)/2)*FS36+(1-EXP(-LN(2)/2))/(LN(2)/2)*FM37*FP37*VLOOKUP('Données projet'!$B$16,Paramètres!$A$1:$I$89,3,0)*0.475*44/12</f>
        <v>2.0310416496621717</v>
      </c>
      <c r="FT37" s="22">
        <f t="shared" si="24"/>
        <v>17.854219372762547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3.3603333333333336</v>
      </c>
      <c r="FZ37" s="12">
        <f>IF('Données projet'!$A$244&gt;35,FZ36+FY37-GH36,IF(A37&lt;'Données projet'!$A$244,$FW$205^A37,IF(A37='Données projet'!$A$244,'Données projet'!$B$244,FZ36+FY37-GH36)))</f>
        <v>114.25133333333332</v>
      </c>
      <c r="GA37" s="17">
        <f>FZ37*VLOOKUP('Données projet'!$B$17,Paramètres!$A$1:$I$89,3,0)*VLOOKUP('Données projet'!$B$17,Paramètres!$A$1:$I$89,5,0)</f>
        <v>130.10941839999998</v>
      </c>
      <c r="GB37" s="13">
        <f t="shared" si="49"/>
        <v>34.021641473848256</v>
      </c>
      <c r="GC37" s="20">
        <f t="shared" si="25"/>
        <v>285.86159594695238</v>
      </c>
      <c r="GD37" s="59">
        <f t="shared" si="26"/>
        <v>528.63502740906802</v>
      </c>
      <c r="GE37" s="59">
        <f ca="1">AVERAGE(OFFSET($GD$3,0,0,'Données projet'!$E$17+1,1))-AVERAGE(OFFSET($H$3,0,0,'Données projet'!$E$17+1,1))</f>
        <v>640.05156427113661</v>
      </c>
      <c r="GF37" s="59">
        <f t="shared" si="50"/>
        <v>308.77220155372902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12.998333333333335</v>
      </c>
      <c r="N38" s="13">
        <f>IF('Données projet'!$A$36&gt;35,N37+M38-V37,IF(A38&lt;'Données projet'!$A$36,$K$205^A38,IF(A38='Données projet'!$A$36,'Données projet'!$B$36,N37+M38-V37)))</f>
        <v>138.49333333333334</v>
      </c>
      <c r="O38" s="13">
        <f>N38*VLOOKUP('Données projet'!$B$9,Paramètres!$A$1:$I$89,3,0)*VLOOKUP('Données projet'!$B$9,Paramètres!$A$1:$I$89,5,0)</f>
        <v>116.66678400000002</v>
      </c>
      <c r="P38" s="13">
        <f t="shared" si="33"/>
        <v>30.896311433156317</v>
      </c>
      <c r="Q38" s="20">
        <f t="shared" si="53"/>
        <v>257.00572454608067</v>
      </c>
      <c r="R38" s="59">
        <f t="shared" si="0"/>
        <v>500.65625727065515</v>
      </c>
      <c r="S38" s="59">
        <f ca="1">AVERAGE(OFFSET($R$3,0,0,'Données projet'!$E$9+1,1))-AVERAGE(OFFSET($H$3,0,0,'Données projet'!$E$9+1,1))</f>
        <v>456.35333554128226</v>
      </c>
      <c r="T38" s="59">
        <f t="shared" si="34"/>
        <v>296.4517290984877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18.783373551136751</v>
      </c>
      <c r="AB38" s="21">
        <f>EXP(-LN(2)/2)*AB37+(1-EXP(-LN(2)/2))/(LN(2)/2)*V38*Y38*VLOOKUP('Données projet'!$B$9,Paramètres!$A$1:$I$89,3,0)*0.475*44/12</f>
        <v>2.6137888291118809</v>
      </c>
      <c r="AC38" s="22">
        <f t="shared" si="3"/>
        <v>21.397162380248631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206</v>
      </c>
      <c r="AG38" s="12">
        <f>VLOOKUP(A38,'Données projet'!$A$61:$I$81,9,0)</f>
        <v>12.8</v>
      </c>
      <c r="AH38" s="12">
        <f t="array" ref="AH38">INDEX(AG:AG,MIN(IF(ISNUMBER(AG38:AG234),ROW(AG38:AG234),"")))</f>
        <v>12.8</v>
      </c>
      <c r="AI38" s="13">
        <f>IF('Données projet'!$A$62&gt;35,AI37+AH38-AQ37,IF(A38&lt;'Données projet'!$A$62,$AF$205^A38,IF(A38='Données projet'!$A$62,'Données projet'!$B$62,AI37+AH38-AQ37)))</f>
        <v>205.99999999999997</v>
      </c>
      <c r="AJ38" s="13">
        <f>AI38*VLOOKUP('Données projet'!$B$10,Paramètres!$A$1:$I$89,3,0)*VLOOKUP('Données projet'!$B$10,Paramètres!$A$1:$I$89,5,0)</f>
        <v>179.9616</v>
      </c>
      <c r="AK38" s="13">
        <f t="shared" si="35"/>
        <v>45.313642767960104</v>
      </c>
      <c r="AL38" s="20">
        <f t="shared" si="4"/>
        <v>392.35438115419714</v>
      </c>
      <c r="AM38" s="59">
        <f t="shared" si="5"/>
        <v>636.00491387877162</v>
      </c>
      <c r="AN38" s="59">
        <f ca="1">AVERAGE(OFFSET($AM$3,0,0,'Données projet'!$E$10+1,1))-AVERAGE(OFFSET($H$3,0,0,'Données projet'!$E$10+1,1))</f>
        <v>408.246209980743</v>
      </c>
      <c r="AO38" s="59">
        <f t="shared" si="36"/>
        <v>394.10236303013903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35</v>
      </c>
      <c r="AR38" s="16">
        <f>IF(ISNA(VLOOKUP(A38,'Données projet'!$A$61:$I$81,5,0)),0%,VLOOKUP(A38,'Données projet'!$A$61:$I$81,5,0)*VLOOKUP('Données projet'!$B$10,Paramètres!$A$1:$I$89,7,0))</f>
        <v>0.13250000000000001</v>
      </c>
      <c r="AS38" s="16">
        <f>IF(ISNA(VLOOKUP(A38,'Données projet'!$A$61:$I$81,6,0)),0%,VLOOKUP(A38,'Données projet'!$A$61:$I$81,6,0)*VLOOKUP('Données projet'!$B$10,Paramètres!$A$1:$I$89,7,0))</f>
        <v>0.13250000000000001</v>
      </c>
      <c r="AT38" s="16">
        <f>IF(ISNA(VLOOKUP(A38,'Données projet'!$A$61:$I$81,7,0)),0%,VLOOKUP(A38,'Données projet'!$A$61:$I$81,7,0))</f>
        <v>0.25</v>
      </c>
      <c r="AU38" s="21">
        <f>EXP(-LN(2)/35)*AU37+(1-EXP(-LN(2)/35))/(LN(2)/35)*AQ38*AR38*VLOOKUP('Données projet'!$B$10,Paramètres!$A$1:$I$89,3,0)*0.475*44/12</f>
        <v>8.5350011745983139</v>
      </c>
      <c r="AV38" s="21">
        <f>EXP(-LN(2)/25)*AV37+(1-EXP(-LN(2)/25))/(LN(2)/25)*Calculateur!AQ38*Calculateur!AS38*VLOOKUP('Données projet'!$B$10,Paramètres!$A$1:$I$89,3,0)*0.475*44/12</f>
        <v>17.010975901729889</v>
      </c>
      <c r="AW38" s="21">
        <f>EXP(-LN(2)/2)*AW37+(1-EXP(-LN(2)/2))/(LN(2)/2)*AQ38*AT38*VLOOKUP('Données projet'!$B$10,Paramètres!$A$1:$I$89,3,0)*0.475*44/12</f>
        <v>8.7589571603880554</v>
      </c>
      <c r="AX38" s="21">
        <f t="shared" si="6"/>
        <v>34.304934236716257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3.3603333333333336</v>
      </c>
      <c r="BD38" s="12">
        <f>IF('Données projet'!$A$88&gt;35,BD37+BC38-BL37,IF(A38&lt;'Données projet'!$A$88,$BA$205^A38,IF(A38='Données projet'!$A$88,'Données projet'!$B$88,BD37+BC38-BL37)))</f>
        <v>117.61166666666665</v>
      </c>
      <c r="BE38" s="13">
        <f>BD38*VLOOKUP('Données projet'!$B$11,Paramètres!$A$1:$I$89,3,0)*VLOOKUP('Données projet'!$B$11,Paramètres!$A$1:$I$89,5,0)</f>
        <v>119.25823</v>
      </c>
      <c r="BF38" s="13">
        <f t="shared" si="37"/>
        <v>31.501931238975171</v>
      </c>
      <c r="BG38" s="20">
        <f t="shared" si="7"/>
        <v>262.57394749121505</v>
      </c>
      <c r="BH38" s="59">
        <f t="shared" si="8"/>
        <v>506.22448021578953</v>
      </c>
      <c r="BI38" s="59">
        <f ca="1">AVERAGE(OFFSET($BH$3,0,0,'Données projet'!$E$11+1,1))-AVERAGE(OFFSET($H$3,0,0,'Données projet'!$E$11+1,1))</f>
        <v>580.02848304986492</v>
      </c>
      <c r="BJ38" s="59">
        <f t="shared" si="38"/>
        <v>281.68891895586728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164.99999999999994</v>
      </c>
      <c r="BZ38" s="13">
        <f>BY38*VLOOKUP('Données projet'!$B$12,Paramètres!$A$1:$I$89,3,0)*VLOOKUP('Données projet'!$B$12,Paramètres!$A$1:$I$89,5,0)</f>
        <v>128.69999999999996</v>
      </c>
      <c r="CA38" s="13">
        <f t="shared" si="39"/>
        <v>33.695792019186115</v>
      </c>
      <c r="CB38" s="20">
        <f t="shared" si="10"/>
        <v>282.83933776674911</v>
      </c>
      <c r="CC38" s="59">
        <f t="shared" si="11"/>
        <v>526.48987049132359</v>
      </c>
      <c r="CD38" s="59">
        <f ca="1">AVERAGE(OFFSET($CC$3,0,0,'Données projet'!$E$12+1,1))-AVERAGE(OFFSET($H$3,0,0,'Données projet'!$E$12+1,1))</f>
        <v>308.85018589589453</v>
      </c>
      <c r="CE38" s="59">
        <f t="shared" si="40"/>
        <v>302.59481222418219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3.08282768186114</v>
      </c>
      <c r="CL38" s="21">
        <f>EXP(-LN(2)/25)*CL37+(1-EXP(-LN(2)/25))/(LN(2)/25)*Calculateur!CG38*Calculateur!CI38*VLOOKUP('Données projet'!$B$12,Paramètres!$A$1:$I$89,3,0)*0.475*44/12</f>
        <v>6.5461037866868583</v>
      </c>
      <c r="CM38" s="21">
        <f>EXP(-LN(2)/2)*CM37+(1-EXP(-LN(2)/2))/(LN(2)/2)*CG38*CJ38*VLOOKUP('Données projet'!$B$12,Paramètres!$A$1:$I$89,3,0)*0.475*44/12</f>
        <v>1.8370783823201426</v>
      </c>
      <c r="CN38" s="22">
        <f t="shared" si="12"/>
        <v>11.46600985086814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155.12820512820511</v>
      </c>
      <c r="CR38" s="12">
        <f>VLOOKUP(A38,'Données projet'!$A$139:$I$159,9,0)</f>
        <v>7.6923076923076881</v>
      </c>
      <c r="CS38" s="12">
        <f t="array" ref="CS38">INDEX(CR:CR,MIN(IF(ISNUMBER(CR38:CR234),ROW(CR38:CR234),"")))</f>
        <v>7.6923076923076881</v>
      </c>
      <c r="CT38" s="12">
        <f>IF('Données projet'!$A$140&gt;35,CT37+CS38-DB37,IF(A38&lt;'Données projet'!$A$140,$CQ$205^A38,IF(A38='Données projet'!$A$140,'Données projet'!$B$140,CT37+CS38-DB37)))</f>
        <v>155.12820512820511</v>
      </c>
      <c r="CU38" s="17">
        <f>CT38*VLOOKUP('Données projet'!$B$13,Paramètres!$A$1:$I$89,3,0)*VLOOKUP('Données projet'!$B$13,Paramètres!$A$1:$I$89,5,0)</f>
        <v>104.05999999999997</v>
      </c>
      <c r="CV38" s="13">
        <f t="shared" si="41"/>
        <v>27.926984861261648</v>
      </c>
      <c r="CW38" s="20">
        <f t="shared" si="13"/>
        <v>229.87733196669731</v>
      </c>
      <c r="CX38" s="59">
        <f t="shared" si="14"/>
        <v>473.52786469127182</v>
      </c>
      <c r="CY38" s="59">
        <f ca="1">AVERAGE(OFFSET($CX$3,0,0,'Données projet'!$E$13+1,1))-AVERAGE(OFFSET($H$3,0,0,'Données projet'!$E$13+1,1))</f>
        <v>335.73816489539837</v>
      </c>
      <c r="CZ38" s="59">
        <f t="shared" si="42"/>
        <v>254.09787950201044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17.307692307692307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0.13250000000000001</v>
      </c>
      <c r="DE38" s="16">
        <f>IF(ISNA(VLOOKUP(A38,'Données projet'!$A$139:$I$159,7,0)),0%,VLOOKUP(A38,'Données projet'!$A$139:$I$159,7,0))</f>
        <v>0.25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5.7896051585939485</v>
      </c>
      <c r="DH38" s="21">
        <f>EXP(-LN(2)/2)*DH37+(1-EXP(-LN(2)/2))/(LN(2)/2)*DB38*DE38*VLOOKUP('Données projet'!$B$13,Paramètres!$A$1:$I$89,3,0)*0.475*44/12</f>
        <v>3.2979283333350229</v>
      </c>
      <c r="DI38" s="22">
        <f t="shared" si="15"/>
        <v>9.087533491928971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4.016578947368421</v>
      </c>
      <c r="DO38" s="12">
        <f>IF('Données projet'!$A$166&gt;35,DO37+DN38-DW37,IF(A38&lt;'Données projet'!$A$166,$DL$205^A38,IF(A38='Données projet'!$A$166,'Données projet'!$B$166,DO37+DN38-DW37)))</f>
        <v>140.58026315789471</v>
      </c>
      <c r="DP38" s="17">
        <f>DO38*VLOOKUP('Données projet'!$B$14,Paramètres!$A$1:$I$89,3,0)*VLOOKUP('Données projet'!$B$14,Paramètres!$A$1:$I$89,5,0)</f>
        <v>135.96923052631576</v>
      </c>
      <c r="DQ38" s="13">
        <f t="shared" si="43"/>
        <v>35.372048693992689</v>
      </c>
      <c r="DR38" s="20">
        <f t="shared" si="16"/>
        <v>298.41939464203716</v>
      </c>
      <c r="DS38" s="59">
        <f t="shared" si="17"/>
        <v>542.06992736661164</v>
      </c>
      <c r="DT38" s="59">
        <f ca="1">AVERAGE(OFFSET($DS$3,0,0,'Données projet'!$E$14+1,1))-AVERAGE(OFFSET($H$3,0,0,'Données projet'!$E$14+1,1))</f>
        <v>493.03862850474161</v>
      </c>
      <c r="DU38" s="59">
        <f t="shared" si="44"/>
        <v>312.51819065560528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4.016578947368421</v>
      </c>
      <c r="EJ38" s="12">
        <f>IF('Données projet'!$A$192&gt;35,EJ37+EI38-ER37,IF(A38&lt;'Données projet'!$A$192,$EG$205^A38,IF(A38='Données projet'!$A$192,'Données projet'!$B$192,EJ37+EI38-ER37)))</f>
        <v>140.58026315789471</v>
      </c>
      <c r="EK38" s="17">
        <f>EJ38*VLOOKUP('Données projet'!$B$15,Paramètres!$A$1:$I$89,3,0)*VLOOKUP('Données projet'!$B$15,Paramètres!$A$1:$I$89,5,0)</f>
        <v>151.32059526315786</v>
      </c>
      <c r="EL38" s="13">
        <f t="shared" si="45"/>
        <v>38.878542360991709</v>
      </c>
      <c r="EM38" s="20">
        <f t="shared" si="19"/>
        <v>331.26349802872716</v>
      </c>
      <c r="EN38" s="59">
        <f t="shared" si="20"/>
        <v>574.91403075330163</v>
      </c>
      <c r="EO38" s="59">
        <f ca="1">AVERAGE(OFFSET($EN$3,0,0,'Données projet'!$E$15+1,1))-AVERAGE(OFFSET($H$3,0,0,'Données projet'!$E$15+1,1))</f>
        <v>539.72194201710272</v>
      </c>
      <c r="EP38" s="59">
        <f t="shared" si="46"/>
        <v>340.76505385159362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206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205.99999999999997</v>
      </c>
      <c r="FF38" s="17">
        <f>FE38*VLOOKUP('Données projet'!$B$16,Paramètres!$A$1:$I$89,3,0)*VLOOKUP('Données projet'!$B$16,Paramètres!$A$1:$I$89,5,0)</f>
        <v>167.10719999999998</v>
      </c>
      <c r="FG38" s="13">
        <f t="shared" si="47"/>
        <v>42.44148687166966</v>
      </c>
      <c r="FH38" s="20">
        <f t="shared" si="22"/>
        <v>364.96396296815789</v>
      </c>
      <c r="FI38" s="59">
        <f t="shared" si="23"/>
        <v>608.61449569273236</v>
      </c>
      <c r="FJ38" s="59">
        <f ca="1">AVERAGE(OFFSET($FI$3,0,0,'Données projet'!$E$16+1,1))-AVERAGE(OFFSET($H$3,0,0,'Données projet'!$E$16+1,1))</f>
        <v>383.47860767209028</v>
      </c>
      <c r="FK38" s="59">
        <f t="shared" si="48"/>
        <v>370.49129421395628</v>
      </c>
      <c r="FL38" s="15">
        <f>IF(ISNA(VLOOKUP(A38,'Données projet'!$A$217:$I$237,3,0)),0,VLOOKUP(A38,'Données projet'!$A$217:$I$237,3,0))</f>
        <v>5</v>
      </c>
      <c r="FM38" s="15">
        <f>IF(ISNA(VLOOKUP(A38,'Données projet'!$A$217:$I$237,4,0)),0,VLOOKUP(A38,'Données projet'!$A$217:$I$237,4,0))</f>
        <v>35</v>
      </c>
      <c r="FN38" s="16">
        <f>IF(ISNA(VLOOKUP(A38,'Données projet'!$A$217:$I$237,5,0)),0%,VLOOKUP(A38,'Données projet'!$A$217:$I$237,5,0)*VLOOKUP('Données projet'!$B$16,Paramètres!$A$1:$I$89,7,0))</f>
        <v>0.13250000000000001</v>
      </c>
      <c r="FO38" s="16">
        <f>IF(ISNA(VLOOKUP(A38,'Données projet'!$A$217:$I$237,6,0)),0%,VLOOKUP(A38,'Données projet'!$A$217:$I$237,6,0)*VLOOKUP('Données projet'!$B$16,Paramètres!$A$1:$I$89,7,0))</f>
        <v>0.13250000000000001</v>
      </c>
      <c r="FP38" s="16">
        <f>IF(ISNA(VLOOKUP(A38,'Données projet'!$A$217:$I$237,7,0)),0%,VLOOKUP(A38,'Données projet'!$A$217:$I$237,7,0))</f>
        <v>0.25</v>
      </c>
      <c r="FQ38" s="21">
        <f>EXP(-LN(2)/35)*FQ37+(1-EXP(-LN(2)/35))/(LN(2)/35)*FM38*FN38*VLOOKUP('Données projet'!$B$16,Paramètres!$A$1:$I$89,3,0)*0.475*44/12</f>
        <v>7.9253582335555759</v>
      </c>
      <c r="FR38" s="21">
        <f>EXP(-LN(2)/25)*FR37+(1-EXP(-LN(2)/25))/(LN(2)/25)*Calculateur!FM38*Calculateur!FO38*VLOOKUP('Données projet'!$B$16,Paramètres!$A$1:$I$89,3,0)*0.475*44/12</f>
        <v>15.795906194463472</v>
      </c>
      <c r="FS38" s="21">
        <f>EXP(-LN(2)/2)*FS37+(1-EXP(-LN(2)/2))/(LN(2)/2)*FM38*FP38*VLOOKUP('Données projet'!$B$16,Paramètres!$A$1:$I$89,3,0)*0.475*44/12</f>
        <v>8.1333173632174791</v>
      </c>
      <c r="FT38" s="22">
        <f t="shared" si="24"/>
        <v>31.854581791236527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3.3603333333333336</v>
      </c>
      <c r="FZ38" s="12">
        <f>IF('Données projet'!$A$244&gt;35,FZ37+FY38-GH37,IF(A38&lt;'Données projet'!$A$244,$FW$205^A38,IF(A38='Données projet'!$A$244,'Données projet'!$B$244,FZ37+FY38-GH37)))</f>
        <v>117.61166666666665</v>
      </c>
      <c r="GA38" s="17">
        <f>FZ38*VLOOKUP('Données projet'!$B$17,Paramètres!$A$1:$I$89,3,0)*VLOOKUP('Données projet'!$B$17,Paramètres!$A$1:$I$89,5,0)</f>
        <v>133.93616599999999</v>
      </c>
      <c r="GB38" s="13">
        <f t="shared" si="49"/>
        <v>34.904306731546029</v>
      </c>
      <c r="GC38" s="20">
        <f t="shared" si="25"/>
        <v>294.06382334077597</v>
      </c>
      <c r="GD38" s="59">
        <f t="shared" si="26"/>
        <v>537.71435606535044</v>
      </c>
      <c r="GE38" s="59">
        <f ca="1">AVERAGE(OFFSET($GD$3,0,0,'Données projet'!$E$17+1,1))-AVERAGE(OFFSET($H$3,0,0,'Données projet'!$E$17+1,1))</f>
        <v>640.05156427113661</v>
      </c>
      <c r="GF38" s="59">
        <f t="shared" si="50"/>
        <v>308.77220155372902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0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12.998333333333335</v>
      </c>
      <c r="N39" s="13">
        <f>IF('Données projet'!$A$36&gt;35,N38+M39-V38,IF(A39&lt;'Données projet'!$A$36,$K$205^A39,IF(A39='Données projet'!$A$36,'Données projet'!$B$36,N38+M39-V38)))</f>
        <v>151.49166666666667</v>
      </c>
      <c r="O39" s="13">
        <f>N39*VLOOKUP('Données projet'!$B$9,Paramètres!$A$1:$I$89,3,0)*VLOOKUP('Données projet'!$B$9,Paramètres!$A$1:$I$89,5,0)</f>
        <v>127.61658000000001</v>
      </c>
      <c r="P39" s="13">
        <f t="shared" si="33"/>
        <v>33.445029241298066</v>
      </c>
      <c r="Q39" s="20">
        <f t="shared" si="53"/>
        <v>280.51563609526079</v>
      </c>
      <c r="R39" s="59">
        <f t="shared" si="0"/>
        <v>525.02805433629521</v>
      </c>
      <c r="S39" s="59">
        <f ca="1">AVERAGE(OFFSET($R$3,0,0,'Données projet'!$E$9+1,1))-AVERAGE(OFFSET($H$3,0,0,'Données projet'!$E$9+1,1))</f>
        <v>456.35333554128226</v>
      </c>
      <c r="T39" s="59">
        <f t="shared" si="34"/>
        <v>296.4517290984877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18.269741213606231</v>
      </c>
      <c r="AB39" s="21">
        <f>EXP(-LN(2)/2)*AB38+(1-EXP(-LN(2)/2))/(LN(2)/2)*V39*Y39*VLOOKUP('Données projet'!$B$9,Paramètres!$A$1:$I$89,3,0)*0.475*44/12</f>
        <v>1.8482278056546573</v>
      </c>
      <c r="AC39" s="22">
        <f t="shared" si="3"/>
        <v>20.11796901926089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11.4</v>
      </c>
      <c r="AI39" s="13">
        <f>IF('Données projet'!$A$62&gt;35,AI38+AH39-AQ38,IF(A39&lt;'Données projet'!$A$62,$AF$205^A39,IF(A39='Données projet'!$A$62,'Données projet'!$B$62,AI38+AH39-AQ38)))</f>
        <v>182.39999999999998</v>
      </c>
      <c r="AJ39" s="13">
        <f>AI39*VLOOKUP('Données projet'!$B$10,Paramètres!$A$1:$I$89,3,0)*VLOOKUP('Données projet'!$B$10,Paramètres!$A$1:$I$89,5,0)</f>
        <v>159.34464</v>
      </c>
      <c r="AK39" s="13">
        <f t="shared" si="35"/>
        <v>40.694661837553809</v>
      </c>
      <c r="AL39" s="20">
        <f t="shared" si="4"/>
        <v>348.40178403373949</v>
      </c>
      <c r="AM39" s="59">
        <f t="shared" si="5"/>
        <v>592.91420227477397</v>
      </c>
      <c r="AN39" s="59">
        <f ca="1">AVERAGE(OFFSET($AM$3,0,0,'Données projet'!$E$10+1,1))-AVERAGE(OFFSET($H$3,0,0,'Données projet'!$E$10+1,1))</f>
        <v>408.246209980743</v>
      </c>
      <c r="AO39" s="59">
        <f t="shared" si="36"/>
        <v>394.10236303013903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8.3676350074011232</v>
      </c>
      <c r="AV39" s="21">
        <f>EXP(-LN(2)/25)*AV38+(1-EXP(-LN(2)/25))/(LN(2)/25)*Calculateur!AQ39*Calculateur!AS39*VLOOKUP('Données projet'!$B$10,Paramètres!$A$1:$I$89,3,0)*0.475*44/12</f>
        <v>16.545809871128743</v>
      </c>
      <c r="AW39" s="21">
        <f>EXP(-LN(2)/2)*AW38+(1-EXP(-LN(2)/2))/(LN(2)/2)*AQ39*AT39*VLOOKUP('Données projet'!$B$10,Paramètres!$A$1:$I$89,3,0)*0.475*44/12</f>
        <v>6.1935180042328604</v>
      </c>
      <c r="AX39" s="21">
        <f t="shared" si="6"/>
        <v>31.106962882762726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3.3603333333333336</v>
      </c>
      <c r="BD39" s="12">
        <f>IF('Données projet'!$A$88&gt;35,BD38+BC39-BL38,IF(A39&lt;'Données projet'!$A$88,$BA$205^A39,IF(A39='Données projet'!$A$88,'Données projet'!$B$88,BD38+BC39-BL38)))</f>
        <v>120.97199999999998</v>
      </c>
      <c r="BE39" s="13">
        <f>BD39*VLOOKUP('Données projet'!$B$11,Paramètres!$A$1:$I$89,3,0)*VLOOKUP('Données projet'!$B$11,Paramètres!$A$1:$I$89,5,0)</f>
        <v>122.66560799999998</v>
      </c>
      <c r="BF39" s="13">
        <f t="shared" si="37"/>
        <v>32.295911394857214</v>
      </c>
      <c r="BG39" s="20">
        <f t="shared" si="7"/>
        <v>269.89131294604289</v>
      </c>
      <c r="BH39" s="59">
        <f t="shared" si="8"/>
        <v>514.40373118707726</v>
      </c>
      <c r="BI39" s="59">
        <f ca="1">AVERAGE(OFFSET($BH$3,0,0,'Données projet'!$E$11+1,1))-AVERAGE(OFFSET($H$3,0,0,'Données projet'!$E$11+1,1))</f>
        <v>580.02848304986492</v>
      </c>
      <c r="BJ39" s="59">
        <f t="shared" si="38"/>
        <v>281.68891895586728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176.49999999999994</v>
      </c>
      <c r="BZ39" s="13">
        <f>BY39*VLOOKUP('Données projet'!$B$12,Paramètres!$A$1:$I$89,3,0)*VLOOKUP('Données projet'!$B$12,Paramètres!$A$1:$I$89,5,0)</f>
        <v>137.66999999999996</v>
      </c>
      <c r="CA39" s="13">
        <f t="shared" si="39"/>
        <v>35.762714965854656</v>
      </c>
      <c r="CB39" s="20">
        <f t="shared" si="10"/>
        <v>302.06197856553007</v>
      </c>
      <c r="CC39" s="59">
        <f t="shared" si="11"/>
        <v>546.57439680656444</v>
      </c>
      <c r="CD39" s="59">
        <f ca="1">AVERAGE(OFFSET($CC$3,0,0,'Données projet'!$E$12+1,1))-AVERAGE(OFFSET($H$3,0,0,'Données projet'!$E$12+1,1))</f>
        <v>308.85018589589453</v>
      </c>
      <c r="CE39" s="59">
        <f t="shared" si="40"/>
        <v>302.59481222418219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3.022375311359061</v>
      </c>
      <c r="CL39" s="21">
        <f>EXP(-LN(2)/25)*CL38+(1-EXP(-LN(2)/25))/(LN(2)/25)*Calculateur!CG39*Calculateur!CI39*VLOOKUP('Données projet'!$B$12,Paramètres!$A$1:$I$89,3,0)*0.475*44/12</f>
        <v>6.3671002343952692</v>
      </c>
      <c r="CM39" s="21">
        <f>EXP(-LN(2)/2)*CM38+(1-EXP(-LN(2)/2))/(LN(2)/2)*CG39*CJ39*VLOOKUP('Données projet'!$B$12,Paramètres!$A$1:$I$89,3,0)*0.475*44/12</f>
        <v>1.2990105817097859</v>
      </c>
      <c r="CN39" s="22">
        <f t="shared" si="12"/>
        <v>10.688486127464115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7.1794871794871771</v>
      </c>
      <c r="CT39" s="12">
        <f>IF('Données projet'!$A$140&gt;35,CT38+CS39-DB38,IF(A39&lt;'Données projet'!$A$140,$CQ$205^A39,IF(A39='Données projet'!$A$140,'Données projet'!$B$140,CT38+CS39-DB38)))</f>
        <v>145</v>
      </c>
      <c r="CU39" s="17">
        <f>CT39*VLOOKUP('Données projet'!$B$13,Paramètres!$A$1:$I$89,3,0)*VLOOKUP('Données projet'!$B$13,Paramètres!$A$1:$I$89,5,0)</f>
        <v>97.266000000000005</v>
      </c>
      <c r="CV39" s="13">
        <f t="shared" si="41"/>
        <v>26.309612648745627</v>
      </c>
      <c r="CW39" s="20">
        <f t="shared" si="13"/>
        <v>215.22752536323196</v>
      </c>
      <c r="CX39" s="59">
        <f t="shared" si="14"/>
        <v>459.73994360426639</v>
      </c>
      <c r="CY39" s="59">
        <f ca="1">AVERAGE(OFFSET($CX$3,0,0,'Données projet'!$E$13+1,1))-AVERAGE(OFFSET($H$3,0,0,'Données projet'!$E$13+1,1))</f>
        <v>335.73816489539837</v>
      </c>
      <c r="CZ39" s="59">
        <f t="shared" si="42"/>
        <v>254.09787950201044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5.6312881010700941</v>
      </c>
      <c r="DH39" s="21">
        <f>EXP(-LN(2)/2)*DH38+(1-EXP(-LN(2)/2))/(LN(2)/2)*DB39*DE39*VLOOKUP('Données projet'!$B$13,Paramètres!$A$1:$I$89,3,0)*0.475*44/12</f>
        <v>2.3319874883684437</v>
      </c>
      <c r="DI39" s="22">
        <f t="shared" si="15"/>
        <v>7.9632755894385383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4.016578947368421</v>
      </c>
      <c r="DO39" s="12">
        <f>IF('Données projet'!$A$166&gt;35,DO38+DN39-DW38,IF(A39&lt;'Données projet'!$A$166,$DL$205^A39,IF(A39='Données projet'!$A$166,'Données projet'!$B$166,DO38+DN39-DW38)))</f>
        <v>144.59684210526314</v>
      </c>
      <c r="DP39" s="17">
        <f>DO39*VLOOKUP('Données projet'!$B$14,Paramètres!$A$1:$I$89,3,0)*VLOOKUP('Données projet'!$B$14,Paramètres!$A$1:$I$89,5,0)</f>
        <v>139.8540656842105</v>
      </c>
      <c r="DQ39" s="13">
        <f t="shared" si="43"/>
        <v>36.263571963562185</v>
      </c>
      <c r="DR39" s="20">
        <f t="shared" si="16"/>
        <v>306.73821890320409</v>
      </c>
      <c r="DS39" s="59">
        <f t="shared" si="17"/>
        <v>551.25063714423845</v>
      </c>
      <c r="DT39" s="59">
        <f ca="1">AVERAGE(OFFSET($DS$3,0,0,'Données projet'!$E$14+1,1))-AVERAGE(OFFSET($H$3,0,0,'Données projet'!$E$14+1,1))</f>
        <v>493.03862850474161</v>
      </c>
      <c r="DU39" s="59">
        <f t="shared" si="44"/>
        <v>312.51819065560528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4.016578947368421</v>
      </c>
      <c r="EJ39" s="12">
        <f>IF('Données projet'!$A$192&gt;35,EJ38+EI39-ER38,IF(A39&lt;'Données projet'!$A$192,$EG$205^A39,IF(A39='Données projet'!$A$192,'Données projet'!$B$192,EJ38+EI39-ER38)))</f>
        <v>144.59684210526314</v>
      </c>
      <c r="EK39" s="17">
        <f>EJ39*VLOOKUP('Données projet'!$B$15,Paramètres!$A$1:$I$89,3,0)*VLOOKUP('Données projet'!$B$15,Paramètres!$A$1:$I$89,5,0)</f>
        <v>155.64404084210523</v>
      </c>
      <c r="EL39" s="13">
        <f t="shared" si="45"/>
        <v>39.858443907029468</v>
      </c>
      <c r="EM39" s="20">
        <f t="shared" si="19"/>
        <v>340.50016093807625</v>
      </c>
      <c r="EN39" s="59">
        <f t="shared" si="20"/>
        <v>585.01257917911062</v>
      </c>
      <c r="EO39" s="59">
        <f ca="1">AVERAGE(OFFSET($EN$3,0,0,'Données projet'!$E$15+1,1))-AVERAGE(OFFSET($H$3,0,0,'Données projet'!$E$15+1,1))</f>
        <v>539.72194201710272</v>
      </c>
      <c r="EP39" s="59">
        <f t="shared" si="46"/>
        <v>340.76505385159362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11.4</v>
      </c>
      <c r="FE39" s="12">
        <f>IF('Données projet'!$A$218&gt;35,FE38+FD39-FM38,IF(A39&lt;'Données projet'!$A$218,$FB$205^A39,IF(A39='Données projet'!$A$218,'Données projet'!$B$218,FE38+FD39-FM38)))</f>
        <v>182.39999999999998</v>
      </c>
      <c r="FF39" s="17">
        <f>FE39*VLOOKUP('Données projet'!$B$16,Paramètres!$A$1:$I$89,3,0)*VLOOKUP('Données projet'!$B$16,Paramètres!$A$1:$I$89,5,0)</f>
        <v>147.96287999999998</v>
      </c>
      <c r="FG39" s="13">
        <f t="shared" si="47"/>
        <v>38.115275017059226</v>
      </c>
      <c r="FH39" s="20">
        <f t="shared" si="22"/>
        <v>324.08611998804474</v>
      </c>
      <c r="FI39" s="59">
        <f t="shared" si="23"/>
        <v>568.59853822907917</v>
      </c>
      <c r="FJ39" s="59">
        <f ca="1">AVERAGE(OFFSET($FI$3,0,0,'Données projet'!$E$16+1,1))-AVERAGE(OFFSET($H$3,0,0,'Données projet'!$E$16+1,1))</f>
        <v>383.47860767209028</v>
      </c>
      <c r="FK39" s="59">
        <f t="shared" si="48"/>
        <v>370.49129421395628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7.7699467925867562</v>
      </c>
      <c r="FR39" s="21">
        <f>EXP(-LN(2)/25)*FR38+(1-EXP(-LN(2)/25))/(LN(2)/25)*Calculateur!FM39*Calculateur!FO39*VLOOKUP('Données projet'!$B$16,Paramètres!$A$1:$I$89,3,0)*0.475*44/12</f>
        <v>15.363966308905264</v>
      </c>
      <c r="FS39" s="21">
        <f>EXP(-LN(2)/2)*FS38+(1-EXP(-LN(2)/2))/(LN(2)/2)*FM39*FP39*VLOOKUP('Données projet'!$B$16,Paramètres!$A$1:$I$89,3,0)*0.475*44/12</f>
        <v>5.7511238610733697</v>
      </c>
      <c r="FT39" s="22">
        <f t="shared" si="24"/>
        <v>28.88503696256539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3.3603333333333336</v>
      </c>
      <c r="FZ39" s="12">
        <f>IF('Données projet'!$A$244&gt;35,FZ38+FY39-GH38,IF(A39&lt;'Données projet'!$A$244,$FW$205^A39,IF(A39='Données projet'!$A$244,'Données projet'!$B$244,FZ38+FY39-GH38)))</f>
        <v>120.97199999999998</v>
      </c>
      <c r="GA39" s="17">
        <f>FZ39*VLOOKUP('Données projet'!$B$17,Paramètres!$A$1:$I$89,3,0)*VLOOKUP('Données projet'!$B$17,Paramètres!$A$1:$I$89,5,0)</f>
        <v>137.76291359999996</v>
      </c>
      <c r="GB39" s="13">
        <f t="shared" si="49"/>
        <v>35.784040951312875</v>
      </c>
      <c r="GC39" s="20">
        <f t="shared" si="25"/>
        <v>302.26094584353649</v>
      </c>
      <c r="GD39" s="59">
        <f t="shared" si="26"/>
        <v>546.77336408457086</v>
      </c>
      <c r="GE39" s="59">
        <f ca="1">AVERAGE(OFFSET($GD$3,0,0,'Données projet'!$E$17+1,1))-AVERAGE(OFFSET($H$3,0,0,'Données projet'!$E$17+1,1))</f>
        <v>640.05156427113661</v>
      </c>
      <c r="GF39" s="59">
        <f t="shared" si="50"/>
        <v>308.77220155372902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0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164.49</v>
      </c>
      <c r="L40" s="12">
        <f>VLOOKUP(A40,'Données projet'!$A$35:$I$55,9,0)</f>
        <v>12.998333333333335</v>
      </c>
      <c r="M40" s="12">
        <f t="array" ref="M40">INDEX(L:L,MIN(IF(ISNUMBER(L40:L236),ROW(L40:L236),"")))</f>
        <v>12.998333333333335</v>
      </c>
      <c r="N40" s="13">
        <f>IF('Données projet'!$A$36&gt;35,N39+M40-V39,IF(A40&lt;'Données projet'!$A$36,$K$205^A40,IF(A40='Données projet'!$A$36,'Données projet'!$B$36,N39+M40-V39)))</f>
        <v>164.49</v>
      </c>
      <c r="O40" s="13">
        <f>N40*VLOOKUP('Données projet'!$B$9,Paramètres!$A$1:$I$89,3,0)*VLOOKUP('Données projet'!$B$9,Paramètres!$A$1:$I$89,5,0)</f>
        <v>138.56637600000002</v>
      </c>
      <c r="P40" s="13">
        <f t="shared" si="33"/>
        <v>35.968385885318511</v>
      </c>
      <c r="Q40" s="20">
        <f t="shared" si="53"/>
        <v>303.9813769502631</v>
      </c>
      <c r="R40" s="59">
        <f t="shared" si="0"/>
        <v>549.34072892093423</v>
      </c>
      <c r="S40" s="59">
        <f ca="1">AVERAGE(OFFSET($R$3,0,0,'Données projet'!$E$9+1,1))-AVERAGE(OFFSET($H$3,0,0,'Données projet'!$E$9+1,1))</f>
        <v>456.35333554128226</v>
      </c>
      <c r="T40" s="59">
        <f t="shared" si="34"/>
        <v>296.4517290984877</v>
      </c>
      <c r="U40" s="15">
        <f>IF(ISNA(VLOOKUP(A40,'Données projet'!$A$35:$I$55,3,0)),0,VLOOKUP(A40,'Données projet'!$A$35:$I$55,3,0))</f>
        <v>2</v>
      </c>
      <c r="V40" s="15">
        <f>IF(ISNA(VLOOKUP(A40,'Données projet'!$A$35:$I$55,4,0)),0,VLOOKUP(A40,'Données projet'!$A$35:$I$55,4,0))</f>
        <v>43.890000000000015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0.34400000000000003</v>
      </c>
      <c r="Y40" s="16">
        <f>IF(ISNA(VLOOKUP(A40,'Données projet'!$A$35:$I$55,7,0)),0%,VLOOKUP(A40,'Données projet'!$A$35:$I$55,7,0))</f>
        <v>0.2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31.774929114131851</v>
      </c>
      <c r="AB40" s="21">
        <f>EXP(-LN(2)/2)*AB39+(1-EXP(-LN(2)/2))/(LN(2)/2)*V40*Y40*VLOOKUP('Données projet'!$B$9,Paramètres!$A$1:$I$89,3,0)*0.475*44/12</f>
        <v>8.2838864601524413</v>
      </c>
      <c r="AC40" s="22">
        <f t="shared" si="3"/>
        <v>40.058815574284296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11.4</v>
      </c>
      <c r="AI40" s="13">
        <f>IF('Données projet'!$A$62&gt;35,AI39+AH40-AQ39,IF(A40&lt;'Données projet'!$A$62,$AF$205^A40,IF(A40='Données projet'!$A$62,'Données projet'!$B$62,AI39+AH40-AQ39)))</f>
        <v>193.79999999999998</v>
      </c>
      <c r="AJ40" s="13">
        <f>AI40*VLOOKUP('Données projet'!$B$10,Paramètres!$A$1:$I$89,3,0)*VLOOKUP('Données projet'!$B$10,Paramètres!$A$1:$I$89,5,0)</f>
        <v>169.30368000000001</v>
      </c>
      <c r="AK40" s="13">
        <f t="shared" si="35"/>
        <v>42.934033834973214</v>
      </c>
      <c r="AL40" s="20">
        <f t="shared" si="4"/>
        <v>369.64735159591169</v>
      </c>
      <c r="AM40" s="59">
        <f t="shared" si="5"/>
        <v>615.00670356658281</v>
      </c>
      <c r="AN40" s="59">
        <f ca="1">AVERAGE(OFFSET($AM$3,0,0,'Données projet'!$E$10+1,1))-AVERAGE(OFFSET($H$3,0,0,'Données projet'!$E$10+1,1))</f>
        <v>408.246209980743</v>
      </c>
      <c r="AO40" s="59">
        <f t="shared" si="36"/>
        <v>394.10236303013903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8.2035507886593884</v>
      </c>
      <c r="AV40" s="21">
        <f>EXP(-LN(2)/25)*AV39+(1-EXP(-LN(2)/25))/(LN(2)/25)*Calculateur!AQ40*Calculateur!AS40*VLOOKUP('Données projet'!$B$10,Paramètres!$A$1:$I$89,3,0)*0.475*44/12</f>
        <v>16.093363830096401</v>
      </c>
      <c r="AW40" s="21">
        <f>EXP(-LN(2)/2)*AW39+(1-EXP(-LN(2)/2))/(LN(2)/2)*AQ40*AT40*VLOOKUP('Données projet'!$B$10,Paramètres!$A$1:$I$89,3,0)*0.475*44/12</f>
        <v>4.3794785801940277</v>
      </c>
      <c r="AX40" s="21">
        <f t="shared" si="6"/>
        <v>28.676393198949818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3.3603333333333336</v>
      </c>
      <c r="BD40" s="12">
        <f>IF('Données projet'!$A$88&gt;35,BD39+BC40-BL39,IF(A40&lt;'Données projet'!$A$88,$BA$205^A40,IF(A40='Données projet'!$A$88,'Données projet'!$B$88,BD39+BC40-BL39)))</f>
        <v>124.33233333333331</v>
      </c>
      <c r="BE40" s="13">
        <f>BD40*VLOOKUP('Données projet'!$B$11,Paramètres!$A$1:$I$89,3,0)*VLOOKUP('Données projet'!$B$11,Paramètres!$A$1:$I$89,5,0)</f>
        <v>126.07298599999999</v>
      </c>
      <c r="BF40" s="13">
        <f t="shared" si="37"/>
        <v>33.08732814573294</v>
      </c>
      <c r="BG40" s="20">
        <f t="shared" si="7"/>
        <v>277.20421380381816</v>
      </c>
      <c r="BH40" s="59">
        <f t="shared" si="8"/>
        <v>522.56356577448923</v>
      </c>
      <c r="BI40" s="59">
        <f ca="1">AVERAGE(OFFSET($BH$3,0,0,'Données projet'!$E$11+1,1))-AVERAGE(OFFSET($H$3,0,0,'Données projet'!$E$11+1,1))</f>
        <v>580.02848304986492</v>
      </c>
      <c r="BJ40" s="59">
        <f t="shared" si="38"/>
        <v>281.68891895586728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188</v>
      </c>
      <c r="BW40" s="12">
        <f>VLOOKUP(A40,'Données projet'!$A$113:$I$133,9,0)</f>
        <v>11.5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187.99999999999994</v>
      </c>
      <c r="BZ40" s="13">
        <f>BY40*VLOOKUP('Données projet'!$B$12,Paramètres!$A$1:$I$89,3,0)*VLOOKUP('Données projet'!$B$12,Paramètres!$A$1:$I$89,5,0)</f>
        <v>146.63999999999996</v>
      </c>
      <c r="CA40" s="13">
        <f t="shared" si="39"/>
        <v>37.814009712703026</v>
      </c>
      <c r="CB40" s="20">
        <f t="shared" si="10"/>
        <v>321.25740024962437</v>
      </c>
      <c r="CC40" s="59">
        <f t="shared" si="11"/>
        <v>566.61675222029544</v>
      </c>
      <c r="CD40" s="59">
        <f ca="1">AVERAGE(OFFSET($CC$3,0,0,'Données projet'!$E$12+1,1))-AVERAGE(OFFSET($H$3,0,0,'Données projet'!$E$12+1,1))</f>
        <v>308.85018589589453</v>
      </c>
      <c r="CE40" s="59">
        <f t="shared" si="40"/>
        <v>302.59481222418219</v>
      </c>
      <c r="CF40" s="15">
        <f>IF(ISNA(VLOOKUP(A40,'Données projet'!$A$113:$I$133,3,0)),0,VLOOKUP(A40,'Données projet'!$A$113:$I$133,3,0))</f>
        <v>5</v>
      </c>
      <c r="CG40" s="15">
        <f>IF(ISNA(VLOOKUP(A40,'Données projet'!$A$113:$I$133,4,0)),0,VLOOKUP(A40,'Données projet'!$A$113:$I$133,4,0))</f>
        <v>36</v>
      </c>
      <c r="CH40" s="16">
        <f>IF(ISNA(VLOOKUP(A40,'Données projet'!$A$113:$I$133,5,0)),0%,VLOOKUP(A40,'Données projet'!$A$113:$I$133,5,0)*VLOOKUP('Données projet'!$B$12,Paramètres!$A$1:$I$89,7,0))</f>
        <v>0.1075</v>
      </c>
      <c r="CI40" s="16">
        <f>IF(ISNA(VLOOKUP(A40,'Données projet'!$A$113:$I$133,6,0)),0%,VLOOKUP(A40,'Données projet'!$A$113:$I$133,6,0)*VLOOKUP('Données projet'!$B$12,Paramètres!$A$1:$I$89,7,0))</f>
        <v>0.1075</v>
      </c>
      <c r="CJ40" s="16">
        <f>IF(ISNA(VLOOKUP(A40,'Données projet'!$A$113:$I$133,7,0)),0%,VLOOKUP(A40,'Données projet'!$A$113:$I$133,7,0))</f>
        <v>0.25</v>
      </c>
      <c r="CK40" s="21">
        <f>EXP(-LN(2)/35)*CK39+(1-EXP(-LN(2)/35))/(LN(2)/35)*CG40*CH40*VLOOKUP('Données projet'!$B$12,Paramètres!$A$1:$I$89,3,0)*0.475*44/12</f>
        <v>6.3000812626283853</v>
      </c>
      <c r="CL40" s="21">
        <f>EXP(-LN(2)/25)*CL39+(1-EXP(-LN(2)/25))/(LN(2)/25)*Calculateur!CG40*Calculateur!CI40*VLOOKUP('Données projet'!$B$12,Paramètres!$A$1:$I$89,3,0)*0.475*44/12</f>
        <v>9.5168254975675808</v>
      </c>
      <c r="CM40" s="21">
        <f>EXP(-LN(2)/2)*CM39+(1-EXP(-LN(2)/2))/(LN(2)/2)*CG40*CJ40*VLOOKUP('Données projet'!$B$12,Paramètres!$A$1:$I$89,3,0)*0.475*44/12</f>
        <v>7.5420981316898965</v>
      </c>
      <c r="CN40" s="22">
        <f t="shared" si="12"/>
        <v>23.359004891885863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7.1794871794871771</v>
      </c>
      <c r="CT40" s="12">
        <f>IF('Données projet'!$A$140&gt;35,CT39+CS40-DB39,IF(A40&lt;'Données projet'!$A$140,$CQ$205^A40,IF(A40='Données projet'!$A$140,'Données projet'!$B$140,CT39+CS40-DB39)))</f>
        <v>152.17948717948718</v>
      </c>
      <c r="CU40" s="17">
        <f>CT40*VLOOKUP('Données projet'!$B$13,Paramètres!$A$1:$I$89,3,0)*VLOOKUP('Données projet'!$B$13,Paramètres!$A$1:$I$89,5,0)</f>
        <v>102.08200000000001</v>
      </c>
      <c r="CV40" s="13">
        <f t="shared" si="41"/>
        <v>27.457408919716965</v>
      </c>
      <c r="CW40" s="20">
        <f t="shared" si="13"/>
        <v>225.61447053517372</v>
      </c>
      <c r="CX40" s="59">
        <f t="shared" si="14"/>
        <v>470.97382250584485</v>
      </c>
      <c r="CY40" s="59">
        <f ca="1">AVERAGE(OFFSET($CX$3,0,0,'Données projet'!$E$13+1,1))-AVERAGE(OFFSET($H$3,0,0,'Données projet'!$E$13+1,1))</f>
        <v>335.73816489539837</v>
      </c>
      <c r="CZ40" s="59">
        <f t="shared" si="42"/>
        <v>254.09787950201044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5.4773002318097621</v>
      </c>
      <c r="DH40" s="21">
        <f>EXP(-LN(2)/2)*DH39+(1-EXP(-LN(2)/2))/(LN(2)/2)*DB40*DE40*VLOOKUP('Données projet'!$B$13,Paramètres!$A$1:$I$89,3,0)*0.475*44/12</f>
        <v>1.6489641666675119</v>
      </c>
      <c r="DI40" s="22">
        <f t="shared" si="15"/>
        <v>7.1262643984772742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4.016578947368421</v>
      </c>
      <c r="DO40" s="12">
        <f>IF('Données projet'!$A$166&gt;35,DO39+DN40-DW39,IF(A40&lt;'Données projet'!$A$166,$DL$205^A40,IF(A40='Données projet'!$A$166,'Données projet'!$B$166,DO39+DN40-DW39)))</f>
        <v>148.61342105263157</v>
      </c>
      <c r="DP40" s="17">
        <f>DO40*VLOOKUP('Données projet'!$B$14,Paramètres!$A$1:$I$89,3,0)*VLOOKUP('Données projet'!$B$14,Paramètres!$A$1:$I$89,5,0)</f>
        <v>143.73890084210524</v>
      </c>
      <c r="DQ40" s="13">
        <f t="shared" si="43"/>
        <v>37.152216905259685</v>
      </c>
      <c r="DR40" s="20">
        <f t="shared" si="16"/>
        <v>315.05203007666051</v>
      </c>
      <c r="DS40" s="59">
        <f t="shared" si="17"/>
        <v>560.41138204733159</v>
      </c>
      <c r="DT40" s="59">
        <f ca="1">AVERAGE(OFFSET($DS$3,0,0,'Données projet'!$E$14+1,1))-AVERAGE(OFFSET($H$3,0,0,'Données projet'!$E$14+1,1))</f>
        <v>493.03862850474161</v>
      </c>
      <c r="DU40" s="59">
        <f t="shared" si="44"/>
        <v>312.51819065560528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4.016578947368421</v>
      </c>
      <c r="EJ40" s="12">
        <f>IF('Données projet'!$A$192&gt;35,EJ39+EI40-ER39,IF(A40&lt;'Données projet'!$A$192,$EG$205^A40,IF(A40='Données projet'!$A$192,'Données projet'!$B$192,EJ39+EI40-ER39)))</f>
        <v>148.61342105263157</v>
      </c>
      <c r="EK40" s="17">
        <f>EJ40*VLOOKUP('Données projet'!$B$15,Paramètres!$A$1:$I$89,3,0)*VLOOKUP('Données projet'!$B$15,Paramètres!$A$1:$I$89,5,0)</f>
        <v>159.96748642105263</v>
      </c>
      <c r="EL40" s="13">
        <f t="shared" si="45"/>
        <v>40.835181791469168</v>
      </c>
      <c r="EM40" s="20">
        <f t="shared" si="19"/>
        <v>349.73131380347536</v>
      </c>
      <c r="EN40" s="59">
        <f t="shared" si="20"/>
        <v>595.09066577414649</v>
      </c>
      <c r="EO40" s="59">
        <f ca="1">AVERAGE(OFFSET($EN$3,0,0,'Données projet'!$E$15+1,1))-AVERAGE(OFFSET($H$3,0,0,'Données projet'!$E$15+1,1))</f>
        <v>539.72194201710272</v>
      </c>
      <c r="EP40" s="59">
        <f t="shared" si="46"/>
        <v>340.76505385159362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11.4</v>
      </c>
      <c r="FE40" s="12">
        <f>IF('Données projet'!$A$218&gt;35,FE39+FD40-FM39,IF(A40&lt;'Données projet'!$A$218,$FB$205^A40,IF(A40='Données projet'!$A$218,'Données projet'!$B$218,FE39+FD40-FM39)))</f>
        <v>193.79999999999998</v>
      </c>
      <c r="FF40" s="17">
        <f>FE40*VLOOKUP('Données projet'!$B$16,Paramètres!$A$1:$I$89,3,0)*VLOOKUP('Données projet'!$B$16,Paramètres!$A$1:$I$89,5,0)</f>
        <v>157.21055999999999</v>
      </c>
      <c r="FG40" s="13">
        <f t="shared" si="47"/>
        <v>40.212706859296013</v>
      </c>
      <c r="FH40" s="20">
        <f t="shared" si="22"/>
        <v>343.84552311327383</v>
      </c>
      <c r="FI40" s="59">
        <f t="shared" si="23"/>
        <v>589.2048750839449</v>
      </c>
      <c r="FJ40" s="59">
        <f ca="1">AVERAGE(OFFSET($FI$3,0,0,'Données projet'!$E$16+1,1))-AVERAGE(OFFSET($H$3,0,0,'Données projet'!$E$16+1,1))</f>
        <v>383.47860767209028</v>
      </c>
      <c r="FK40" s="59">
        <f t="shared" si="48"/>
        <v>370.49129421395628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7.6175828751837162</v>
      </c>
      <c r="FR40" s="21">
        <f>EXP(-LN(2)/25)*FR39+(1-EXP(-LN(2)/25))/(LN(2)/25)*Calculateur!FM40*Calculateur!FO40*VLOOKUP('Données projet'!$B$16,Paramètres!$A$1:$I$89,3,0)*0.475*44/12</f>
        <v>14.943837842232377</v>
      </c>
      <c r="FS40" s="21">
        <f>EXP(-LN(2)/2)*FS39+(1-EXP(-LN(2)/2))/(LN(2)/2)*FM40*FP40*VLOOKUP('Données projet'!$B$16,Paramètres!$A$1:$I$89,3,0)*0.475*44/12</f>
        <v>4.0666586816087396</v>
      </c>
      <c r="FT40" s="22">
        <f t="shared" si="24"/>
        <v>26.628079399024831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3.3603333333333336</v>
      </c>
      <c r="FZ40" s="12">
        <f>IF('Données projet'!$A$244&gt;35,FZ39+FY40-GH39,IF(A40&lt;'Données projet'!$A$244,$FW$205^A40,IF(A40='Données projet'!$A$244,'Données projet'!$B$244,FZ39+FY40-GH39)))</f>
        <v>124.33233333333331</v>
      </c>
      <c r="GA40" s="17">
        <f>FZ40*VLOOKUP('Données projet'!$B$17,Paramètres!$A$1:$I$89,3,0)*VLOOKUP('Données projet'!$B$17,Paramètres!$A$1:$I$89,5,0)</f>
        <v>141.58966119999997</v>
      </c>
      <c r="GB40" s="13">
        <f t="shared" si="49"/>
        <v>36.66093490475005</v>
      </c>
      <c r="GC40" s="20">
        <f t="shared" si="25"/>
        <v>310.45312154910624</v>
      </c>
      <c r="GD40" s="59">
        <f t="shared" si="26"/>
        <v>555.81247351977731</v>
      </c>
      <c r="GE40" s="59">
        <f ca="1">AVERAGE(OFFSET($GD$3,0,0,'Données projet'!$E$17+1,1))-AVERAGE(OFFSET($H$3,0,0,'Données projet'!$E$17+1,1))</f>
        <v>640.05156427113661</v>
      </c>
      <c r="GF40" s="59">
        <f t="shared" si="50"/>
        <v>308.77220155372902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0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13.987142857142857</v>
      </c>
      <c r="N41" s="13">
        <f>IF('Données projet'!$A$36&gt;35,N40+M41-V40,IF(A41&lt;'Données projet'!$A$36,$K$205^A41,IF(A41='Données projet'!$A$36,'Données projet'!$B$36,N40+M41-V40)))</f>
        <v>134.58714285714285</v>
      </c>
      <c r="O41" s="13">
        <f>N41*VLOOKUP('Données projet'!$B$9,Paramètres!$A$1:$I$89,3,0)*VLOOKUP('Données projet'!$B$9,Paramètres!$A$1:$I$89,5,0)</f>
        <v>113.37620914285714</v>
      </c>
      <c r="P41" s="13">
        <f t="shared" si="33"/>
        <v>30.125040801765408</v>
      </c>
      <c r="Q41" s="20">
        <f t="shared" si="53"/>
        <v>249.93134365355093</v>
      </c>
      <c r="R41" s="59">
        <f t="shared" si="0"/>
        <v>496.12293694710968</v>
      </c>
      <c r="S41" s="59">
        <f ca="1">AVERAGE(OFFSET($R$3,0,0,'Données projet'!$E$9+1,1))-AVERAGE(OFFSET($H$3,0,0,'Données projet'!$E$9+1,1))</f>
        <v>456.35333554128226</v>
      </c>
      <c r="T41" s="59">
        <f t="shared" si="34"/>
        <v>296.4517290984877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30.906042006535017</v>
      </c>
      <c r="AB41" s="21">
        <f>EXP(-LN(2)/2)*AB40+(1-EXP(-LN(2)/2))/(LN(2)/2)*V41*Y41*VLOOKUP('Données projet'!$B$9,Paramètres!$A$1:$I$89,3,0)*0.475*44/12</f>
        <v>5.8575922905532165</v>
      </c>
      <c r="AC41" s="22">
        <f t="shared" si="3"/>
        <v>36.763634297088231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11.4</v>
      </c>
      <c r="AI41" s="13">
        <f>IF('Données projet'!$A$62&gt;35,AI40+AH41-AQ40,IF(A41&lt;'Données projet'!$A$62,$AF$205^A41,IF(A41='Données projet'!$A$62,'Données projet'!$B$62,AI40+AH41-AQ40)))</f>
        <v>205.2</v>
      </c>
      <c r="AJ41" s="13">
        <f>AI41*VLOOKUP('Données projet'!$B$10,Paramètres!$A$1:$I$89,3,0)*VLOOKUP('Données projet'!$B$10,Paramètres!$A$1:$I$89,5,0)</f>
        <v>179.26272</v>
      </c>
      <c r="AK41" s="13">
        <f t="shared" si="35"/>
        <v>45.158115787467153</v>
      </c>
      <c r="AL41" s="20">
        <f t="shared" si="4"/>
        <v>390.86628899650526</v>
      </c>
      <c r="AM41" s="59">
        <f t="shared" si="5"/>
        <v>637.05788229006396</v>
      </c>
      <c r="AN41" s="59">
        <f ca="1">AVERAGE(OFFSET($AM$3,0,0,'Données projet'!$E$10+1,1))-AVERAGE(OFFSET($H$3,0,0,'Données projet'!$E$10+1,1))</f>
        <v>408.246209980743</v>
      </c>
      <c r="AO41" s="59">
        <f t="shared" si="36"/>
        <v>394.10236303013903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8.0426841613656865</v>
      </c>
      <c r="AV41" s="21">
        <f>EXP(-LN(2)/25)*AV40+(1-EXP(-LN(2)/25))/(LN(2)/25)*Calculateur!AQ41*Calculateur!AS41*VLOOKUP('Données projet'!$B$10,Paramètres!$A$1:$I$89,3,0)*0.475*44/12</f>
        <v>15.653289949849192</v>
      </c>
      <c r="AW41" s="21">
        <f>EXP(-LN(2)/2)*AW40+(1-EXP(-LN(2)/2))/(LN(2)/2)*AQ41*AT41*VLOOKUP('Données projet'!$B$10,Paramètres!$A$1:$I$89,3,0)*0.475*44/12</f>
        <v>3.0967590021164302</v>
      </c>
      <c r="AX41" s="21">
        <f t="shared" si="6"/>
        <v>26.792733113331309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3.3603333333333336</v>
      </c>
      <c r="BD41" s="12">
        <f>IF('Données projet'!$A$88&gt;35,BD40+BC41-BL40,IF(A41&lt;'Données projet'!$A$88,$BA$205^A41,IF(A41='Données projet'!$A$88,'Données projet'!$B$88,BD40+BC41-BL40)))</f>
        <v>127.69266666666664</v>
      </c>
      <c r="BE41" s="13">
        <f>BD41*VLOOKUP('Données projet'!$B$11,Paramètres!$A$1:$I$89,3,0)*VLOOKUP('Données projet'!$B$11,Paramètres!$A$1:$I$89,5,0)</f>
        <v>129.48036399999998</v>
      </c>
      <c r="BF41" s="13">
        <f t="shared" si="37"/>
        <v>33.876258734659984</v>
      </c>
      <c r="BG41" s="20">
        <f t="shared" si="7"/>
        <v>284.51278459619942</v>
      </c>
      <c r="BH41" s="59">
        <f t="shared" si="8"/>
        <v>530.70437788975812</v>
      </c>
      <c r="BI41" s="59">
        <f ca="1">AVERAGE(OFFSET($BH$3,0,0,'Données projet'!$E$11+1,1))-AVERAGE(OFFSET($H$3,0,0,'Données projet'!$E$11+1,1))</f>
        <v>580.02848304986492</v>
      </c>
      <c r="BJ41" s="59">
        <f t="shared" si="38"/>
        <v>281.68891895586728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11.142857142857142</v>
      </c>
      <c r="BY41" s="12">
        <f>IF('Données projet'!$A$114&gt;35,BY40+BX41-CG40,IF(A41&lt;'Données projet'!$A$114,$BV$205^A41,IF(A41='Données projet'!$A$114,'Données projet'!$B$114,BY40+BX41-CG40)))</f>
        <v>163.14285714285708</v>
      </c>
      <c r="BZ41" s="13">
        <f>BY41*VLOOKUP('Données projet'!$B$12,Paramètres!$A$1:$I$89,3,0)*VLOOKUP('Données projet'!$B$12,Paramètres!$A$1:$I$89,5,0)</f>
        <v>127.25142857142853</v>
      </c>
      <c r="CA41" s="13">
        <f t="shared" si="39"/>
        <v>33.360457439554281</v>
      </c>
      <c r="CB41" s="20">
        <f t="shared" si="10"/>
        <v>279.73236813579501</v>
      </c>
      <c r="CC41" s="59">
        <f t="shared" si="11"/>
        <v>525.92396142935377</v>
      </c>
      <c r="CD41" s="59">
        <f ca="1">AVERAGE(OFFSET($CC$3,0,0,'Données projet'!$E$12+1,1))-AVERAGE(OFFSET($H$3,0,0,'Données projet'!$E$12+1,1))</f>
        <v>308.85018589589453</v>
      </c>
      <c r="CE41" s="59">
        <f t="shared" si="40"/>
        <v>302.59481222418219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6.1765405117383807</v>
      </c>
      <c r="CL41" s="21">
        <f>EXP(-LN(2)/25)*CL40+(1-EXP(-LN(2)/25))/(LN(2)/25)*Calculateur!CG41*Calculateur!CI41*VLOOKUP('Données projet'!$B$12,Paramètres!$A$1:$I$89,3,0)*0.475*44/12</f>
        <v>9.2565874038684939</v>
      </c>
      <c r="CM41" s="21">
        <f>EXP(-LN(2)/2)*CM40+(1-EXP(-LN(2)/2))/(LN(2)/2)*CG41*CJ41*VLOOKUP('Données projet'!$B$12,Paramètres!$A$1:$I$89,3,0)*0.475*44/12</f>
        <v>5.3330687332923166</v>
      </c>
      <c r="CN41" s="22">
        <f t="shared" si="12"/>
        <v>20.766196648899189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7.1794871794871771</v>
      </c>
      <c r="CT41" s="12">
        <f>IF('Données projet'!$A$140&gt;35,CT40+CS41-DB40,IF(A41&lt;'Données projet'!$A$140,$CQ$205^A41,IF(A41='Données projet'!$A$140,'Données projet'!$B$140,CT40+CS41-DB40)))</f>
        <v>159.35897435897436</v>
      </c>
      <c r="CU41" s="17">
        <f>CT41*VLOOKUP('Données projet'!$B$13,Paramètres!$A$1:$I$89,3,0)*VLOOKUP('Données projet'!$B$13,Paramètres!$A$1:$I$89,5,0)</f>
        <v>106.89800000000001</v>
      </c>
      <c r="CV41" s="13">
        <f t="shared" si="41"/>
        <v>28.598916889719312</v>
      </c>
      <c r="CW41" s="20">
        <f t="shared" si="13"/>
        <v>235.99046358292779</v>
      </c>
      <c r="CX41" s="59">
        <f t="shared" si="14"/>
        <v>482.18205687648651</v>
      </c>
      <c r="CY41" s="59">
        <f ca="1">AVERAGE(OFFSET($CX$3,0,0,'Données projet'!$E$13+1,1))-AVERAGE(OFFSET($H$3,0,0,'Données projet'!$E$13+1,1))</f>
        <v>335.73816489539837</v>
      </c>
      <c r="CZ41" s="59">
        <f t="shared" si="42"/>
        <v>254.09787950201044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5.3275231689322231</v>
      </c>
      <c r="DH41" s="21">
        <f>EXP(-LN(2)/2)*DH40+(1-EXP(-LN(2)/2))/(LN(2)/2)*DB41*DE41*VLOOKUP('Données projet'!$B$13,Paramètres!$A$1:$I$89,3,0)*0.475*44/12</f>
        <v>1.1659937441842221</v>
      </c>
      <c r="DI41" s="22">
        <f t="shared" si="15"/>
        <v>6.4935169131164452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>
        <f>VLOOKUP(A41,'Données projet'!$A$165:$I$185,2,0)</f>
        <v>152.63</v>
      </c>
      <c r="DM41" s="12">
        <f>VLOOKUP(A41,'Données projet'!$A$165:$I$185,9,0)</f>
        <v>4.016578947368421</v>
      </c>
      <c r="DN41" s="12">
        <f t="array" ref="DN41">INDEX(DM:DM,MIN(IF(ISNUMBER(DM41:DM237),ROW(DM41:DM237),"")))</f>
        <v>4.016578947368421</v>
      </c>
      <c r="DO41" s="12">
        <f>IF('Données projet'!$A$166&gt;35,DO40+DN41-DW40,IF(A41&lt;'Données projet'!$A$166,$DL$205^A41,IF(A41='Données projet'!$A$166,'Données projet'!$B$166,DO40+DN41-DW40)))</f>
        <v>152.63</v>
      </c>
      <c r="DP41" s="17">
        <f>DO41*VLOOKUP('Données projet'!$B$14,Paramètres!$A$1:$I$89,3,0)*VLOOKUP('Données projet'!$B$14,Paramètres!$A$1:$I$89,5,0)</f>
        <v>147.62373600000001</v>
      </c>
      <c r="DQ41" s="13">
        <f t="shared" si="43"/>
        <v>38.038070251710437</v>
      </c>
      <c r="DR41" s="20">
        <f t="shared" si="16"/>
        <v>323.36097922172905</v>
      </c>
      <c r="DS41" s="59">
        <f t="shared" si="17"/>
        <v>569.55257251528781</v>
      </c>
      <c r="DT41" s="59">
        <f ca="1">AVERAGE(OFFSET($DS$3,0,0,'Données projet'!$E$14+1,1))-AVERAGE(OFFSET($H$3,0,0,'Données projet'!$E$14+1,1))</f>
        <v>493.03862850474161</v>
      </c>
      <c r="DU41" s="59">
        <f t="shared" si="44"/>
        <v>312.51819065560528</v>
      </c>
      <c r="DV41" s="15">
        <f>IF(ISNA(VLOOKUP(A41,'Données projet'!$A$165:$I$185,3,0)),0,VLOOKUP(A41,'Données projet'!$A$165:$I$185,3,0))</f>
        <v>1</v>
      </c>
      <c r="DW41" s="15">
        <f>IF(ISNA(VLOOKUP(A41,'Données projet'!$A$165:$I$185,4,0)),0,VLOOKUP(A41,'Données projet'!$A$165:$I$185,4,0))</f>
        <v>71.569999999999993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0.34400000000000003</v>
      </c>
      <c r="DZ41" s="16">
        <f>IF(ISNA(VLOOKUP(A41,'Données projet'!$A$165:$I$185,7,0)),0%,VLOOKUP(A41,'Données projet'!$A$165:$I$185,7,0))</f>
        <v>0.2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26.220411301434225</v>
      </c>
      <c r="EC41" s="21">
        <f>EXP(-LN(2)/2)*EC40+(1-EXP(-LN(2)/2))/(LN(2)/2)*DW41*DZ41*VLOOKUP('Données projet'!$B$14,Paramètres!$A$1:$I$89,3,0)*0.475*44/12</f>
        <v>13.062659124075829</v>
      </c>
      <c r="ED41" s="22">
        <f t="shared" si="18"/>
        <v>39.283070425510054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>
        <f>VLOOKUP(A41,'Données projet'!$A$191:$I$211,2,0)</f>
        <v>152.63</v>
      </c>
      <c r="EH41" s="12">
        <f>VLOOKUP(A41,'Données projet'!$A$191:$I$211,9,0)</f>
        <v>4.016578947368421</v>
      </c>
      <c r="EI41" s="12">
        <f t="array" ref="EI41">INDEX(EH:EH,MIN(IF(ISNUMBER(EH41:EH237),ROW(EH41:EH237),"")))</f>
        <v>4.016578947368421</v>
      </c>
      <c r="EJ41" s="12">
        <f>IF('Données projet'!$A$192&gt;35,EJ40+EI41-ER40,IF(A41&lt;'Données projet'!$A$192,$EG$205^A41,IF(A41='Données projet'!$A$192,'Données projet'!$B$192,EJ40+EI41-ER40)))</f>
        <v>152.63</v>
      </c>
      <c r="EK41" s="17">
        <f>EJ41*VLOOKUP('Données projet'!$B$15,Paramètres!$A$1:$I$89,3,0)*VLOOKUP('Données projet'!$B$15,Paramètres!$A$1:$I$89,5,0)</f>
        <v>164.290932</v>
      </c>
      <c r="EL41" s="13">
        <f t="shared" si="45"/>
        <v>41.808851344894258</v>
      </c>
      <c r="EM41" s="20">
        <f t="shared" si="19"/>
        <v>358.95712265902421</v>
      </c>
      <c r="EN41" s="59">
        <f t="shared" si="20"/>
        <v>605.14871595258296</v>
      </c>
      <c r="EO41" s="59">
        <f ca="1">AVERAGE(OFFSET($EN$3,0,0,'Données projet'!$E$15+1,1))-AVERAGE(OFFSET($H$3,0,0,'Données projet'!$E$15+1,1))</f>
        <v>539.72194201710272</v>
      </c>
      <c r="EP41" s="59">
        <f t="shared" si="46"/>
        <v>340.76505385159362</v>
      </c>
      <c r="EQ41" s="15">
        <f>IF(ISNA(VLOOKUP(A41,'Données projet'!$A$191:$I$211,3,0)),0,VLOOKUP(A41,'Données projet'!$A$191:$I$211,3,0))</f>
        <v>1</v>
      </c>
      <c r="ER41" s="15">
        <f>IF(ISNA(VLOOKUP(A41,'Données projet'!$A$191:$I$211,4,0)),0,VLOOKUP(A41,'Données projet'!$A$191:$I$211,4,0))</f>
        <v>71.569999999999993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0.34400000000000003</v>
      </c>
      <c r="EU41" s="16">
        <f>IF(ISNA(VLOOKUP(A41,'Données projet'!$A$191:$I$211,7,0)),0%,VLOOKUP(A41,'Données projet'!$A$191:$I$211,7,0))</f>
        <v>0.2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29.180780319338094</v>
      </c>
      <c r="EX41" s="21">
        <f>EXP(-LN(2)/2)*EX40+(1-EXP(-LN(2)/2))/(LN(2)/2)*ER41*EU41*VLOOKUP('Données projet'!$B$15,Paramètres!$A$1:$I$89,3,0)*0.475*44/12</f>
        <v>14.537475476794066</v>
      </c>
      <c r="EY41" s="22">
        <f t="shared" si="21"/>
        <v>43.718255796132162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11.4</v>
      </c>
      <c r="FE41" s="12">
        <f>IF('Données projet'!$A$218&gt;35,FE40+FD41-FM40,IF(A41&lt;'Données projet'!$A$218,$FB$205^A41,IF(A41='Données projet'!$A$218,'Données projet'!$B$218,FE40+FD41-FM40)))</f>
        <v>205.2</v>
      </c>
      <c r="FF41" s="17">
        <f>FE41*VLOOKUP('Données projet'!$B$16,Paramètres!$A$1:$I$89,3,0)*VLOOKUP('Données projet'!$B$16,Paramètres!$A$1:$I$89,5,0)</f>
        <v>166.45823999999999</v>
      </c>
      <c r="FG41" s="13">
        <f t="shared" si="47"/>
        <v>42.295817799452642</v>
      </c>
      <c r="FH41" s="20">
        <f t="shared" si="22"/>
        <v>363.5799840007133</v>
      </c>
      <c r="FI41" s="59">
        <f t="shared" si="23"/>
        <v>609.77157729427199</v>
      </c>
      <c r="FJ41" s="59">
        <f ca="1">AVERAGE(OFFSET($FI$3,0,0,'Données projet'!$E$16+1,1))-AVERAGE(OFFSET($H$3,0,0,'Données projet'!$E$16+1,1))</f>
        <v>383.47860767209028</v>
      </c>
      <c r="FK41" s="59">
        <f t="shared" si="48"/>
        <v>370.49129421395628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7.4682067212681371</v>
      </c>
      <c r="FR41" s="21">
        <f>EXP(-LN(2)/25)*FR40+(1-EXP(-LN(2)/25))/(LN(2)/25)*Calculateur!FM41*Calculateur!FO41*VLOOKUP('Données projet'!$B$16,Paramètres!$A$1:$I$89,3,0)*0.475*44/12</f>
        <v>14.535197810574255</v>
      </c>
      <c r="FS41" s="21">
        <f>EXP(-LN(2)/2)*FS40+(1-EXP(-LN(2)/2))/(LN(2)/2)*FM41*FP41*VLOOKUP('Données projet'!$B$16,Paramètres!$A$1:$I$89,3,0)*0.475*44/12</f>
        <v>2.8755619305366849</v>
      </c>
      <c r="FT41" s="22">
        <f t="shared" si="24"/>
        <v>24.878966462379076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3.3603333333333336</v>
      </c>
      <c r="FZ41" s="12">
        <f>IF('Données projet'!$A$244&gt;35,FZ40+FY41-GH40,IF(A41&lt;'Données projet'!$A$244,$FW$205^A41,IF(A41='Données projet'!$A$244,'Données projet'!$B$244,FZ40+FY41-GH40)))</f>
        <v>127.69266666666664</v>
      </c>
      <c r="GA41" s="17">
        <f>FZ41*VLOOKUP('Données projet'!$B$17,Paramètres!$A$1:$I$89,3,0)*VLOOKUP('Données projet'!$B$17,Paramètres!$A$1:$I$89,5,0)</f>
        <v>145.41640879999997</v>
      </c>
      <c r="GB41" s="13">
        <f t="shared" si="49"/>
        <v>37.535074177574629</v>
      </c>
      <c r="GC41" s="20">
        <f t="shared" si="25"/>
        <v>318.64049951927569</v>
      </c>
      <c r="GD41" s="59">
        <f t="shared" si="26"/>
        <v>564.83209281283439</v>
      </c>
      <c r="GE41" s="59">
        <f ca="1">AVERAGE(OFFSET($GD$3,0,0,'Données projet'!$E$17+1,1))-AVERAGE(OFFSET($H$3,0,0,'Données projet'!$E$17+1,1))</f>
        <v>640.05156427113661</v>
      </c>
      <c r="GF41" s="59">
        <f t="shared" si="50"/>
        <v>308.77220155372902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0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13.987142857142857</v>
      </c>
      <c r="N42" s="13">
        <f>IF('Données projet'!$A$36&gt;35,N41+M42-V41,IF(A42&lt;'Données projet'!$A$36,$K$205^A42,IF(A42='Données projet'!$A$36,'Données projet'!$B$36,N41+M42-V41)))</f>
        <v>148.57428571428571</v>
      </c>
      <c r="O42" s="13">
        <f>N42*VLOOKUP('Données projet'!$B$9,Paramètres!$A$1:$I$89,3,0)*VLOOKUP('Données projet'!$B$9,Paramètres!$A$1:$I$89,5,0)</f>
        <v>125.1589782857143</v>
      </c>
      <c r="P42" s="13">
        <f t="shared" si="33"/>
        <v>32.875282708584329</v>
      </c>
      <c r="Q42" s="20">
        <f t="shared" si="53"/>
        <v>275.24300456507007</v>
      </c>
      <c r="R42" s="59">
        <f t="shared" si="0"/>
        <v>522.25240165517721</v>
      </c>
      <c r="S42" s="59">
        <f ca="1">AVERAGE(OFFSET($R$3,0,0,'Données projet'!$E$9+1,1))-AVERAGE(OFFSET($H$3,0,0,'Données projet'!$E$9+1,1))</f>
        <v>456.35333554128226</v>
      </c>
      <c r="T42" s="59">
        <f t="shared" si="34"/>
        <v>296.4517290984877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30.060914662588203</v>
      </c>
      <c r="AB42" s="21">
        <f>EXP(-LN(2)/2)*AB41+(1-EXP(-LN(2)/2))/(LN(2)/2)*V42*Y42*VLOOKUP('Données projet'!$B$9,Paramètres!$A$1:$I$89,3,0)*0.475*44/12</f>
        <v>4.1419432300762216</v>
      </c>
      <c r="AC42" s="22">
        <f t="shared" si="3"/>
        <v>34.202857892664426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11.4</v>
      </c>
      <c r="AI42" s="13">
        <f>IF('Données projet'!$A$62&gt;35,AI41+AH42-AQ41,IF(A42&lt;'Données projet'!$A$62,$AF$205^A42,IF(A42='Données projet'!$A$62,'Données projet'!$B$62,AI41+AH42-AQ41)))</f>
        <v>216.6</v>
      </c>
      <c r="AJ42" s="13">
        <f>AI42*VLOOKUP('Données projet'!$B$10,Paramètres!$A$1:$I$89,3,0)*VLOOKUP('Données projet'!$B$10,Paramètres!$A$1:$I$89,5,0)</f>
        <v>189.22176000000002</v>
      </c>
      <c r="AK42" s="13">
        <f t="shared" si="35"/>
        <v>47.367853957810077</v>
      </c>
      <c r="AL42" s="20">
        <f t="shared" si="4"/>
        <v>412.06024430985258</v>
      </c>
      <c r="AM42" s="59">
        <f t="shared" si="5"/>
        <v>659.06964139995966</v>
      </c>
      <c r="AN42" s="59">
        <f ca="1">AVERAGE(OFFSET($AM$3,0,0,'Données projet'!$E$10+1,1))-AVERAGE(OFFSET($H$3,0,0,'Données projet'!$E$10+1,1))</f>
        <v>408.246209980743</v>
      </c>
      <c r="AO42" s="59">
        <f t="shared" si="36"/>
        <v>394.10236303013903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7.8849720305142608</v>
      </c>
      <c r="AV42" s="21">
        <f>EXP(-LN(2)/25)*AV41+(1-EXP(-LN(2)/25))/(LN(2)/25)*Calculateur!AQ42*Calculateur!AS42*VLOOKUP('Données projet'!$B$10,Paramètres!$A$1:$I$89,3,0)*0.475*44/12</f>
        <v>15.225249912999823</v>
      </c>
      <c r="AW42" s="21">
        <f>EXP(-LN(2)/2)*AW41+(1-EXP(-LN(2)/2))/(LN(2)/2)*AQ42*AT42*VLOOKUP('Données projet'!$B$10,Paramètres!$A$1:$I$89,3,0)*0.475*44/12</f>
        <v>2.1897392900970138</v>
      </c>
      <c r="AX42" s="21">
        <f t="shared" si="6"/>
        <v>25.299961233611096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3.3603333333333336</v>
      </c>
      <c r="BD42" s="12">
        <f>IF('Données projet'!$A$88&gt;35,BD41+BC42-BL41,IF(A42&lt;'Données projet'!$A$88,$BA$205^A42,IF(A42='Données projet'!$A$88,'Données projet'!$B$88,BD41+BC42-BL41)))</f>
        <v>131.05299999999997</v>
      </c>
      <c r="BE42" s="13">
        <f>BD42*VLOOKUP('Données projet'!$B$11,Paramètres!$A$1:$I$89,3,0)*VLOOKUP('Données projet'!$B$11,Paramètres!$A$1:$I$89,5,0)</f>
        <v>132.88774199999997</v>
      </c>
      <c r="BF42" s="13">
        <f t="shared" si="37"/>
        <v>34.662776107749004</v>
      </c>
      <c r="BG42" s="20">
        <f t="shared" si="7"/>
        <v>291.81715237099615</v>
      </c>
      <c r="BH42" s="59">
        <f t="shared" si="8"/>
        <v>538.82654946110324</v>
      </c>
      <c r="BI42" s="59">
        <f ca="1">AVERAGE(OFFSET($BH$3,0,0,'Données projet'!$E$11+1,1))-AVERAGE(OFFSET($H$3,0,0,'Données projet'!$E$11+1,1))</f>
        <v>580.02848304986492</v>
      </c>
      <c r="BJ42" s="59">
        <f t="shared" si="38"/>
        <v>281.68891895586728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11.142857142857142</v>
      </c>
      <c r="BY42" s="12">
        <f>IF('Données projet'!$A$114&gt;35,BY41+BX42-CG41,IF(A42&lt;'Données projet'!$A$114,$BV$205^A42,IF(A42='Données projet'!$A$114,'Données projet'!$B$114,BY41+BX42-CG41)))</f>
        <v>174.28571428571422</v>
      </c>
      <c r="BZ42" s="13">
        <f>BY42*VLOOKUP('Données projet'!$B$12,Paramètres!$A$1:$I$89,3,0)*VLOOKUP('Données projet'!$B$12,Paramètres!$A$1:$I$89,5,0)</f>
        <v>135.94285714285709</v>
      </c>
      <c r="CA42" s="13">
        <f t="shared" si="39"/>
        <v>35.365986273808367</v>
      </c>
      <c r="CB42" s="20">
        <f t="shared" si="10"/>
        <v>298.36290228402567</v>
      </c>
      <c r="CC42" s="59">
        <f t="shared" si="11"/>
        <v>545.37229937413281</v>
      </c>
      <c r="CD42" s="59">
        <f ca="1">AVERAGE(OFFSET($CC$3,0,0,'Données projet'!$E$12+1,1))-AVERAGE(OFFSET($H$3,0,0,'Données projet'!$E$12+1,1))</f>
        <v>308.85018589589453</v>
      </c>
      <c r="CE42" s="59">
        <f t="shared" si="40"/>
        <v>302.59481222418219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6.0554223196209112</v>
      </c>
      <c r="CL42" s="21">
        <f>EXP(-LN(2)/25)*CL41+(1-EXP(-LN(2)/25))/(LN(2)/25)*Calculateur!CG42*Calculateur!CI42*VLOOKUP('Données projet'!$B$12,Paramètres!$A$1:$I$89,3,0)*0.475*44/12</f>
        <v>9.003465534526935</v>
      </c>
      <c r="CM42" s="21">
        <f>EXP(-LN(2)/2)*CM41+(1-EXP(-LN(2)/2))/(LN(2)/2)*CG42*CJ42*VLOOKUP('Données projet'!$B$12,Paramètres!$A$1:$I$89,3,0)*0.475*44/12</f>
        <v>3.7710490658449487</v>
      </c>
      <c r="CN42" s="22">
        <f t="shared" si="12"/>
        <v>18.829936919992797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7.1794871794871771</v>
      </c>
      <c r="CT42" s="12">
        <f>IF('Données projet'!$A$140&gt;35,CT41+CS42-DB41,IF(A42&lt;'Données projet'!$A$140,$CQ$205^A42,IF(A42='Données projet'!$A$140,'Données projet'!$B$140,CT41+CS42-DB41)))</f>
        <v>166.53846153846155</v>
      </c>
      <c r="CU42" s="17">
        <f>CT42*VLOOKUP('Données projet'!$B$13,Paramètres!$A$1:$I$89,3,0)*VLOOKUP('Données projet'!$B$13,Paramètres!$A$1:$I$89,5,0)</f>
        <v>111.714</v>
      </c>
      <c r="CV42" s="13">
        <f t="shared" si="41"/>
        <v>29.734452227843956</v>
      </c>
      <c r="CW42" s="20">
        <f t="shared" si="13"/>
        <v>246.3560542968282</v>
      </c>
      <c r="CX42" s="59">
        <f t="shared" si="14"/>
        <v>493.36545138693532</v>
      </c>
      <c r="CY42" s="59">
        <f ca="1">AVERAGE(OFFSET($CX$3,0,0,'Données projet'!$E$13+1,1))-AVERAGE(OFFSET($H$3,0,0,'Données projet'!$E$13+1,1))</f>
        <v>335.73816489539837</v>
      </c>
      <c r="CZ42" s="59">
        <f t="shared" si="42"/>
        <v>254.09787950201044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5.181841767715504</v>
      </c>
      <c r="DH42" s="21">
        <f>EXP(-LN(2)/2)*DH41+(1-EXP(-LN(2)/2))/(LN(2)/2)*DB42*DE42*VLOOKUP('Données projet'!$B$13,Paramètres!$A$1:$I$89,3,0)*0.475*44/12</f>
        <v>0.82448208333375606</v>
      </c>
      <c r="DI42" s="22">
        <f t="shared" si="15"/>
        <v>6.0063238510492596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9.8128571428571423</v>
      </c>
      <c r="DO42" s="12">
        <f>IF('Données projet'!$A$166&gt;35,DO41+DN42-DW41,IF(A42&lt;'Données projet'!$A$166,$DL$205^A42,IF(A42='Données projet'!$A$166,'Données projet'!$B$166,DO41+DN42-DW41)))</f>
        <v>90.872857142857157</v>
      </c>
      <c r="DP42" s="17">
        <f>DO42*VLOOKUP('Données projet'!$B$14,Paramètres!$A$1:$I$89,3,0)*VLOOKUP('Données projet'!$B$14,Paramètres!$A$1:$I$89,5,0)</f>
        <v>87.892227428571445</v>
      </c>
      <c r="DQ42" s="13">
        <f t="shared" si="43"/>
        <v>24.056182003914891</v>
      </c>
      <c r="DR42" s="20">
        <f t="shared" si="16"/>
        <v>194.97681309491369</v>
      </c>
      <c r="DS42" s="59">
        <f t="shared" si="17"/>
        <v>441.98621018502081</v>
      </c>
      <c r="DT42" s="59">
        <f ca="1">AVERAGE(OFFSET($DS$3,0,0,'Données projet'!$E$14+1,1))-AVERAGE(OFFSET($H$3,0,0,'Données projet'!$E$14+1,1))</f>
        <v>493.03862850474161</v>
      </c>
      <c r="DU42" s="59">
        <f t="shared" si="44"/>
        <v>312.51819065560528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25.503412775525003</v>
      </c>
      <c r="EC42" s="21">
        <f>EXP(-LN(2)/2)*EC41+(1-EXP(-LN(2)/2))/(LN(2)/2)*DW42*DZ42*VLOOKUP('Données projet'!$B$14,Paramètres!$A$1:$I$89,3,0)*0.475*44/12</f>
        <v>9.2366948469623456</v>
      </c>
      <c r="ED42" s="22">
        <f t="shared" si="18"/>
        <v>34.740107622487351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9.8128571428571423</v>
      </c>
      <c r="EJ42" s="12">
        <f>IF('Données projet'!$A$192&gt;35,EJ41+EI42-ER41,IF(A42&lt;'Données projet'!$A$192,$EG$205^A42,IF(A42='Données projet'!$A$192,'Données projet'!$B$192,EJ41+EI42-ER41)))</f>
        <v>90.872857142857157</v>
      </c>
      <c r="EK42" s="17">
        <f>EJ42*VLOOKUP('Données projet'!$B$15,Paramètres!$A$1:$I$89,3,0)*VLOOKUP('Données projet'!$B$15,Paramètres!$A$1:$I$89,5,0)</f>
        <v>97.815543428571445</v>
      </c>
      <c r="EL42" s="13">
        <f t="shared" si="45"/>
        <v>26.44091381797092</v>
      </c>
      <c r="EM42" s="20">
        <f t="shared" si="19"/>
        <v>216.41332970439461</v>
      </c>
      <c r="EN42" s="59">
        <f t="shared" si="20"/>
        <v>463.42272679450173</v>
      </c>
      <c r="EO42" s="59">
        <f ca="1">AVERAGE(OFFSET($EN$3,0,0,'Données projet'!$E$15+1,1))-AVERAGE(OFFSET($H$3,0,0,'Données projet'!$E$15+1,1))</f>
        <v>539.72194201710272</v>
      </c>
      <c r="EP42" s="59">
        <f t="shared" si="46"/>
        <v>340.76505385159362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28.382830346955249</v>
      </c>
      <c r="EX42" s="21">
        <f>EXP(-LN(2)/2)*EX41+(1-EXP(-LN(2)/2))/(LN(2)/2)*ER42*EU42*VLOOKUP('Données projet'!$B$15,Paramètres!$A$1:$I$89,3,0)*0.475*44/12</f>
        <v>10.279547490974224</v>
      </c>
      <c r="EY42" s="22">
        <f t="shared" si="21"/>
        <v>38.662377837929469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11.4</v>
      </c>
      <c r="FE42" s="12">
        <f>IF('Données projet'!$A$218&gt;35,FE41+FD42-FM41,IF(A42&lt;'Données projet'!$A$218,$FB$205^A42,IF(A42='Données projet'!$A$218,'Données projet'!$B$218,FE41+FD42-FM41)))</f>
        <v>216.6</v>
      </c>
      <c r="FF42" s="17">
        <f>FE42*VLOOKUP('Données projet'!$B$16,Paramètres!$A$1:$I$89,3,0)*VLOOKUP('Données projet'!$B$16,Paramètres!$A$1:$I$89,5,0)</f>
        <v>175.70592000000002</v>
      </c>
      <c r="FG42" s="13">
        <f t="shared" si="47"/>
        <v>44.365494122468341</v>
      </c>
      <c r="FH42" s="20">
        <f t="shared" si="22"/>
        <v>383.29104626329899</v>
      </c>
      <c r="FI42" s="59">
        <f t="shared" si="23"/>
        <v>630.30044335340608</v>
      </c>
      <c r="FJ42" s="59">
        <f ca="1">AVERAGE(OFFSET($FI$3,0,0,'Données projet'!$E$16+1,1))-AVERAGE(OFFSET($H$3,0,0,'Données projet'!$E$16+1,1))</f>
        <v>383.47860767209028</v>
      </c>
      <c r="FK42" s="59">
        <f t="shared" si="48"/>
        <v>370.49129421395628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7.3217597426203849</v>
      </c>
      <c r="FR42" s="21">
        <f>EXP(-LN(2)/25)*FR41+(1-EXP(-LN(2)/25))/(LN(2)/25)*Calculateur!FM42*Calculateur!FO42*VLOOKUP('Données projet'!$B$16,Paramètres!$A$1:$I$89,3,0)*0.475*44/12</f>
        <v>14.137732062071271</v>
      </c>
      <c r="FS42" s="21">
        <f>EXP(-LN(2)/2)*FS41+(1-EXP(-LN(2)/2))/(LN(2)/2)*FM42*FP42*VLOOKUP('Données projet'!$B$16,Paramètres!$A$1:$I$89,3,0)*0.475*44/12</f>
        <v>2.0333293408043698</v>
      </c>
      <c r="FT42" s="22">
        <f t="shared" si="24"/>
        <v>23.492821145496023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3.3603333333333336</v>
      </c>
      <c r="FZ42" s="12">
        <f>IF('Données projet'!$A$244&gt;35,FZ41+FY42-GH41,IF(A42&lt;'Données projet'!$A$244,$FW$205^A42,IF(A42='Données projet'!$A$244,'Données projet'!$B$244,FZ41+FY42-GH41)))</f>
        <v>131.05299999999997</v>
      </c>
      <c r="GA42" s="17">
        <f>FZ42*VLOOKUP('Données projet'!$B$17,Paramètres!$A$1:$I$89,3,0)*VLOOKUP('Données projet'!$B$17,Paramètres!$A$1:$I$89,5,0)</f>
        <v>149.24315639999995</v>
      </c>
      <c r="GB42" s="13">
        <f t="shared" si="49"/>
        <v>38.406539594463815</v>
      </c>
      <c r="GC42" s="20">
        <f t="shared" si="25"/>
        <v>326.82322052369108</v>
      </c>
      <c r="GD42" s="59">
        <f t="shared" si="26"/>
        <v>573.83261761379822</v>
      </c>
      <c r="GE42" s="59">
        <f ca="1">AVERAGE(OFFSET($GD$3,0,0,'Données projet'!$E$17+1,1))-AVERAGE(OFFSET($H$3,0,0,'Données projet'!$E$17+1,1))</f>
        <v>640.05156427113661</v>
      </c>
      <c r="GF42" s="59">
        <f t="shared" si="50"/>
        <v>308.77220155372902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0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13.987142857142857</v>
      </c>
      <c r="N43" s="13">
        <f>IF('Données projet'!$A$36&gt;35,N42+M43-V42,IF(A43&lt;'Données projet'!$A$36,$K$205^A43,IF(A43='Données projet'!$A$36,'Données projet'!$B$36,N42+M43-V42)))</f>
        <v>162.56142857142856</v>
      </c>
      <c r="O43" s="13">
        <f>N43*VLOOKUP('Données projet'!$B$9,Paramètres!$A$1:$I$89,3,0)*VLOOKUP('Données projet'!$B$9,Paramètres!$A$1:$I$89,5,0)</f>
        <v>136.94174742857143</v>
      </c>
      <c r="P43" s="13">
        <f t="shared" si="33"/>
        <v>35.595504732914314</v>
      </c>
      <c r="Q43" s="20">
        <f t="shared" si="53"/>
        <v>300.50238084792096</v>
      </c>
      <c r="R43" s="59">
        <f t="shared" si="0"/>
        <v>548.3153946670418</v>
      </c>
      <c r="S43" s="59">
        <f ca="1">AVERAGE(OFFSET($R$3,0,0,'Données projet'!$E$9+1,1))-AVERAGE(OFFSET($H$3,0,0,'Données projet'!$E$9+1,1))</f>
        <v>456.35333554128226</v>
      </c>
      <c r="T43" s="59">
        <f t="shared" si="34"/>
        <v>296.4517290984877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29.238897370304933</v>
      </c>
      <c r="AB43" s="21">
        <f>EXP(-LN(2)/2)*AB42+(1-EXP(-LN(2)/2))/(LN(2)/2)*V43*Y43*VLOOKUP('Données projet'!$B$9,Paramètres!$A$1:$I$89,3,0)*0.475*44/12</f>
        <v>2.9287961452766087</v>
      </c>
      <c r="AC43" s="22">
        <f t="shared" si="3"/>
        <v>32.16769351558154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228</v>
      </c>
      <c r="AG43" s="12">
        <f>VLOOKUP(A43,'Données projet'!$A$61:$I$81,9,0)</f>
        <v>11.4</v>
      </c>
      <c r="AH43" s="12">
        <f t="array" ref="AH43">INDEX(AG:AG,MIN(IF(ISNUMBER(AG43:AG239),ROW(AG43:AG239),"")))</f>
        <v>11.4</v>
      </c>
      <c r="AI43" s="13">
        <f>IF('Données projet'!$A$62&gt;35,AI42+AH43-AQ42,IF(A43&lt;'Données projet'!$A$62,$AF$205^A43,IF(A43='Données projet'!$A$62,'Données projet'!$B$62,AI42+AH43-AQ42)))</f>
        <v>228</v>
      </c>
      <c r="AJ43" s="13">
        <f>AI43*VLOOKUP('Données projet'!$B$10,Paramètres!$A$1:$I$89,3,0)*VLOOKUP('Données projet'!$B$10,Paramètres!$A$1:$I$89,5,0)</f>
        <v>199.1808</v>
      </c>
      <c r="AK43" s="13">
        <f t="shared" si="35"/>
        <v>49.564089376413683</v>
      </c>
      <c r="AL43" s="20">
        <f t="shared" si="4"/>
        <v>433.23068233058711</v>
      </c>
      <c r="AM43" s="59">
        <f t="shared" si="5"/>
        <v>681.0436961497079</v>
      </c>
      <c r="AN43" s="59">
        <f ca="1">AVERAGE(OFFSET($AM$3,0,0,'Données projet'!$E$10+1,1))-AVERAGE(OFFSET($H$3,0,0,'Données projet'!$E$10+1,1))</f>
        <v>408.246209980743</v>
      </c>
      <c r="AO43" s="59">
        <f t="shared" si="36"/>
        <v>394.10236303013903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35</v>
      </c>
      <c r="AR43" s="16">
        <f>IF(ISNA(VLOOKUP(A43,'Données projet'!$A$61:$I$81,5,0)),0%,VLOOKUP(A43,'Données projet'!$A$61:$I$81,5,0)*VLOOKUP('Données projet'!$B$10,Paramètres!$A$1:$I$89,7,0))</f>
        <v>0.13250000000000001</v>
      </c>
      <c r="AS43" s="16">
        <f>IF(ISNA(VLOOKUP(A43,'Données projet'!$A$61:$I$81,6,0)),0%,VLOOKUP(A43,'Données projet'!$A$61:$I$81,6,0)*VLOOKUP('Données projet'!$B$10,Paramètres!$A$1:$I$89,7,0))</f>
        <v>0.13250000000000001</v>
      </c>
      <c r="AT43" s="16">
        <f>IF(ISNA(VLOOKUP(A43,'Données projet'!$A$61:$I$81,7,0)),0%,VLOOKUP(A43,'Données projet'!$A$61:$I$81,7,0))</f>
        <v>0.25</v>
      </c>
      <c r="AU43" s="21">
        <f>EXP(-LN(2)/35)*AU42+(1-EXP(-LN(2)/35))/(LN(2)/35)*AQ43*AR43*VLOOKUP('Données projet'!$B$10,Paramètres!$A$1:$I$89,3,0)*0.475*44/12</f>
        <v>12.208966796363363</v>
      </c>
      <c r="AV43" s="21">
        <f>EXP(-LN(2)/25)*AV42+(1-EXP(-LN(2)/25))/(LN(2)/25)*Calculateur!AQ43*Calculateur!AS43*VLOOKUP('Données projet'!$B$10,Paramètres!$A$1:$I$89,3,0)*0.475*44/12</f>
        <v>19.269894900657576</v>
      </c>
      <c r="AW43" s="21">
        <f>EXP(-LN(2)/2)*AW42+(1-EXP(-LN(2)/2))/(LN(2)/2)*AQ43*AT43*VLOOKUP('Données projet'!$B$10,Paramètres!$A$1:$I$89,3,0)*0.475*44/12</f>
        <v>8.7606992363018037</v>
      </c>
      <c r="AX43" s="21">
        <f t="shared" si="6"/>
        <v>40.239560933322743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3.3603333333333336</v>
      </c>
      <c r="BD43" s="12">
        <f>IF('Données projet'!$A$88&gt;35,BD42+BC43-BL42,IF(A43&lt;'Données projet'!$A$88,$BA$205^A43,IF(A43='Données projet'!$A$88,'Données projet'!$B$88,BD42+BC43-BL42)))</f>
        <v>134.4133333333333</v>
      </c>
      <c r="BE43" s="13">
        <f>BD43*VLOOKUP('Données projet'!$B$11,Paramètres!$A$1:$I$89,3,0)*VLOOKUP('Données projet'!$B$11,Paramètres!$A$1:$I$89,5,0)</f>
        <v>136.29511999999997</v>
      </c>
      <c r="BF43" s="13">
        <f t="shared" si="37"/>
        <v>35.44694925716302</v>
      </c>
      <c r="BG43" s="20">
        <f t="shared" si="7"/>
        <v>299.11743728955889</v>
      </c>
      <c r="BH43" s="59">
        <f t="shared" si="8"/>
        <v>546.93045110867968</v>
      </c>
      <c r="BI43" s="59">
        <f ca="1">AVERAGE(OFFSET($BH$3,0,0,'Données projet'!$E$11+1,1))-AVERAGE(OFFSET($H$3,0,0,'Données projet'!$E$11+1,1))</f>
        <v>580.02848304986492</v>
      </c>
      <c r="BJ43" s="59">
        <f t="shared" si="38"/>
        <v>281.68891895586728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11.142857142857142</v>
      </c>
      <c r="BY43" s="12">
        <f>IF('Données projet'!$A$114&gt;35,BY42+BX43-CG42,IF(A43&lt;'Données projet'!$A$114,$BV$205^A43,IF(A43='Données projet'!$A$114,'Données projet'!$B$114,BY42+BX43-CG42)))</f>
        <v>185.42857142857136</v>
      </c>
      <c r="BZ43" s="13">
        <f>BY43*VLOOKUP('Données projet'!$B$12,Paramètres!$A$1:$I$89,3,0)*VLOOKUP('Données projet'!$B$12,Paramètres!$A$1:$I$89,5,0)</f>
        <v>144.63428571428565</v>
      </c>
      <c r="CA43" s="13">
        <f t="shared" si="39"/>
        <v>37.356634728420524</v>
      </c>
      <c r="CB43" s="20">
        <f t="shared" si="10"/>
        <v>316.96751977104657</v>
      </c>
      <c r="CC43" s="59">
        <f t="shared" si="11"/>
        <v>564.78053359016735</v>
      </c>
      <c r="CD43" s="59">
        <f ca="1">AVERAGE(OFFSET($CC$3,0,0,'Données projet'!$E$12+1,1))-AVERAGE(OFFSET($H$3,0,0,'Données projet'!$E$12+1,1))</f>
        <v>308.85018589589453</v>
      </c>
      <c r="CE43" s="59">
        <f t="shared" si="40"/>
        <v>302.59481222418219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5.9366791813760624</v>
      </c>
      <c r="CL43" s="21">
        <f>EXP(-LN(2)/25)*CL42+(1-EXP(-LN(2)/25))/(LN(2)/25)*Calculateur!CG43*Calculateur!CI43*VLOOKUP('Données projet'!$B$12,Paramètres!$A$1:$I$89,3,0)*0.475*44/12</f>
        <v>8.757265296013621</v>
      </c>
      <c r="CM43" s="21">
        <f>EXP(-LN(2)/2)*CM42+(1-EXP(-LN(2)/2))/(LN(2)/2)*CG43*CJ43*VLOOKUP('Données projet'!$B$12,Paramètres!$A$1:$I$89,3,0)*0.475*44/12</f>
        <v>2.6665343666461587</v>
      </c>
      <c r="CN43" s="22">
        <f t="shared" si="12"/>
        <v>17.360478844035843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173.7179487179487</v>
      </c>
      <c r="CR43" s="12">
        <f>VLOOKUP(A43,'Données projet'!$A$139:$I$159,9,0)</f>
        <v>7.1794871794871771</v>
      </c>
      <c r="CS43" s="12">
        <f t="array" ref="CS43">INDEX(CR:CR,MIN(IF(ISNUMBER(CR43:CR239),ROW(CR43:CR239),"")))</f>
        <v>7.1794871794871771</v>
      </c>
      <c r="CT43" s="12">
        <f>IF('Données projet'!$A$140&gt;35,CT42+CS43-DB42,IF(A43&lt;'Données projet'!$A$140,$CQ$205^A43,IF(A43='Données projet'!$A$140,'Données projet'!$B$140,CT42+CS43-DB42)))</f>
        <v>173.71794871794873</v>
      </c>
      <c r="CU43" s="17">
        <f>CT43*VLOOKUP('Données projet'!$B$13,Paramètres!$A$1:$I$89,3,0)*VLOOKUP('Données projet'!$B$13,Paramètres!$A$1:$I$89,5,0)</f>
        <v>116.53000000000002</v>
      </c>
      <c r="CV43" s="13">
        <f t="shared" si="41"/>
        <v>30.864301846880135</v>
      </c>
      <c r="CW43" s="20">
        <f t="shared" si="13"/>
        <v>256.71174238331622</v>
      </c>
      <c r="CX43" s="59">
        <f t="shared" si="14"/>
        <v>504.52475620243706</v>
      </c>
      <c r="CY43" s="59">
        <f ca="1">AVERAGE(OFFSET($CX$3,0,0,'Données projet'!$E$13+1,1))-AVERAGE(OFFSET($H$3,0,0,'Données projet'!$E$13+1,1))</f>
        <v>335.73816489539837</v>
      </c>
      <c r="CZ43" s="59">
        <f t="shared" si="42"/>
        <v>254.09787950201044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17.307692307692307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0.13250000000000001</v>
      </c>
      <c r="DE43" s="16">
        <f>IF(ISNA(VLOOKUP(A43,'Données projet'!$A$139:$I$159,7,0)),0%,VLOOKUP(A43,'Données projet'!$A$139:$I$159,7,0))</f>
        <v>0.25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6.7340209508972073</v>
      </c>
      <c r="DH43" s="21">
        <f>EXP(-LN(2)/2)*DH42+(1-EXP(-LN(2)/2))/(LN(2)/2)*DB43*DE43*VLOOKUP('Données projet'!$B$13,Paramètres!$A$1:$I$89,3,0)*0.475*44/12</f>
        <v>3.3215837417342504</v>
      </c>
      <c r="DI43" s="22">
        <f t="shared" si="15"/>
        <v>10.055604692631459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9.8128571428571423</v>
      </c>
      <c r="DO43" s="12">
        <f>IF('Données projet'!$A$166&gt;35,DO42+DN43-DW42,IF(A43&lt;'Données projet'!$A$166,$DL$205^A43,IF(A43='Données projet'!$A$166,'Données projet'!$B$166,DO42+DN43-DW42)))</f>
        <v>100.6857142857143</v>
      </c>
      <c r="DP43" s="17">
        <f>DO43*VLOOKUP('Données projet'!$B$14,Paramètres!$A$1:$I$89,3,0)*VLOOKUP('Données projet'!$B$14,Paramètres!$A$1:$I$89,5,0)</f>
        <v>97.383222857142869</v>
      </c>
      <c r="DQ43" s="13">
        <f t="shared" si="43"/>
        <v>26.337627670123087</v>
      </c>
      <c r="DR43" s="20">
        <f t="shared" si="16"/>
        <v>215.48048133498818</v>
      </c>
      <c r="DS43" s="59">
        <f t="shared" si="17"/>
        <v>463.293495154109</v>
      </c>
      <c r="DT43" s="59">
        <f ca="1">AVERAGE(OFFSET($DS$3,0,0,'Données projet'!$E$14+1,1))-AVERAGE(OFFSET($H$3,0,0,'Données projet'!$E$14+1,1))</f>
        <v>493.03862850474161</v>
      </c>
      <c r="DU43" s="59">
        <f t="shared" si="44"/>
        <v>312.51819065560528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24.806020612012084</v>
      </c>
      <c r="EC43" s="21">
        <f>EXP(-LN(2)/2)*EC42+(1-EXP(-LN(2)/2))/(LN(2)/2)*DW43*DZ43*VLOOKUP('Données projet'!$B$14,Paramètres!$A$1:$I$89,3,0)*0.475*44/12</f>
        <v>6.5313295620379144</v>
      </c>
      <c r="ED43" s="22">
        <f t="shared" si="18"/>
        <v>31.337350174049998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9.8128571428571423</v>
      </c>
      <c r="EJ43" s="12">
        <f>IF('Données projet'!$A$192&gt;35,EJ42+EI43-ER42,IF(A43&lt;'Données projet'!$A$192,$EG$205^A43,IF(A43='Données projet'!$A$192,'Données projet'!$B$192,EJ42+EI43-ER42)))</f>
        <v>100.6857142857143</v>
      </c>
      <c r="EK43" s="17">
        <f>EJ43*VLOOKUP('Données projet'!$B$15,Paramètres!$A$1:$I$89,3,0)*VLOOKUP('Données projet'!$B$15,Paramètres!$A$1:$I$89,5,0)</f>
        <v>108.37810285714286</v>
      </c>
      <c r="EL43" s="13">
        <f t="shared" si="45"/>
        <v>28.948523222937034</v>
      </c>
      <c r="EM43" s="20">
        <f t="shared" si="19"/>
        <v>239.17720708947249</v>
      </c>
      <c r="EN43" s="59">
        <f t="shared" si="20"/>
        <v>486.9902209085933</v>
      </c>
      <c r="EO43" s="59">
        <f ca="1">AVERAGE(OFFSET($EN$3,0,0,'Données projet'!$E$15+1,1))-AVERAGE(OFFSET($H$3,0,0,'Données projet'!$E$15+1,1))</f>
        <v>539.72194201710272</v>
      </c>
      <c r="EP43" s="59">
        <f t="shared" si="46"/>
        <v>340.76505385159362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27.606700358529579</v>
      </c>
      <c r="EX43" s="21">
        <f>EXP(-LN(2)/2)*EX42+(1-EXP(-LN(2)/2))/(LN(2)/2)*ER43*EU43*VLOOKUP('Données projet'!$B$15,Paramètres!$A$1:$I$89,3,0)*0.475*44/12</f>
        <v>7.2687377383970349</v>
      </c>
      <c r="EY43" s="22">
        <f t="shared" si="21"/>
        <v>34.875438096926615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228</v>
      </c>
      <c r="FC43" s="12">
        <f>VLOOKUP(A43,'Données projet'!$A$217:$I$237,9,0)</f>
        <v>11.4</v>
      </c>
      <c r="FD43" s="12">
        <f t="array" ref="FD43">INDEX(FC:FC,MIN(IF(ISNUMBER(FC43:FC239),ROW(FC43:FC239),"")))</f>
        <v>11.4</v>
      </c>
      <c r="FE43" s="12">
        <f>IF('Données projet'!$A$218&gt;35,FE42+FD43-FM42,IF(A43&lt;'Données projet'!$A$218,$FB$205^A43,IF(A43='Données projet'!$A$218,'Données projet'!$B$218,FE42+FD43-FM42)))</f>
        <v>228</v>
      </c>
      <c r="FF43" s="17">
        <f>FE43*VLOOKUP('Données projet'!$B$16,Paramètres!$A$1:$I$89,3,0)*VLOOKUP('Données projet'!$B$16,Paramètres!$A$1:$I$89,5,0)</f>
        <v>184.95360000000002</v>
      </c>
      <c r="FG43" s="13">
        <f t="shared" si="47"/>
        <v>46.42252355095799</v>
      </c>
      <c r="FH43" s="20">
        <f t="shared" si="22"/>
        <v>402.9800818512519</v>
      </c>
      <c r="FI43" s="59">
        <f t="shared" si="23"/>
        <v>650.79309567037274</v>
      </c>
      <c r="FJ43" s="59">
        <f ca="1">AVERAGE(OFFSET($FI$3,0,0,'Données projet'!$E$16+1,1))-AVERAGE(OFFSET($H$3,0,0,'Données projet'!$E$16+1,1))</f>
        <v>383.47860767209028</v>
      </c>
      <c r="FK43" s="59">
        <f t="shared" si="48"/>
        <v>370.49129421395628</v>
      </c>
      <c r="FL43" s="15">
        <f>IF(ISNA(VLOOKUP(A43,'Données projet'!$A$217:$I$237,3,0)),0,VLOOKUP(A43,'Données projet'!$A$217:$I$237,3,0))</f>
        <v>6</v>
      </c>
      <c r="FM43" s="15">
        <f>IF(ISNA(VLOOKUP(A43,'Données projet'!$A$217:$I$237,4,0)),0,VLOOKUP(A43,'Données projet'!$A$217:$I$237,4,0))</f>
        <v>35</v>
      </c>
      <c r="FN43" s="16">
        <f>IF(ISNA(VLOOKUP(A43,'Données projet'!$A$217:$I$237,5,0)),0%,VLOOKUP(A43,'Données projet'!$A$217:$I$237,5,0)*VLOOKUP('Données projet'!$B$16,Paramètres!$A$1:$I$89,7,0))</f>
        <v>0.13250000000000001</v>
      </c>
      <c r="FO43" s="16">
        <f>IF(ISNA(VLOOKUP(A43,'Données projet'!$A$217:$I$237,6,0)),0%,VLOOKUP(A43,'Données projet'!$A$217:$I$237,6,0)*VLOOKUP('Données projet'!$B$16,Paramètres!$A$1:$I$89,7,0))</f>
        <v>0.13250000000000001</v>
      </c>
      <c r="FP43" s="16">
        <f>IF(ISNA(VLOOKUP(A43,'Données projet'!$A$217:$I$237,7,0)),0%,VLOOKUP(A43,'Données projet'!$A$217:$I$237,7,0))</f>
        <v>0.25</v>
      </c>
      <c r="FQ43" s="21">
        <f>EXP(-LN(2)/35)*FQ42+(1-EXP(-LN(2)/35))/(LN(2)/35)*FM43*FN43*VLOOKUP('Données projet'!$B$16,Paramètres!$A$1:$I$89,3,0)*0.475*44/12</f>
        <v>11.336897739480264</v>
      </c>
      <c r="FR43" s="21">
        <f>EXP(-LN(2)/25)*FR42+(1-EXP(-LN(2)/25))/(LN(2)/25)*Calculateur!FM43*Calculateur!FO43*VLOOKUP('Données projet'!$B$16,Paramètres!$A$1:$I$89,3,0)*0.475*44/12</f>
        <v>17.893473836324901</v>
      </c>
      <c r="FS43" s="21">
        <f>EXP(-LN(2)/2)*FS42+(1-EXP(-LN(2)/2))/(LN(2)/2)*FM43*FP43*VLOOKUP('Données projet'!$B$16,Paramètres!$A$1:$I$89,3,0)*0.475*44/12</f>
        <v>8.1349350051373879</v>
      </c>
      <c r="FT43" s="22">
        <f t="shared" si="24"/>
        <v>37.365306580942551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3.3603333333333336</v>
      </c>
      <c r="FZ43" s="12">
        <f>IF('Données projet'!$A$244&gt;35,FZ42+FY43-GH42,IF(A43&lt;'Données projet'!$A$244,$FW$205^A43,IF(A43='Données projet'!$A$244,'Données projet'!$B$244,FZ42+FY43-GH42)))</f>
        <v>134.4133333333333</v>
      </c>
      <c r="GA43" s="17">
        <f>FZ43*VLOOKUP('Données projet'!$B$17,Paramètres!$A$1:$I$89,3,0)*VLOOKUP('Données projet'!$B$17,Paramètres!$A$1:$I$89,5,0)</f>
        <v>153.06990399999998</v>
      </c>
      <c r="GB43" s="13">
        <f t="shared" si="49"/>
        <v>39.275407599099857</v>
      </c>
      <c r="GC43" s="20">
        <f t="shared" si="25"/>
        <v>335.00141770176555</v>
      </c>
      <c r="GD43" s="59">
        <f t="shared" si="26"/>
        <v>582.81443152088639</v>
      </c>
      <c r="GE43" s="59">
        <f ca="1">AVERAGE(OFFSET($GD$3,0,0,'Données projet'!$E$17+1,1))-AVERAGE(OFFSET($H$3,0,0,'Données projet'!$E$17+1,1))</f>
        <v>640.05156427113661</v>
      </c>
      <c r="GF43" s="59">
        <f t="shared" si="50"/>
        <v>308.77220155372902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0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13.987142857142857</v>
      </c>
      <c r="N44" s="13">
        <f>IF('Données projet'!$A$36&gt;35,N43+M44-V43,IF(A44&lt;'Données projet'!$A$36,$K$205^A44,IF(A44='Données projet'!$A$36,'Données projet'!$B$36,N43+M44-V43)))</f>
        <v>176.54857142857142</v>
      </c>
      <c r="O44" s="13">
        <f>N44*VLOOKUP('Données projet'!$B$9,Paramètres!$A$1:$I$89,3,0)*VLOOKUP('Données projet'!$B$9,Paramètres!$A$1:$I$89,5,0)</f>
        <v>148.72451657142858</v>
      </c>
      <c r="P44" s="13">
        <f t="shared" si="33"/>
        <v>38.288583531630934</v>
      </c>
      <c r="Q44" s="20">
        <f t="shared" si="53"/>
        <v>325.71448267949529</v>
      </c>
      <c r="R44" s="59">
        <f t="shared" si="0"/>
        <v>574.31717227399929</v>
      </c>
      <c r="S44" s="59">
        <f ca="1">AVERAGE(OFFSET($R$3,0,0,'Données projet'!$E$9+1,1))-AVERAGE(OFFSET($H$3,0,0,'Données projet'!$E$9+1,1))</f>
        <v>456.35333554128226</v>
      </c>
      <c r="T44" s="59">
        <f t="shared" si="34"/>
        <v>296.4517290984877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28.43935818410716</v>
      </c>
      <c r="AB44" s="21">
        <f>EXP(-LN(2)/2)*AB43+(1-EXP(-LN(2)/2))/(LN(2)/2)*V44*Y44*VLOOKUP('Données projet'!$B$9,Paramètres!$A$1:$I$89,3,0)*0.475*44/12</f>
        <v>2.0709716150381108</v>
      </c>
      <c r="AC44" s="22">
        <f t="shared" si="3"/>
        <v>30.510329799145271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202.8</v>
      </c>
      <c r="AJ44" s="13">
        <f>AI44*VLOOKUP('Données projet'!$B$10,Paramètres!$A$1:$I$89,3,0)*VLOOKUP('Données projet'!$B$10,Paramètres!$A$1:$I$89,5,0)</f>
        <v>177.16608000000002</v>
      </c>
      <c r="AK44" s="13">
        <f t="shared" si="35"/>
        <v>44.691110042101649</v>
      </c>
      <c r="AL44" s="20">
        <f t="shared" si="4"/>
        <v>386.40127265666041</v>
      </c>
      <c r="AM44" s="59">
        <f t="shared" si="5"/>
        <v>635.00396225116435</v>
      </c>
      <c r="AN44" s="59">
        <f ca="1">AVERAGE(OFFSET($AM$3,0,0,'Données projet'!$E$10+1,1))-AVERAGE(OFFSET($H$3,0,0,'Données projet'!$E$10+1,1))</f>
        <v>408.246209980743</v>
      </c>
      <c r="AO44" s="59">
        <f t="shared" si="36"/>
        <v>394.10236303013903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11.96955640422112</v>
      </c>
      <c r="AV44" s="21">
        <f>EXP(-LN(2)/25)*AV43+(1-EXP(-LN(2)/25))/(LN(2)/25)*Calculateur!AQ44*Calculateur!AS44*VLOOKUP('Données projet'!$B$10,Paramètres!$A$1:$I$89,3,0)*0.475*44/12</f>
        <v>18.742958611239363</v>
      </c>
      <c r="AW44" s="21">
        <f>EXP(-LN(2)/2)*AW43+(1-EXP(-LN(2)/2))/(LN(2)/2)*AQ44*AT44*VLOOKUP('Données projet'!$B$10,Paramètres!$A$1:$I$89,3,0)*0.475*44/12</f>
        <v>6.1947498379248138</v>
      </c>
      <c r="AX44" s="21">
        <f t="shared" si="6"/>
        <v>36.9072648533853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3.3603333333333336</v>
      </c>
      <c r="BD44" s="12">
        <f>IF('Données projet'!$A$88&gt;35,BD43+BC44-BL43,IF(A44&lt;'Données projet'!$A$88,$BA$205^A44,IF(A44='Données projet'!$A$88,'Données projet'!$B$88,BD43+BC44-BL43)))</f>
        <v>137.77366666666663</v>
      </c>
      <c r="BE44" s="13">
        <f>BD44*VLOOKUP('Données projet'!$B$11,Paramètres!$A$1:$I$89,3,0)*VLOOKUP('Données projet'!$B$11,Paramètres!$A$1:$I$89,5,0)</f>
        <v>139.70249799999996</v>
      </c>
      <c r="BF44" s="13">
        <f t="shared" si="37"/>
        <v>36.228843528850774</v>
      </c>
      <c r="BG44" s="20">
        <f t="shared" si="7"/>
        <v>306.41375316274832</v>
      </c>
      <c r="BH44" s="59">
        <f t="shared" si="8"/>
        <v>555.01644275725232</v>
      </c>
      <c r="BI44" s="59">
        <f ca="1">AVERAGE(OFFSET($BH$3,0,0,'Données projet'!$E$11+1,1))-AVERAGE(OFFSET($H$3,0,0,'Données projet'!$E$11+1,1))</f>
        <v>580.02848304986492</v>
      </c>
      <c r="BJ44" s="59">
        <f t="shared" si="38"/>
        <v>281.68891895586728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11.142857142857142</v>
      </c>
      <c r="BY44" s="12">
        <f>IF('Données projet'!$A$114&gt;35,BY43+BX44-CG43,IF(A44&lt;'Données projet'!$A$114,$BV$205^A44,IF(A44='Données projet'!$A$114,'Données projet'!$B$114,BY43+BX44-CG43)))</f>
        <v>196.5714285714285</v>
      </c>
      <c r="BZ44" s="13">
        <f>BY44*VLOOKUP('Données projet'!$B$12,Paramètres!$A$1:$I$89,3,0)*VLOOKUP('Données projet'!$B$12,Paramètres!$A$1:$I$89,5,0)</f>
        <v>153.32571428571424</v>
      </c>
      <c r="CA44" s="13">
        <f t="shared" si="39"/>
        <v>39.333398837614155</v>
      </c>
      <c r="CB44" s="20">
        <f t="shared" si="10"/>
        <v>335.5479553564636</v>
      </c>
      <c r="CC44" s="59">
        <f t="shared" si="11"/>
        <v>584.1506449509676</v>
      </c>
      <c r="CD44" s="59">
        <f ca="1">AVERAGE(OFFSET($CC$3,0,0,'Données projet'!$E$12+1,1))-AVERAGE(OFFSET($H$3,0,0,'Données projet'!$E$12+1,1))</f>
        <v>308.85018589589453</v>
      </c>
      <c r="CE44" s="59">
        <f t="shared" si="40"/>
        <v>302.59481222418219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5.8202645236460331</v>
      </c>
      <c r="CL44" s="21">
        <f>EXP(-LN(2)/25)*CL43+(1-EXP(-LN(2)/25))/(LN(2)/25)*Calculateur!CG44*Calculateur!CI44*VLOOKUP('Données projet'!$B$12,Paramètres!$A$1:$I$89,3,0)*0.475*44/12</f>
        <v>8.5177974159695609</v>
      </c>
      <c r="CM44" s="21">
        <f>EXP(-LN(2)/2)*CM43+(1-EXP(-LN(2)/2))/(LN(2)/2)*CG44*CJ44*VLOOKUP('Données projet'!$B$12,Paramètres!$A$1:$I$89,3,0)*0.475*44/12</f>
        <v>1.8855245329224746</v>
      </c>
      <c r="CN44" s="22">
        <f t="shared" si="12"/>
        <v>16.22358647253807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6.7948717948717956</v>
      </c>
      <c r="CT44" s="12">
        <f>IF('Données projet'!$A$140&gt;35,CT43+CS44-DB43,IF(A44&lt;'Données projet'!$A$140,$CQ$205^A44,IF(A44='Données projet'!$A$140,'Données projet'!$B$140,CT43+CS44-DB43)))</f>
        <v>163.20512820512823</v>
      </c>
      <c r="CU44" s="17">
        <f>CT44*VLOOKUP('Données projet'!$B$13,Paramètres!$A$1:$I$89,3,0)*VLOOKUP('Données projet'!$B$13,Paramètres!$A$1:$I$89,5,0)</f>
        <v>109.47800000000001</v>
      </c>
      <c r="CV44" s="13">
        <f t="shared" si="41"/>
        <v>29.207963273678622</v>
      </c>
      <c r="CW44" s="20">
        <f t="shared" si="13"/>
        <v>241.5447193683236</v>
      </c>
      <c r="CX44" s="59">
        <f t="shared" si="14"/>
        <v>490.14740896282757</v>
      </c>
      <c r="CY44" s="59">
        <f ca="1">AVERAGE(OFFSET($CX$3,0,0,'Données projet'!$E$13+1,1))-AVERAGE(OFFSET($H$3,0,0,'Données projet'!$E$13+1,1))</f>
        <v>335.73816489539837</v>
      </c>
      <c r="CZ44" s="59">
        <f t="shared" si="42"/>
        <v>254.09787950201044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6.5498787938681522</v>
      </c>
      <c r="DH44" s="21">
        <f>EXP(-LN(2)/2)*DH43+(1-EXP(-LN(2)/2))/(LN(2)/2)*DB44*DE44*VLOOKUP('Données projet'!$B$13,Paramètres!$A$1:$I$89,3,0)*0.475*44/12</f>
        <v>2.3487143880592747</v>
      </c>
      <c r="DI44" s="22">
        <f t="shared" si="15"/>
        <v>8.8985931819274278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9.8128571428571423</v>
      </c>
      <c r="DO44" s="12">
        <f>IF('Données projet'!$A$166&gt;35,DO43+DN44-DW43,IF(A44&lt;'Données projet'!$A$166,$DL$205^A44,IF(A44='Données projet'!$A$166,'Données projet'!$B$166,DO43+DN44-DW43)))</f>
        <v>110.49857142857144</v>
      </c>
      <c r="DP44" s="17">
        <f>DO44*VLOOKUP('Données projet'!$B$14,Paramètres!$A$1:$I$89,3,0)*VLOOKUP('Données projet'!$B$14,Paramètres!$A$1:$I$89,5,0)</f>
        <v>106.87421828571429</v>
      </c>
      <c r="DQ44" s="13">
        <f t="shared" si="43"/>
        <v>28.593294971888298</v>
      </c>
      <c r="DR44" s="20">
        <f t="shared" si="16"/>
        <v>235.93925225699118</v>
      </c>
      <c r="DS44" s="59">
        <f t="shared" si="17"/>
        <v>484.54194185149515</v>
      </c>
      <c r="DT44" s="59">
        <f ca="1">AVERAGE(OFFSET($DS$3,0,0,'Données projet'!$E$14+1,1))-AVERAGE(OFFSET($H$3,0,0,'Données projet'!$E$14+1,1))</f>
        <v>493.03862850474161</v>
      </c>
      <c r="DU44" s="59">
        <f t="shared" si="44"/>
        <v>312.51819065560528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24.127698673884684</v>
      </c>
      <c r="EC44" s="21">
        <f>EXP(-LN(2)/2)*EC43+(1-EXP(-LN(2)/2))/(LN(2)/2)*DW44*DZ44*VLOOKUP('Données projet'!$B$14,Paramètres!$A$1:$I$89,3,0)*0.475*44/12</f>
        <v>4.6183474234811728</v>
      </c>
      <c r="ED44" s="22">
        <f t="shared" si="18"/>
        <v>28.746046097365856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9.8128571428571423</v>
      </c>
      <c r="EJ44" s="12">
        <f>IF('Données projet'!$A$192&gt;35,EJ43+EI44-ER43,IF(A44&lt;'Données projet'!$A$192,$EG$205^A44,IF(A44='Données projet'!$A$192,'Données projet'!$B$192,EJ43+EI44-ER43)))</f>
        <v>110.49857142857144</v>
      </c>
      <c r="EK44" s="17">
        <f>EJ44*VLOOKUP('Données projet'!$B$15,Paramètres!$A$1:$I$89,3,0)*VLOOKUP('Données projet'!$B$15,Paramètres!$A$1:$I$89,5,0)</f>
        <v>118.9406622857143</v>
      </c>
      <c r="EL44" s="13">
        <f t="shared" si="45"/>
        <v>31.427798808658942</v>
      </c>
      <c r="EM44" s="20">
        <f t="shared" si="19"/>
        <v>261.89173640603332</v>
      </c>
      <c r="EN44" s="59">
        <f t="shared" si="20"/>
        <v>510.49442600053726</v>
      </c>
      <c r="EO44" s="59">
        <f ca="1">AVERAGE(OFFSET($EN$3,0,0,'Données projet'!$E$15+1,1))-AVERAGE(OFFSET($H$3,0,0,'Données projet'!$E$15+1,1))</f>
        <v>539.72194201710272</v>
      </c>
      <c r="EP44" s="59">
        <f t="shared" si="46"/>
        <v>340.76505385159362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26.851793685452311</v>
      </c>
      <c r="EX44" s="21">
        <f>EXP(-LN(2)/2)*EX43+(1-EXP(-LN(2)/2))/(LN(2)/2)*ER44*EU44*VLOOKUP('Données projet'!$B$15,Paramètres!$A$1:$I$89,3,0)*0.475*44/12</f>
        <v>5.1397737454871129</v>
      </c>
      <c r="EY44" s="22">
        <f t="shared" si="21"/>
        <v>31.991567430939423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9.8000000000000007</v>
      </c>
      <c r="FE44" s="12">
        <f>IF('Données projet'!$A$218&gt;35,FE43+FD44-FM43,IF(A44&lt;'Données projet'!$A$218,$FB$205^A44,IF(A44='Données projet'!$A$218,'Données projet'!$B$218,FE43+FD44-FM43)))</f>
        <v>202.8</v>
      </c>
      <c r="FF44" s="17">
        <f>FE44*VLOOKUP('Données projet'!$B$16,Paramètres!$A$1:$I$89,3,0)*VLOOKUP('Données projet'!$B$16,Paramètres!$A$1:$I$89,5,0)</f>
        <v>164.51136</v>
      </c>
      <c r="FG44" s="13">
        <f t="shared" si="47"/>
        <v>41.858412704646653</v>
      </c>
      <c r="FH44" s="20">
        <f t="shared" si="22"/>
        <v>359.4273541272596</v>
      </c>
      <c r="FI44" s="59">
        <f t="shared" si="23"/>
        <v>608.0300437217636</v>
      </c>
      <c r="FJ44" s="59">
        <f ca="1">AVERAGE(OFFSET($FI$3,0,0,'Données projet'!$E$16+1,1))-AVERAGE(OFFSET($H$3,0,0,'Données projet'!$E$16+1,1))</f>
        <v>383.47860767209028</v>
      </c>
      <c r="FK44" s="59">
        <f t="shared" si="48"/>
        <v>370.49129421395628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11.114588089633894</v>
      </c>
      <c r="FR44" s="21">
        <f>EXP(-LN(2)/25)*FR43+(1-EXP(-LN(2)/25))/(LN(2)/25)*Calculateur!FM44*Calculateur!FO44*VLOOKUP('Données projet'!$B$16,Paramètres!$A$1:$I$89,3,0)*0.475*44/12</f>
        <v>17.404175853293705</v>
      </c>
      <c r="FS44" s="21">
        <f>EXP(-LN(2)/2)*FS43+(1-EXP(-LN(2)/2))/(LN(2)/2)*FM44*FP44*VLOOKUP('Données projet'!$B$16,Paramètres!$A$1:$I$89,3,0)*0.475*44/12</f>
        <v>5.752267706644469</v>
      </c>
      <c r="FT44" s="22">
        <f t="shared" si="24"/>
        <v>34.271031649572066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3.3603333333333336</v>
      </c>
      <c r="FZ44" s="12">
        <f>IF('Données projet'!$A$244&gt;35,FZ43+FY44-GH43,IF(A44&lt;'Données projet'!$A$244,$FW$205^A44,IF(A44='Données projet'!$A$244,'Données projet'!$B$244,FZ43+FY44-GH43)))</f>
        <v>137.77366666666663</v>
      </c>
      <c r="GA44" s="17">
        <f>FZ44*VLOOKUP('Données projet'!$B$17,Paramètres!$A$1:$I$89,3,0)*VLOOKUP('Données projet'!$B$17,Paramètres!$A$1:$I$89,5,0)</f>
        <v>156.89665159999996</v>
      </c>
      <c r="GB44" s="13">
        <f t="shared" si="49"/>
        <v>40.141750595140159</v>
      </c>
      <c r="GC44" s="20">
        <f t="shared" si="25"/>
        <v>343.17521715653567</v>
      </c>
      <c r="GD44" s="59">
        <f t="shared" si="26"/>
        <v>591.77790675103961</v>
      </c>
      <c r="GE44" s="59">
        <f ca="1">AVERAGE(OFFSET($GD$3,0,0,'Données projet'!$E$17+1,1))-AVERAGE(OFFSET($H$3,0,0,'Données projet'!$E$17+1,1))</f>
        <v>640.05156427113661</v>
      </c>
      <c r="GF44" s="59">
        <f t="shared" si="50"/>
        <v>308.77220155372902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0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13.987142857142857</v>
      </c>
      <c r="N45" s="13">
        <f>IF('Données projet'!$A$36&gt;35,N44+M45-V44,IF(A45&lt;'Données projet'!$A$36,$K$205^A45,IF(A45='Données projet'!$A$36,'Données projet'!$B$36,N44+M45-V44)))</f>
        <v>190.53571428571428</v>
      </c>
      <c r="O45" s="13">
        <f>N45*VLOOKUP('Données projet'!$B$9,Paramètres!$A$1:$I$89,3,0)*VLOOKUP('Données projet'!$B$9,Paramètres!$A$1:$I$89,5,0)</f>
        <v>160.50728571428573</v>
      </c>
      <c r="P45" s="13">
        <f t="shared" si="33"/>
        <v>40.956914027108454</v>
      </c>
      <c r="Q45" s="20">
        <f t="shared" si="53"/>
        <v>350.88348121626149</v>
      </c>
      <c r="R45" s="59">
        <f t="shared" si="0"/>
        <v>600.26214747689619</v>
      </c>
      <c r="S45" s="59">
        <f ca="1">AVERAGE(OFFSET($R$3,0,0,'Données projet'!$E$9+1,1))-AVERAGE(OFFSET($H$3,0,0,'Données projet'!$E$9+1,1))</f>
        <v>456.35333554128226</v>
      </c>
      <c r="T45" s="59">
        <f t="shared" si="34"/>
        <v>296.4517290984877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27.6616824390019</v>
      </c>
      <c r="AB45" s="21">
        <f>EXP(-LN(2)/2)*AB44+(1-EXP(-LN(2)/2))/(LN(2)/2)*V45*Y45*VLOOKUP('Données projet'!$B$9,Paramètres!$A$1:$I$89,3,0)*0.475*44/12</f>
        <v>1.4643980726383043</v>
      </c>
      <c r="AC45" s="22">
        <f t="shared" si="3"/>
        <v>29.126080511640204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212.60000000000002</v>
      </c>
      <c r="AJ45" s="13">
        <f>AI45*VLOOKUP('Données projet'!$B$10,Paramètres!$A$1:$I$89,3,0)*VLOOKUP('Données projet'!$B$10,Paramètres!$A$1:$I$89,5,0)</f>
        <v>185.72736000000003</v>
      </c>
      <c r="AK45" s="13">
        <f t="shared" si="35"/>
        <v>46.594086043363802</v>
      </c>
      <c r="AL45" s="20">
        <f t="shared" si="4"/>
        <v>404.62651852552534</v>
      </c>
      <c r="AM45" s="59">
        <f t="shared" si="5"/>
        <v>654.00518478616004</v>
      </c>
      <c r="AN45" s="59">
        <f ca="1">AVERAGE(OFFSET($AM$3,0,0,'Données projet'!$E$10+1,1))-AVERAGE(OFFSET($H$3,0,0,'Données projet'!$E$10+1,1))</f>
        <v>408.246209980743</v>
      </c>
      <c r="AO45" s="59">
        <f t="shared" si="36"/>
        <v>394.10236303013903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11.734840703842865</v>
      </c>
      <c r="AV45" s="21">
        <f>EXP(-LN(2)/25)*AV44+(1-EXP(-LN(2)/25))/(LN(2)/25)*Calculateur!AQ45*Calculateur!AS45*VLOOKUP('Données projet'!$B$10,Paramètres!$A$1:$I$89,3,0)*0.475*44/12</f>
        <v>18.230431422365665</v>
      </c>
      <c r="AW45" s="21">
        <f>EXP(-LN(2)/2)*AW44+(1-EXP(-LN(2)/2))/(LN(2)/2)*AQ45*AT45*VLOOKUP('Données projet'!$B$10,Paramètres!$A$1:$I$89,3,0)*0.475*44/12</f>
        <v>4.3803496181509027</v>
      </c>
      <c r="AX45" s="21">
        <f t="shared" si="6"/>
        <v>34.345621744359434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3.3603333333333336</v>
      </c>
      <c r="BD45" s="12">
        <f>IF('Données projet'!$A$88&gt;35,BD44+BC45-BL44,IF(A45&lt;'Données projet'!$A$88,$BA$205^A45,IF(A45='Données projet'!$A$88,'Données projet'!$B$88,BD44+BC45-BL44)))</f>
        <v>141.13399999999996</v>
      </c>
      <c r="BE45" s="13">
        <f>BD45*VLOOKUP('Données projet'!$B$11,Paramètres!$A$1:$I$89,3,0)*VLOOKUP('Données projet'!$B$11,Paramètres!$A$1:$I$89,5,0)</f>
        <v>143.10987599999996</v>
      </c>
      <c r="BF45" s="13">
        <f t="shared" si="37"/>
        <v>37.008520899412304</v>
      </c>
      <c r="BG45" s="20">
        <f t="shared" si="7"/>
        <v>313.70620793314299</v>
      </c>
      <c r="BH45" s="59">
        <f t="shared" si="8"/>
        <v>563.08487419377775</v>
      </c>
      <c r="BI45" s="59">
        <f ca="1">AVERAGE(OFFSET($BH$3,0,0,'Données projet'!$E$11+1,1))-AVERAGE(OFFSET($H$3,0,0,'Données projet'!$E$11+1,1))</f>
        <v>580.02848304986492</v>
      </c>
      <c r="BJ45" s="59">
        <f t="shared" si="38"/>
        <v>281.68891895586728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11.142857142857142</v>
      </c>
      <c r="BY45" s="12">
        <f>IF('Données projet'!$A$114&gt;35,BY44+BX45-CG44,IF(A45&lt;'Données projet'!$A$114,$BV$205^A45,IF(A45='Données projet'!$A$114,'Données projet'!$B$114,BY44+BX45-CG44)))</f>
        <v>207.71428571428564</v>
      </c>
      <c r="BZ45" s="13">
        <f>BY45*VLOOKUP('Données projet'!$B$12,Paramètres!$A$1:$I$89,3,0)*VLOOKUP('Données projet'!$B$12,Paramètres!$A$1:$I$89,5,0)</f>
        <v>162.0171428571428</v>
      </c>
      <c r="CA45" s="13">
        <f t="shared" si="39"/>
        <v>41.29715533509664</v>
      </c>
      <c r="CB45" s="20">
        <f t="shared" si="10"/>
        <v>354.10573601815037</v>
      </c>
      <c r="CC45" s="59">
        <f t="shared" si="11"/>
        <v>603.48440227878507</v>
      </c>
      <c r="CD45" s="59">
        <f ca="1">AVERAGE(OFFSET($CC$3,0,0,'Données projet'!$E$12+1,1))-AVERAGE(OFFSET($H$3,0,0,'Données projet'!$E$12+1,1))</f>
        <v>308.85018589589453</v>
      </c>
      <c r="CE45" s="59">
        <f t="shared" si="40"/>
        <v>302.59481222418219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5.706132686348159</v>
      </c>
      <c r="CL45" s="21">
        <f>EXP(-LN(2)/25)*CL44+(1-EXP(-LN(2)/25))/(LN(2)/25)*Calculateur!CG45*Calculateur!CI45*VLOOKUP('Données projet'!$B$12,Paramètres!$A$1:$I$89,3,0)*0.475*44/12</f>
        <v>8.2848777976983747</v>
      </c>
      <c r="CM45" s="21">
        <f>EXP(-LN(2)/2)*CM44+(1-EXP(-LN(2)/2))/(LN(2)/2)*CG45*CJ45*VLOOKUP('Données projet'!$B$12,Paramètres!$A$1:$I$89,3,0)*0.475*44/12</f>
        <v>1.3332671833230796</v>
      </c>
      <c r="CN45" s="22">
        <f t="shared" si="12"/>
        <v>15.324277667369614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6.7948717948717956</v>
      </c>
      <c r="CT45" s="12">
        <f>IF('Données projet'!$A$140&gt;35,CT44+CS45-DB44,IF(A45&lt;'Données projet'!$A$140,$CQ$205^A45,IF(A45='Données projet'!$A$140,'Données projet'!$B$140,CT44+CS45-DB44)))</f>
        <v>170.00000000000003</v>
      </c>
      <c r="CU45" s="17">
        <f>CT45*VLOOKUP('Données projet'!$B$13,Paramètres!$A$1:$I$89,3,0)*VLOOKUP('Données projet'!$B$13,Paramètres!$A$1:$I$89,5,0)</f>
        <v>114.03600000000002</v>
      </c>
      <c r="CV45" s="13">
        <f t="shared" si="41"/>
        <v>30.279894261296121</v>
      </c>
      <c r="CW45" s="20">
        <f t="shared" si="13"/>
        <v>251.35018250509077</v>
      </c>
      <c r="CX45" s="59">
        <f t="shared" si="14"/>
        <v>500.7288487657255</v>
      </c>
      <c r="CY45" s="59">
        <f ca="1">AVERAGE(OFFSET($CX$3,0,0,'Données projet'!$E$13+1,1))-AVERAGE(OFFSET($H$3,0,0,'Données projet'!$E$13+1,1))</f>
        <v>335.73816489539837</v>
      </c>
      <c r="CZ45" s="59">
        <f t="shared" si="42"/>
        <v>254.09787950201044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6.3707720138066719</v>
      </c>
      <c r="DH45" s="21">
        <f>EXP(-LN(2)/2)*DH44+(1-EXP(-LN(2)/2))/(LN(2)/2)*DB45*DE45*VLOOKUP('Données projet'!$B$13,Paramètres!$A$1:$I$89,3,0)*0.475*44/12</f>
        <v>1.6607918708671254</v>
      </c>
      <c r="DI45" s="22">
        <f t="shared" si="15"/>
        <v>8.0315638846737976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9.8128571428571423</v>
      </c>
      <c r="DO45" s="12">
        <f>IF('Données projet'!$A$166&gt;35,DO44+DN45-DW44,IF(A45&lt;'Données projet'!$A$166,$DL$205^A45,IF(A45='Données projet'!$A$166,'Données projet'!$B$166,DO44+DN45-DW44)))</f>
        <v>120.31142857142858</v>
      </c>
      <c r="DP45" s="17">
        <f>DO45*VLOOKUP('Données projet'!$B$14,Paramètres!$A$1:$I$89,3,0)*VLOOKUP('Données projet'!$B$14,Paramètres!$A$1:$I$89,5,0)</f>
        <v>116.36521371428573</v>
      </c>
      <c r="DQ45" s="13">
        <f t="shared" si="43"/>
        <v>30.825733480546823</v>
      </c>
      <c r="DR45" s="20">
        <f t="shared" si="16"/>
        <v>256.35756636433331</v>
      </c>
      <c r="DS45" s="59">
        <f t="shared" si="17"/>
        <v>505.73623262496801</v>
      </c>
      <c r="DT45" s="59">
        <f ca="1">AVERAGE(OFFSET($DS$3,0,0,'Données projet'!$E$14+1,1))-AVERAGE(OFFSET($H$3,0,0,'Données projet'!$E$14+1,1))</f>
        <v>493.03862850474161</v>
      </c>
      <c r="DU45" s="59">
        <f t="shared" si="44"/>
        <v>312.51819065560528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23.467925484826779</v>
      </c>
      <c r="EC45" s="21">
        <f>EXP(-LN(2)/2)*EC44+(1-EXP(-LN(2)/2))/(LN(2)/2)*DW45*DZ45*VLOOKUP('Données projet'!$B$14,Paramètres!$A$1:$I$89,3,0)*0.475*44/12</f>
        <v>3.2656647810189572</v>
      </c>
      <c r="ED45" s="22">
        <f t="shared" si="18"/>
        <v>26.733590265845734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9.8128571428571423</v>
      </c>
      <c r="EJ45" s="12">
        <f>IF('Données projet'!$A$192&gt;35,EJ44+EI45-ER44,IF(A45&lt;'Données projet'!$A$192,$EG$205^A45,IF(A45='Données projet'!$A$192,'Données projet'!$B$192,EJ44+EI45-ER44)))</f>
        <v>120.31142857142858</v>
      </c>
      <c r="EK45" s="17">
        <f>EJ45*VLOOKUP('Données projet'!$B$15,Paramètres!$A$1:$I$89,3,0)*VLOOKUP('Données projet'!$B$15,Paramètres!$A$1:$I$89,5,0)</f>
        <v>129.5032217142857</v>
      </c>
      <c r="EL45" s="13">
        <f t="shared" si="45"/>
        <v>33.881542889982931</v>
      </c>
      <c r="EM45" s="20">
        <f t="shared" si="19"/>
        <v>284.56179835243455</v>
      </c>
      <c r="EN45" s="59">
        <f t="shared" si="20"/>
        <v>533.94046461306925</v>
      </c>
      <c r="EO45" s="59">
        <f ca="1">AVERAGE(OFFSET($EN$3,0,0,'Données projet'!$E$15+1,1))-AVERAGE(OFFSET($H$3,0,0,'Données projet'!$E$15+1,1))</f>
        <v>539.72194201710272</v>
      </c>
      <c r="EP45" s="59">
        <f t="shared" si="46"/>
        <v>340.76505385159362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26.117529975049159</v>
      </c>
      <c r="EX45" s="21">
        <f>EXP(-LN(2)/2)*EX44+(1-EXP(-LN(2)/2))/(LN(2)/2)*ER45*EU45*VLOOKUP('Données projet'!$B$15,Paramètres!$A$1:$I$89,3,0)*0.475*44/12</f>
        <v>3.6343688691985179</v>
      </c>
      <c r="EY45" s="22">
        <f t="shared" si="21"/>
        <v>29.751898844247677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9.8000000000000007</v>
      </c>
      <c r="FE45" s="12">
        <f>IF('Données projet'!$A$218&gt;35,FE44+FD45-FM44,IF(A45&lt;'Données projet'!$A$218,$FB$205^A45,IF(A45='Données projet'!$A$218,'Données projet'!$B$218,FE44+FD45-FM44)))</f>
        <v>212.60000000000002</v>
      </c>
      <c r="FF45" s="17">
        <f>FE45*VLOOKUP('Données projet'!$B$16,Paramètres!$A$1:$I$89,3,0)*VLOOKUP('Données projet'!$B$16,Paramètres!$A$1:$I$89,5,0)</f>
        <v>172.46112000000005</v>
      </c>
      <c r="FG45" s="13">
        <f t="shared" si="47"/>
        <v>43.640770644577643</v>
      </c>
      <c r="FH45" s="20">
        <f t="shared" si="22"/>
        <v>376.37745953930607</v>
      </c>
      <c r="FI45" s="59">
        <f t="shared" si="23"/>
        <v>625.75612579994083</v>
      </c>
      <c r="FJ45" s="59">
        <f ca="1">AVERAGE(OFFSET($FI$3,0,0,'Données projet'!$E$16+1,1))-AVERAGE(OFFSET($H$3,0,0,'Données projet'!$E$16+1,1))</f>
        <v>383.47860767209028</v>
      </c>
      <c r="FK45" s="59">
        <f t="shared" si="48"/>
        <v>370.49129421395628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10.896637796425516</v>
      </c>
      <c r="FR45" s="21">
        <f>EXP(-LN(2)/25)*FR44+(1-EXP(-LN(2)/25))/(LN(2)/25)*Calculateur!FM45*Calculateur!FO45*VLOOKUP('Données projet'!$B$16,Paramètres!$A$1:$I$89,3,0)*0.475*44/12</f>
        <v>16.928257749339558</v>
      </c>
      <c r="FS45" s="21">
        <f>EXP(-LN(2)/2)*FS44+(1-EXP(-LN(2)/2))/(LN(2)/2)*FM45*FP45*VLOOKUP('Données projet'!$B$16,Paramètres!$A$1:$I$89,3,0)*0.475*44/12</f>
        <v>4.0674675025686939</v>
      </c>
      <c r="FT45" s="22">
        <f t="shared" si="24"/>
        <v>31.892363048333767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3.3603333333333336</v>
      </c>
      <c r="FZ45" s="12">
        <f>IF('Données projet'!$A$244&gt;35,FZ44+FY45-GH44,IF(A45&lt;'Données projet'!$A$244,$FW$205^A45,IF(A45='Données projet'!$A$244,'Données projet'!$B$244,FZ44+FY45-GH44)))</f>
        <v>141.13399999999996</v>
      </c>
      <c r="GA45" s="17">
        <f>FZ45*VLOOKUP('Données projet'!$B$17,Paramètres!$A$1:$I$89,3,0)*VLOOKUP('Données projet'!$B$17,Paramètres!$A$1:$I$89,5,0)</f>
        <v>160.72339919999996</v>
      </c>
      <c r="GB45" s="13">
        <f t="shared" si="49"/>
        <v>41.005637252985878</v>
      </c>
      <c r="GC45" s="20">
        <f t="shared" si="25"/>
        <v>351.34473848895027</v>
      </c>
      <c r="GD45" s="59">
        <f t="shared" si="26"/>
        <v>600.72340474958503</v>
      </c>
      <c r="GE45" s="59">
        <f ca="1">AVERAGE(OFFSET($GD$3,0,0,'Données projet'!$E$17+1,1))-AVERAGE(OFFSET($H$3,0,0,'Données projet'!$E$17+1,1))</f>
        <v>640.05156427113661</v>
      </c>
      <c r="GF45" s="59">
        <f t="shared" si="50"/>
        <v>308.77220155372902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0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13.987142857142857</v>
      </c>
      <c r="N46" s="13">
        <f>IF('Données projet'!$A$36&gt;35,N45+M46-V45,IF(A46&lt;'Données projet'!$A$36,$K$205^A46,IF(A46='Données projet'!$A$36,'Données projet'!$B$36,N45+M46-V45)))</f>
        <v>204.52285714285713</v>
      </c>
      <c r="O46" s="13">
        <f>N46*VLOOKUP('Données projet'!$B$9,Paramètres!$A$1:$I$89,3,0)*VLOOKUP('Données projet'!$B$9,Paramètres!$A$1:$I$89,5,0)</f>
        <v>172.29005485714288</v>
      </c>
      <c r="P46" s="13">
        <f t="shared" si="33"/>
        <v>43.602519580548581</v>
      </c>
      <c r="Q46" s="20">
        <f t="shared" si="53"/>
        <v>376.01290047897925</v>
      </c>
      <c r="R46" s="59">
        <f t="shared" si="0"/>
        <v>626.15408194541124</v>
      </c>
      <c r="S46" s="59">
        <f ca="1">AVERAGE(OFFSET($R$3,0,0,'Données projet'!$E$9+1,1))-AVERAGE(OFFSET($H$3,0,0,'Données projet'!$E$9+1,1))</f>
        <v>456.35333554128226</v>
      </c>
      <c r="T46" s="59">
        <f t="shared" si="34"/>
        <v>296.4517290984877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26.905272278042737</v>
      </c>
      <c r="AB46" s="21">
        <f>EXP(-LN(2)/2)*AB45+(1-EXP(-LN(2)/2))/(LN(2)/2)*V46*Y46*VLOOKUP('Données projet'!$B$9,Paramètres!$A$1:$I$89,3,0)*0.475*44/12</f>
        <v>1.0354858075190554</v>
      </c>
      <c r="AC46" s="22">
        <f t="shared" si="3"/>
        <v>27.940758085561793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222.40000000000003</v>
      </c>
      <c r="AJ46" s="13">
        <f>AI46*VLOOKUP('Données projet'!$B$10,Paramètres!$A$1:$I$89,3,0)*VLOOKUP('Données projet'!$B$10,Paramètres!$A$1:$I$89,5,0)</f>
        <v>194.28864000000004</v>
      </c>
      <c r="AK46" s="13">
        <f t="shared" si="35"/>
        <v>48.486875029770822</v>
      </c>
      <c r="AL46" s="20">
        <f t="shared" si="4"/>
        <v>422.83402201018424</v>
      </c>
      <c r="AM46" s="59">
        <f t="shared" si="5"/>
        <v>672.97520347661634</v>
      </c>
      <c r="AN46" s="59">
        <f ca="1">AVERAGE(OFFSET($AM$3,0,0,'Données projet'!$E$10+1,1))-AVERAGE(OFFSET($H$3,0,0,'Données projet'!$E$10+1,1))</f>
        <v>408.246209980743</v>
      </c>
      <c r="AO46" s="59">
        <f t="shared" si="36"/>
        <v>394.10236303013903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11.504727635186587</v>
      </c>
      <c r="AV46" s="21">
        <f>EXP(-LN(2)/25)*AV45+(1-EXP(-LN(2)/25))/(LN(2)/25)*Calculateur!AQ46*Calculateur!AS46*VLOOKUP('Données projet'!$B$10,Paramètres!$A$1:$I$89,3,0)*0.475*44/12</f>
        <v>17.731919316424353</v>
      </c>
      <c r="AW46" s="21">
        <f>EXP(-LN(2)/2)*AW45+(1-EXP(-LN(2)/2))/(LN(2)/2)*AQ46*AT46*VLOOKUP('Données projet'!$B$10,Paramètres!$A$1:$I$89,3,0)*0.475*44/12</f>
        <v>3.0973749189624078</v>
      </c>
      <c r="AX46" s="21">
        <f t="shared" si="6"/>
        <v>32.334021870573345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3.3603333333333336</v>
      </c>
      <c r="BD46" s="12">
        <f>IF('Données projet'!$A$88&gt;35,BD45+BC46-BL45,IF(A46&lt;'Données projet'!$A$88,$BA$205^A46,IF(A46='Données projet'!$A$88,'Données projet'!$B$88,BD45+BC46-BL45)))</f>
        <v>144.49433333333329</v>
      </c>
      <c r="BE46" s="13">
        <f>BD46*VLOOKUP('Données projet'!$B$11,Paramètres!$A$1:$I$89,3,0)*VLOOKUP('Données projet'!$B$11,Paramètres!$A$1:$I$89,5,0)</f>
        <v>146.51725399999995</v>
      </c>
      <c r="BF46" s="13">
        <f t="shared" si="37"/>
        <v>37.786040225853256</v>
      </c>
      <c r="BG46" s="20">
        <f t="shared" si="7"/>
        <v>320.99490411002768</v>
      </c>
      <c r="BH46" s="59">
        <f t="shared" si="8"/>
        <v>571.13608557645966</v>
      </c>
      <c r="BI46" s="59">
        <f ca="1">AVERAGE(OFFSET($BH$3,0,0,'Données projet'!$E$11+1,1))-AVERAGE(OFFSET($H$3,0,0,'Données projet'!$E$11+1,1))</f>
        <v>580.02848304986492</v>
      </c>
      <c r="BJ46" s="59">
        <f t="shared" si="38"/>
        <v>281.68891895586728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11.142857142857142</v>
      </c>
      <c r="BY46" s="12">
        <f>IF('Données projet'!$A$114&gt;35,BY45+BX46-CG45,IF(A46&lt;'Données projet'!$A$114,$BV$205^A46,IF(A46='Données projet'!$A$114,'Données projet'!$B$114,BY45+BX46-CG45)))</f>
        <v>218.85714285714278</v>
      </c>
      <c r="BZ46" s="13">
        <f>BY46*VLOOKUP('Données projet'!$B$12,Paramètres!$A$1:$I$89,3,0)*VLOOKUP('Données projet'!$B$12,Paramètres!$A$1:$I$89,5,0)</f>
        <v>170.70857142857136</v>
      </c>
      <c r="CA46" s="13">
        <f t="shared" si="39"/>
        <v>43.248681576985376</v>
      </c>
      <c r="CB46" s="20">
        <f t="shared" si="10"/>
        <v>372.64221565134466</v>
      </c>
      <c r="CC46" s="59">
        <f t="shared" si="11"/>
        <v>622.78339711777676</v>
      </c>
      <c r="CD46" s="59">
        <f ca="1">AVERAGE(OFFSET($CC$3,0,0,'Données projet'!$E$12+1,1))-AVERAGE(OFFSET($H$3,0,0,'Données projet'!$E$12+1,1))</f>
        <v>308.85018589589453</v>
      </c>
      <c r="CE46" s="59">
        <f t="shared" si="40"/>
        <v>302.59481222418219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5.5942389047661498</v>
      </c>
      <c r="CL46" s="21">
        <f>EXP(-LN(2)/25)*CL45+(1-EXP(-LN(2)/25))/(LN(2)/25)*Calculateur!CG46*Calculateur!CI46*VLOOKUP('Données projet'!$B$12,Paramètres!$A$1:$I$89,3,0)*0.475*44/12</f>
        <v>8.0583273786375251</v>
      </c>
      <c r="CM46" s="21">
        <f>EXP(-LN(2)/2)*CM45+(1-EXP(-LN(2)/2))/(LN(2)/2)*CG46*CJ46*VLOOKUP('Données projet'!$B$12,Paramètres!$A$1:$I$89,3,0)*0.475*44/12</f>
        <v>0.9427622664612374</v>
      </c>
      <c r="CN46" s="22">
        <f t="shared" si="12"/>
        <v>14.595328549864913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6.7948717948717956</v>
      </c>
      <c r="CT46" s="12">
        <f>IF('Données projet'!$A$140&gt;35,CT45+CS46-DB45,IF(A46&lt;'Données projet'!$A$140,$CQ$205^A46,IF(A46='Données projet'!$A$140,'Données projet'!$B$140,CT45+CS46-DB45)))</f>
        <v>176.79487179487182</v>
      </c>
      <c r="CU46" s="17">
        <f>CT46*VLOOKUP('Données projet'!$B$13,Paramètres!$A$1:$I$89,3,0)*VLOOKUP('Données projet'!$B$13,Paramètres!$A$1:$I$89,5,0)</f>
        <v>118.59400000000002</v>
      </c>
      <c r="CV46" s="13">
        <f t="shared" si="41"/>
        <v>31.346848285873225</v>
      </c>
      <c r="CW46" s="20">
        <f t="shared" si="13"/>
        <v>261.14697743122923</v>
      </c>
      <c r="CX46" s="59">
        <f t="shared" si="14"/>
        <v>511.28815889766128</v>
      </c>
      <c r="CY46" s="59">
        <f ca="1">AVERAGE(OFFSET($CX$3,0,0,'Données projet'!$E$13+1,1))-AVERAGE(OFFSET($H$3,0,0,'Données projet'!$E$13+1,1))</f>
        <v>335.73816489539837</v>
      </c>
      <c r="CZ46" s="59">
        <f t="shared" si="42"/>
        <v>254.09787950201044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6.1965629180647888</v>
      </c>
      <c r="DH46" s="21">
        <f>EXP(-LN(2)/2)*DH45+(1-EXP(-LN(2)/2))/(LN(2)/2)*DB46*DE46*VLOOKUP('Données projet'!$B$13,Paramètres!$A$1:$I$89,3,0)*0.475*44/12</f>
        <v>1.1743571940296373</v>
      </c>
      <c r="DI46" s="22">
        <f t="shared" si="15"/>
        <v>7.3709201120944261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9.8128571428571423</v>
      </c>
      <c r="DO46" s="12">
        <f>IF('Données projet'!$A$166&gt;35,DO45+DN46-DW45,IF(A46&lt;'Données projet'!$A$166,$DL$205^A46,IF(A46='Données projet'!$A$166,'Données projet'!$B$166,DO45+DN46-DW45)))</f>
        <v>130.12428571428572</v>
      </c>
      <c r="DP46" s="17">
        <f>DO46*VLOOKUP('Données projet'!$B$14,Paramètres!$A$1:$I$89,3,0)*VLOOKUP('Données projet'!$B$14,Paramètres!$A$1:$I$89,5,0)</f>
        <v>125.85620914285717</v>
      </c>
      <c r="DQ46" s="13">
        <f t="shared" si="43"/>
        <v>33.037053181677621</v>
      </c>
      <c r="DR46" s="20">
        <f t="shared" si="16"/>
        <v>276.73909854856475</v>
      </c>
      <c r="DS46" s="59">
        <f t="shared" si="17"/>
        <v>526.88028001499674</v>
      </c>
      <c r="DT46" s="59">
        <f ca="1">AVERAGE(OFFSET($DS$3,0,0,'Données projet'!$E$14+1,1))-AVERAGE(OFFSET($H$3,0,0,'Données projet'!$E$14+1,1))</f>
        <v>493.03862850474161</v>
      </c>
      <c r="DU46" s="59">
        <f t="shared" si="44"/>
        <v>312.51819065560528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22.826193828319624</v>
      </c>
      <c r="EC46" s="21">
        <f>EXP(-LN(2)/2)*EC45+(1-EXP(-LN(2)/2))/(LN(2)/2)*DW46*DZ46*VLOOKUP('Données projet'!$B$14,Paramètres!$A$1:$I$89,3,0)*0.475*44/12</f>
        <v>2.3091737117405864</v>
      </c>
      <c r="ED46" s="22">
        <f t="shared" si="18"/>
        <v>25.135367540060212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9.8128571428571423</v>
      </c>
      <c r="EJ46" s="12">
        <f>IF('Données projet'!$A$192&gt;35,EJ45+EI46-ER45,IF(A46&lt;'Données projet'!$A$192,$EG$205^A46,IF(A46='Données projet'!$A$192,'Données projet'!$B$192,EJ45+EI46-ER45)))</f>
        <v>130.12428571428572</v>
      </c>
      <c r="EK46" s="17">
        <f>EJ46*VLOOKUP('Données projet'!$B$15,Paramètres!$A$1:$I$89,3,0)*VLOOKUP('Données projet'!$B$15,Paramètres!$A$1:$I$89,5,0)</f>
        <v>140.06578114285713</v>
      </c>
      <c r="EL46" s="13">
        <f t="shared" si="45"/>
        <v>36.312074619085465</v>
      </c>
      <c r="EM46" s="20">
        <f t="shared" si="19"/>
        <v>307.1914321187167</v>
      </c>
      <c r="EN46" s="59">
        <f t="shared" si="20"/>
        <v>557.33261358514869</v>
      </c>
      <c r="EO46" s="59">
        <f ca="1">AVERAGE(OFFSET($EN$3,0,0,'Données projet'!$E$15+1,1))-AVERAGE(OFFSET($H$3,0,0,'Données projet'!$E$15+1,1))</f>
        <v>539.72194201710272</v>
      </c>
      <c r="EP46" s="59">
        <f t="shared" si="46"/>
        <v>340.76505385159362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25.403344744420231</v>
      </c>
      <c r="EX46" s="21">
        <f>EXP(-LN(2)/2)*EX45+(1-EXP(-LN(2)/2))/(LN(2)/2)*ER46*EU46*VLOOKUP('Données projet'!$B$15,Paramètres!$A$1:$I$89,3,0)*0.475*44/12</f>
        <v>2.5698868727435569</v>
      </c>
      <c r="EY46" s="22">
        <f t="shared" si="21"/>
        <v>27.973231617163787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9.8000000000000007</v>
      </c>
      <c r="FE46" s="12">
        <f>IF('Données projet'!$A$218&gt;35,FE45+FD46-FM45,IF(A46&lt;'Données projet'!$A$218,$FB$205^A46,IF(A46='Données projet'!$A$218,'Données projet'!$B$218,FE45+FD46-FM45)))</f>
        <v>222.40000000000003</v>
      </c>
      <c r="FF46" s="17">
        <f>FE46*VLOOKUP('Données projet'!$B$16,Paramètres!$A$1:$I$89,3,0)*VLOOKUP('Données projet'!$B$16,Paramètres!$A$1:$I$89,5,0)</f>
        <v>180.41088000000005</v>
      </c>
      <c r="FG46" s="13">
        <f t="shared" si="47"/>
        <v>45.413587262495575</v>
      </c>
      <c r="FH46" s="20">
        <f t="shared" si="22"/>
        <v>393.31094714884654</v>
      </c>
      <c r="FI46" s="59">
        <f t="shared" si="23"/>
        <v>643.45212861527853</v>
      </c>
      <c r="FJ46" s="59">
        <f ca="1">AVERAGE(OFFSET($FI$3,0,0,'Données projet'!$E$16+1,1))-AVERAGE(OFFSET($H$3,0,0,'Données projet'!$E$16+1,1))</f>
        <v>383.47860767209028</v>
      </c>
      <c r="FK46" s="59">
        <f t="shared" si="48"/>
        <v>370.49129421395628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10.6829613755304</v>
      </c>
      <c r="FR46" s="21">
        <f>EXP(-LN(2)/25)*FR45+(1-EXP(-LN(2)/25))/(LN(2)/25)*Calculateur!FM46*Calculateur!FO46*VLOOKUP('Données projet'!$B$16,Paramètres!$A$1:$I$89,3,0)*0.475*44/12</f>
        <v>16.465353650965483</v>
      </c>
      <c r="FS46" s="21">
        <f>EXP(-LN(2)/2)*FS45+(1-EXP(-LN(2)/2))/(LN(2)/2)*FM46*FP46*VLOOKUP('Données projet'!$B$16,Paramètres!$A$1:$I$89,3,0)*0.475*44/12</f>
        <v>2.8761338533222345</v>
      </c>
      <c r="FT46" s="22">
        <f t="shared" si="24"/>
        <v>30.024448879818117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3.3603333333333336</v>
      </c>
      <c r="FZ46" s="12">
        <f>IF('Données projet'!$A$244&gt;35,FZ45+FY46-GH45,IF(A46&lt;'Données projet'!$A$244,$FW$205^A46,IF(A46='Données projet'!$A$244,'Données projet'!$B$244,FZ45+FY46-GH45)))</f>
        <v>144.49433333333329</v>
      </c>
      <c r="GA46" s="17">
        <f>FZ46*VLOOKUP('Données projet'!$B$17,Paramètres!$A$1:$I$89,3,0)*VLOOKUP('Données projet'!$B$17,Paramètres!$A$1:$I$89,5,0)</f>
        <v>164.55014679999996</v>
      </c>
      <c r="GB46" s="13">
        <f t="shared" si="49"/>
        <v>41.867132786511242</v>
      </c>
      <c r="GC46" s="20">
        <f t="shared" si="25"/>
        <v>359.5100952798403</v>
      </c>
      <c r="GD46" s="59">
        <f t="shared" si="26"/>
        <v>609.65127674627229</v>
      </c>
      <c r="GE46" s="59">
        <f ca="1">AVERAGE(OFFSET($GD$3,0,0,'Données projet'!$E$17+1,1))-AVERAGE(OFFSET($H$3,0,0,'Données projet'!$E$17+1,1))</f>
        <v>640.05156427113661</v>
      </c>
      <c r="GF46" s="59">
        <f t="shared" si="50"/>
        <v>308.77220155372902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0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218.51</v>
      </c>
      <c r="L47" s="12">
        <f>VLOOKUP(A47,'Données projet'!$A$35:$I$55,9,0)</f>
        <v>13.987142857142857</v>
      </c>
      <c r="M47" s="12">
        <f t="array" ref="M47">INDEX(L:L,MIN(IF(ISNUMBER(L47:L243),ROW(L47:L243),"")))</f>
        <v>13.987142857142857</v>
      </c>
      <c r="N47" s="13">
        <f>IF('Données projet'!$A$36&gt;35,N46+M47-V46,IF(A47&lt;'Données projet'!$A$36,$K$205^A47,IF(A47='Données projet'!$A$36,'Données projet'!$B$36,N46+M47-V46)))</f>
        <v>218.51</v>
      </c>
      <c r="O47" s="13">
        <f>N47*VLOOKUP('Données projet'!$B$9,Paramètres!$A$1:$I$89,3,0)*VLOOKUP('Données projet'!$B$9,Paramètres!$A$1:$I$89,5,0)</f>
        <v>184.07282400000003</v>
      </c>
      <c r="P47" s="13">
        <f t="shared" si="33"/>
        <v>46.227131136084815</v>
      </c>
      <c r="Q47" s="20">
        <f t="shared" si="53"/>
        <v>401.10575519534768</v>
      </c>
      <c r="R47" s="59">
        <f t="shared" si="0"/>
        <v>651.99622393348511</v>
      </c>
      <c r="S47" s="59">
        <f ca="1">AVERAGE(OFFSET($R$3,0,0,'Données projet'!$E$9+1,1))-AVERAGE(OFFSET($H$3,0,0,'Données projet'!$E$9+1,1))</f>
        <v>456.35333554128226</v>
      </c>
      <c r="T47" s="59">
        <f t="shared" si="34"/>
        <v>296.4517290984877</v>
      </c>
      <c r="U47" s="15">
        <f>IF(ISNA(VLOOKUP(A47,'Données projet'!$A$35:$I$55,3,0)),0,VLOOKUP(A47,'Données projet'!$A$35:$I$55,3,0))</f>
        <v>3</v>
      </c>
      <c r="V47" s="15">
        <f>IF(ISNA(VLOOKUP(A47,'Données projet'!$A$35:$I$55,4,0)),0,VLOOKUP(A47,'Données projet'!$A$35:$I$55,4,0))</f>
        <v>56.45999999999998</v>
      </c>
      <c r="W47" s="16">
        <f>IF(ISNA(VLOOKUP(A47,'Données projet'!$A$35:$I$55,5,0)),0%,VLOOKUP(A47,'Données projet'!$A$35:$I$55,5,0)*VLOOKUP('Données projet'!$B$9,Paramètres!$A$1:$I$89,7,0))</f>
        <v>0.15049999999999999</v>
      </c>
      <c r="X47" s="16">
        <f>IF(ISNA(VLOOKUP(A47,'Données projet'!$A$35:$I$55,6,0)),0%,VLOOKUP(A47,'Données projet'!$A$35:$I$55,6,0)*VLOOKUP('Données projet'!$B$9,Paramètres!$A$1:$I$89,7,0))</f>
        <v>8.6000000000000007E-2</v>
      </c>
      <c r="Y47" s="16">
        <f>IF(ISNA(VLOOKUP(A47,'Données projet'!$A$35:$I$55,7,0)),0%,VLOOKUP(A47,'Données projet'!$A$35:$I$55,7,0))</f>
        <v>0.1</v>
      </c>
      <c r="Z47" s="21">
        <f>EXP(-LN(2)/35)*Z46+(1-EXP(-LN(2)/35))/(LN(2)/35)*V47*W47*VLOOKUP('Données projet'!$B$9,Paramètres!$A$1:$I$89,3,0)*0.475*44/12</f>
        <v>7.9130305479615517</v>
      </c>
      <c r="AA47" s="21">
        <f>EXP(-LN(2)/25)*AA46+(1-EXP(-LN(2)/25))/(LN(2)/25)*Calculateur!V47*Calculateur!X47*VLOOKUP('Données projet'!$B$9,Paramètres!$A$1:$I$89,3,0)*0.475*44/12</f>
        <v>30.673474153623289</v>
      </c>
      <c r="AB47" s="21">
        <f>EXP(-LN(2)/2)*AB46+(1-EXP(-LN(2)/2))/(LN(2)/2)*V47*Y47*VLOOKUP('Données projet'!$B$9,Paramètres!$A$1:$I$89,3,0)*0.475*44/12</f>
        <v>5.2197926897069191</v>
      </c>
      <c r="AC47" s="22">
        <f t="shared" si="3"/>
        <v>43.806297391291764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232.20000000000005</v>
      </c>
      <c r="AJ47" s="13">
        <f>AI47*VLOOKUP('Données projet'!$B$10,Paramètres!$A$1:$I$89,3,0)*VLOOKUP('Données projet'!$B$10,Paramètres!$A$1:$I$89,5,0)</f>
        <v>202.84992000000005</v>
      </c>
      <c r="AK47" s="13">
        <f t="shared" si="35"/>
        <v>50.369977187686075</v>
      </c>
      <c r="AL47" s="20">
        <f t="shared" si="4"/>
        <v>441.02465426855332</v>
      </c>
      <c r="AM47" s="59">
        <f t="shared" si="5"/>
        <v>691.91512300669069</v>
      </c>
      <c r="AN47" s="59">
        <f ca="1">AVERAGE(OFFSET($AM$3,0,0,'Données projet'!$E$10+1,1))-AVERAGE(OFFSET($H$3,0,0,'Données projet'!$E$10+1,1))</f>
        <v>408.246209980743</v>
      </c>
      <c r="AO47" s="59">
        <f t="shared" si="36"/>
        <v>394.10236303013903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11.279126943451546</v>
      </c>
      <c r="AV47" s="21">
        <f>EXP(-LN(2)/25)*AV46+(1-EXP(-LN(2)/25))/(LN(2)/25)*Calculateur!AQ47*Calculateur!AS47*VLOOKUP('Données projet'!$B$10,Paramètres!$A$1:$I$89,3,0)*0.475*44/12</f>
        <v>17.247039050235617</v>
      </c>
      <c r="AW47" s="21">
        <f>EXP(-LN(2)/2)*AW46+(1-EXP(-LN(2)/2))/(LN(2)/2)*AQ47*AT47*VLOOKUP('Données projet'!$B$10,Paramètres!$A$1:$I$89,3,0)*0.475*44/12</f>
        <v>2.1901748090754518</v>
      </c>
      <c r="AX47" s="21">
        <f t="shared" si="6"/>
        <v>30.716340802762616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3.3603333333333336</v>
      </c>
      <c r="BD47" s="12">
        <f>IF('Données projet'!$A$88&gt;35,BD46+BC47-BL46,IF(A47&lt;'Données projet'!$A$88,$BA$205^A47,IF(A47='Données projet'!$A$88,'Données projet'!$B$88,BD46+BC47-BL46)))</f>
        <v>147.85466666666662</v>
      </c>
      <c r="BE47" s="13">
        <f>BD47*VLOOKUP('Données projet'!$B$11,Paramètres!$A$1:$I$89,3,0)*VLOOKUP('Données projet'!$B$11,Paramètres!$A$1:$I$89,5,0)</f>
        <v>149.92463199999995</v>
      </c>
      <c r="BF47" s="13">
        <f t="shared" si="37"/>
        <v>38.561457471452059</v>
      </c>
      <c r="BG47" s="20">
        <f t="shared" si="7"/>
        <v>328.27993916277887</v>
      </c>
      <c r="BH47" s="59">
        <f t="shared" si="8"/>
        <v>579.1704079009163</v>
      </c>
      <c r="BI47" s="59">
        <f ca="1">AVERAGE(OFFSET($BH$3,0,0,'Données projet'!$E$11+1,1))-AVERAGE(OFFSET($H$3,0,0,'Données projet'!$E$11+1,1))</f>
        <v>580.02848304986492</v>
      </c>
      <c r="BJ47" s="59">
        <f t="shared" si="38"/>
        <v>281.68891895586728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230</v>
      </c>
      <c r="BW47" s="12">
        <f>VLOOKUP(A47,'Données projet'!$A$113:$I$133,9,0)</f>
        <v>11.142857142857142</v>
      </c>
      <c r="BX47" s="12">
        <f t="array" ref="BX47">INDEX(BW:BW,MIN(IF(ISNUMBER(BW47:BW243),ROW(BW47:BW243),"")))</f>
        <v>11.142857142857142</v>
      </c>
      <c r="BY47" s="12">
        <f>IF('Données projet'!$A$114&gt;35,BY46+BX47-CG46,IF(A47&lt;'Données projet'!$A$114,$BV$205^A47,IF(A47='Données projet'!$A$114,'Données projet'!$B$114,BY46+BX47-CG46)))</f>
        <v>229.99999999999991</v>
      </c>
      <c r="BZ47" s="13">
        <f>BY47*VLOOKUP('Données projet'!$B$12,Paramètres!$A$1:$I$89,3,0)*VLOOKUP('Données projet'!$B$12,Paramètres!$A$1:$I$89,5,0)</f>
        <v>179.39999999999995</v>
      </c>
      <c r="CA47" s="13">
        <f t="shared" si="39"/>
        <v>45.188671291872232</v>
      </c>
      <c r="CB47" s="20">
        <f t="shared" si="10"/>
        <v>391.15860250001066</v>
      </c>
      <c r="CC47" s="59">
        <f t="shared" si="11"/>
        <v>642.04907123814814</v>
      </c>
      <c r="CD47" s="59">
        <f ca="1">AVERAGE(OFFSET($CC$3,0,0,'Données projet'!$E$12+1,1))-AVERAGE(OFFSET($H$3,0,0,'Données projet'!$E$12+1,1))</f>
        <v>308.85018589589453</v>
      </c>
      <c r="CE47" s="59">
        <f t="shared" si="40"/>
        <v>302.59481222418219</v>
      </c>
      <c r="CF47" s="15">
        <f>IF(ISNA(VLOOKUP(A47,'Données projet'!$A$113:$I$133,3,0)),0,VLOOKUP(A47,'Données projet'!$A$113:$I$133,3,0))</f>
        <v>6</v>
      </c>
      <c r="CG47" s="15">
        <f>IF(ISNA(VLOOKUP(A47,'Données projet'!$A$113:$I$133,4,0)),0,VLOOKUP(A47,'Données projet'!$A$113:$I$133,4,0))</f>
        <v>43</v>
      </c>
      <c r="CH47" s="16">
        <f>IF(ISNA(VLOOKUP(A47,'Données projet'!$A$113:$I$133,5,0)),0%,VLOOKUP(A47,'Données projet'!$A$113:$I$133,5,0)*VLOOKUP('Données projet'!$B$12,Paramètres!$A$1:$I$89,7,0))</f>
        <v>0.1075</v>
      </c>
      <c r="CI47" s="16">
        <f>IF(ISNA(VLOOKUP(A47,'Données projet'!$A$113:$I$133,6,0)),0%,VLOOKUP(A47,'Données projet'!$A$113:$I$133,6,0)*VLOOKUP('Données projet'!$B$12,Paramètres!$A$1:$I$89,7,0))</f>
        <v>0.1075</v>
      </c>
      <c r="CJ47" s="16">
        <f>IF(ISNA(VLOOKUP(A47,'Données projet'!$A$113:$I$133,7,0)),0%,VLOOKUP(A47,'Données projet'!$A$113:$I$133,7,0))</f>
        <v>0.25</v>
      </c>
      <c r="CK47" s="21">
        <f>EXP(-LN(2)/35)*CK46+(1-EXP(-LN(2)/35))/(LN(2)/35)*CG47*CH47*VLOOKUP('Données projet'!$B$12,Paramètres!$A$1:$I$89,3,0)*0.475*44/12</f>
        <v>9.4703680189175241</v>
      </c>
      <c r="CL47" s="21">
        <f>EXP(-LN(2)/25)*CL46+(1-EXP(-LN(2)/25))/(LN(2)/25)*Calculateur!CG47*Calculateur!CI47*VLOOKUP('Données projet'!$B$12,Paramètres!$A$1:$I$89,3,0)*0.475*44/12</f>
        <v>11.808106993206977</v>
      </c>
      <c r="CM47" s="21">
        <f>EXP(-LN(2)/2)*CM46+(1-EXP(-LN(2)/2))/(LN(2)/2)*CG47*CJ47*VLOOKUP('Données projet'!$B$12,Paramètres!$A$1:$I$89,3,0)*0.475*44/12</f>
        <v>8.5781067706277199</v>
      </c>
      <c r="CN47" s="22">
        <f t="shared" si="12"/>
        <v>29.856581782752222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6.7948717948717956</v>
      </c>
      <c r="CT47" s="12">
        <f>IF('Données projet'!$A$140&gt;35,CT46+CS47-DB46,IF(A47&lt;'Données projet'!$A$140,$CQ$205^A47,IF(A47='Données projet'!$A$140,'Données projet'!$B$140,CT46+CS47-DB46)))</f>
        <v>183.58974358974362</v>
      </c>
      <c r="CU47" s="17">
        <f>CT47*VLOOKUP('Données projet'!$B$13,Paramètres!$A$1:$I$89,3,0)*VLOOKUP('Données projet'!$B$13,Paramètres!$A$1:$I$89,5,0)</f>
        <v>123.15200000000002</v>
      </c>
      <c r="CV47" s="13">
        <f t="shared" si="41"/>
        <v>32.409038525483382</v>
      </c>
      <c r="CW47" s="20">
        <f t="shared" si="13"/>
        <v>270.93547543188362</v>
      </c>
      <c r="CX47" s="59">
        <f t="shared" si="14"/>
        <v>521.8259441700211</v>
      </c>
      <c r="CY47" s="59">
        <f ca="1">AVERAGE(OFFSET($CX$3,0,0,'Données projet'!$E$13+1,1))-AVERAGE(OFFSET($H$3,0,0,'Données projet'!$E$13+1,1))</f>
        <v>335.73816489539837</v>
      </c>
      <c r="CZ47" s="59">
        <f t="shared" si="42"/>
        <v>254.09787950201044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6.0271175792072258</v>
      </c>
      <c r="DH47" s="21">
        <f>EXP(-LN(2)/2)*DH46+(1-EXP(-LN(2)/2))/(LN(2)/2)*DB47*DE47*VLOOKUP('Données projet'!$B$13,Paramètres!$A$1:$I$89,3,0)*0.475*44/12</f>
        <v>0.83039593543356272</v>
      </c>
      <c r="DI47" s="22">
        <f t="shared" si="15"/>
        <v>6.8575135146407886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9.8128571428571423</v>
      </c>
      <c r="DO47" s="12">
        <f>IF('Données projet'!$A$166&gt;35,DO46+DN47-DW46,IF(A47&lt;'Données projet'!$A$166,$DL$205^A47,IF(A47='Données projet'!$A$166,'Données projet'!$B$166,DO46+DN47-DW46)))</f>
        <v>139.93714285714287</v>
      </c>
      <c r="DP47" s="17">
        <f>DO47*VLOOKUP('Données projet'!$B$14,Paramètres!$A$1:$I$89,3,0)*VLOOKUP('Données projet'!$B$14,Paramètres!$A$1:$I$89,5,0)</f>
        <v>135.34720457142859</v>
      </c>
      <c r="DQ47" s="13">
        <f t="shared" si="43"/>
        <v>35.229027762811612</v>
      </c>
      <c r="DR47" s="20">
        <f t="shared" si="16"/>
        <v>297.08693798213505</v>
      </c>
      <c r="DS47" s="59">
        <f t="shared" si="17"/>
        <v>547.97740672027248</v>
      </c>
      <c r="DT47" s="59">
        <f ca="1">AVERAGE(OFFSET($DS$3,0,0,'Données projet'!$E$14+1,1))-AVERAGE(OFFSET($H$3,0,0,'Données projet'!$E$14+1,1))</f>
        <v>493.03862850474161</v>
      </c>
      <c r="DU47" s="59">
        <f t="shared" si="44"/>
        <v>312.51819065560528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22.202010357706861</v>
      </c>
      <c r="EC47" s="21">
        <f>EXP(-LN(2)/2)*EC46+(1-EXP(-LN(2)/2))/(LN(2)/2)*DW47*DZ47*VLOOKUP('Données projet'!$B$14,Paramètres!$A$1:$I$89,3,0)*0.475*44/12</f>
        <v>1.6328323905094786</v>
      </c>
      <c r="ED47" s="22">
        <f t="shared" si="18"/>
        <v>23.834842748216339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9.8128571428571423</v>
      </c>
      <c r="EJ47" s="12">
        <f>IF('Données projet'!$A$192&gt;35,EJ46+EI47-ER46,IF(A47&lt;'Données projet'!$A$192,$EG$205^A47,IF(A47='Données projet'!$A$192,'Données projet'!$B$192,EJ46+EI47-ER46)))</f>
        <v>139.93714285714287</v>
      </c>
      <c r="EK47" s="17">
        <f>EJ47*VLOOKUP('Données projet'!$B$15,Paramètres!$A$1:$I$89,3,0)*VLOOKUP('Données projet'!$B$15,Paramètres!$A$1:$I$89,5,0)</f>
        <v>150.62834057142859</v>
      </c>
      <c r="EL47" s="13">
        <f t="shared" si="45"/>
        <v>38.721343512275389</v>
      </c>
      <c r="EM47" s="20">
        <f t="shared" si="19"/>
        <v>329.78403311245108</v>
      </c>
      <c r="EN47" s="59">
        <f t="shared" si="20"/>
        <v>580.67450185058851</v>
      </c>
      <c r="EO47" s="59">
        <f ca="1">AVERAGE(OFFSET($EN$3,0,0,'Données projet'!$E$15+1,1))-AVERAGE(OFFSET($H$3,0,0,'Données projet'!$E$15+1,1))</f>
        <v>539.72194201710272</v>
      </c>
      <c r="EP47" s="59">
        <f t="shared" si="46"/>
        <v>340.76505385159362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24.708688946480219</v>
      </c>
      <c r="EX47" s="21">
        <f>EXP(-LN(2)/2)*EX46+(1-EXP(-LN(2)/2))/(LN(2)/2)*ER47*EU47*VLOOKUP('Données projet'!$B$15,Paramètres!$A$1:$I$89,3,0)*0.475*44/12</f>
        <v>1.8171844345992594</v>
      </c>
      <c r="EY47" s="22">
        <f t="shared" si="21"/>
        <v>26.525873381079478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9.8000000000000007</v>
      </c>
      <c r="FE47" s="12">
        <f>IF('Données projet'!$A$218&gt;35,FE46+FD47-FM46,IF(A47&lt;'Données projet'!$A$218,$FB$205^A47,IF(A47='Données projet'!$A$218,'Données projet'!$B$218,FE46+FD47-FM46)))</f>
        <v>232.20000000000005</v>
      </c>
      <c r="FF47" s="17">
        <f>FE47*VLOOKUP('Données projet'!$B$16,Paramètres!$A$1:$I$89,3,0)*VLOOKUP('Données projet'!$B$16,Paramètres!$A$1:$I$89,5,0)</f>
        <v>188.36064000000005</v>
      </c>
      <c r="FG47" s="13">
        <f t="shared" si="47"/>
        <v>47.177331040995796</v>
      </c>
      <c r="FH47" s="20">
        <f t="shared" si="22"/>
        <v>410.22863289640105</v>
      </c>
      <c r="FI47" s="59">
        <f t="shared" si="23"/>
        <v>661.11910163453854</v>
      </c>
      <c r="FJ47" s="59">
        <f ca="1">AVERAGE(OFFSET($FI$3,0,0,'Données projet'!$E$16+1,1))-AVERAGE(OFFSET($H$3,0,0,'Données projet'!$E$16+1,1))</f>
        <v>383.47860767209028</v>
      </c>
      <c r="FK47" s="59">
        <f t="shared" si="48"/>
        <v>370.49129421395628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10.47347501891929</v>
      </c>
      <c r="FR47" s="21">
        <f>EXP(-LN(2)/25)*FR46+(1-EXP(-LN(2)/25))/(LN(2)/25)*Calculateur!FM47*Calculateur!FO47*VLOOKUP('Données projet'!$B$16,Paramètres!$A$1:$I$89,3,0)*0.475*44/12</f>
        <v>16.015107689504514</v>
      </c>
      <c r="FS47" s="21">
        <f>EXP(-LN(2)/2)*FS46+(1-EXP(-LN(2)/2))/(LN(2)/2)*FM47*FP47*VLOOKUP('Données projet'!$B$16,Paramètres!$A$1:$I$89,3,0)*0.475*44/12</f>
        <v>2.033733751284347</v>
      </c>
      <c r="FT47" s="22">
        <f t="shared" si="24"/>
        <v>28.522316459708154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3.3603333333333336</v>
      </c>
      <c r="FZ47" s="12">
        <f>IF('Données projet'!$A$244&gt;35,FZ46+FY47-GH46,IF(A47&lt;'Données projet'!$A$244,$FW$205^A47,IF(A47='Données projet'!$A$244,'Données projet'!$B$244,FZ46+FY47-GH46)))</f>
        <v>147.85466666666662</v>
      </c>
      <c r="GA47" s="17">
        <f>FZ47*VLOOKUP('Données projet'!$B$17,Paramètres!$A$1:$I$89,3,0)*VLOOKUP('Données projet'!$B$17,Paramètres!$A$1:$I$89,5,0)</f>
        <v>168.37689439999994</v>
      </c>
      <c r="GB47" s="13">
        <f t="shared" si="49"/>
        <v>42.726299203325233</v>
      </c>
      <c r="GC47" s="20">
        <f t="shared" si="25"/>
        <v>367.6713955257913</v>
      </c>
      <c r="GD47" s="59">
        <f t="shared" si="26"/>
        <v>618.56186426392878</v>
      </c>
      <c r="GE47" s="59">
        <f ca="1">AVERAGE(OFFSET($GD$3,0,0,'Données projet'!$E$17+1,1))-AVERAGE(OFFSET($H$3,0,0,'Données projet'!$E$17+1,1))</f>
        <v>640.05156427113661</v>
      </c>
      <c r="GF47" s="59">
        <f t="shared" si="50"/>
        <v>308.77220155372902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0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14.224285714285713</v>
      </c>
      <c r="N48" s="13">
        <f>IF('Données projet'!$A$36&gt;35,N47+M48-V47,IF(A48&lt;'Données projet'!$A$36,$K$205^A48,IF(A48='Données projet'!$A$36,'Données projet'!$B$36,N47+M48-V47)))</f>
        <v>176.27428571428572</v>
      </c>
      <c r="O48" s="13">
        <f>N48*VLOOKUP('Données projet'!$B$9,Paramètres!$A$1:$I$89,3,0)*VLOOKUP('Données projet'!$B$9,Paramètres!$A$1:$I$89,5,0)</f>
        <v>148.4934582857143</v>
      </c>
      <c r="P48" s="13">
        <f t="shared" si="33"/>
        <v>38.236017731685749</v>
      </c>
      <c r="Q48" s="20">
        <f t="shared" si="53"/>
        <v>325.22050406363837</v>
      </c>
      <c r="R48" s="59">
        <f t="shared" si="0"/>
        <v>576.84726161447247</v>
      </c>
      <c r="S48" s="59">
        <f ca="1">AVERAGE(OFFSET($R$3,0,0,'Données projet'!$E$9+1,1))-AVERAGE(OFFSET($H$3,0,0,'Données projet'!$E$9+1,1))</f>
        <v>456.35333554128226</v>
      </c>
      <c r="T48" s="59">
        <f t="shared" si="34"/>
        <v>296.4517290984877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7.7578608453880857</v>
      </c>
      <c r="AA48" s="21">
        <f>EXP(-LN(2)/25)*AA47+(1-EXP(-LN(2)/25))/(LN(2)/25)*Calculateur!V48*Calculateur!X48*VLOOKUP('Données projet'!$B$9,Paramètres!$A$1:$I$89,3,0)*0.475*44/12</f>
        <v>29.834706389844559</v>
      </c>
      <c r="AB48" s="21">
        <f>EXP(-LN(2)/2)*AB47+(1-EXP(-LN(2)/2))/(LN(2)/2)*V48*Y48*VLOOKUP('Données projet'!$B$9,Paramètres!$A$1:$I$89,3,0)*0.475*44/12</f>
        <v>3.690950807279731</v>
      </c>
      <c r="AC48" s="22">
        <f t="shared" si="3"/>
        <v>41.283518042512377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242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242.00000000000006</v>
      </c>
      <c r="AJ48" s="13">
        <f>AI48*VLOOKUP('Données projet'!$B$10,Paramètres!$A$1:$I$89,3,0)*VLOOKUP('Données projet'!$B$10,Paramètres!$A$1:$I$89,5,0)</f>
        <v>211.41120000000006</v>
      </c>
      <c r="AK48" s="13">
        <f t="shared" si="35"/>
        <v>52.243848094411156</v>
      </c>
      <c r="AL48" s="20">
        <f t="shared" si="4"/>
        <v>459.19920876443285</v>
      </c>
      <c r="AM48" s="59">
        <f t="shared" si="5"/>
        <v>710.82596631526701</v>
      </c>
      <c r="AN48" s="59">
        <f ca="1">AVERAGE(OFFSET($AM$3,0,0,'Données projet'!$E$10+1,1))-AVERAGE(OFFSET($H$3,0,0,'Données projet'!$E$10+1,1))</f>
        <v>408.246209980743</v>
      </c>
      <c r="AO48" s="59">
        <f t="shared" si="36"/>
        <v>394.10236303013903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24</v>
      </c>
      <c r="AR48" s="16">
        <f>IF(ISNA(VLOOKUP(A48,'Données projet'!$A$61:$I$81,5,0)),0%,VLOOKUP(A48,'Données projet'!$A$61:$I$81,5,0)*VLOOKUP('Données projet'!$B$10,Paramètres!$A$1:$I$89,7,0))</f>
        <v>0.13250000000000001</v>
      </c>
      <c r="AS48" s="16">
        <f>IF(ISNA(VLOOKUP(A48,'Données projet'!$A$61:$I$81,6,0)),0%,VLOOKUP(A48,'Données projet'!$A$61:$I$81,6,0)*VLOOKUP('Données projet'!$B$10,Paramètres!$A$1:$I$89,7,0))</f>
        <v>0.13250000000000001</v>
      </c>
      <c r="AT48" s="16">
        <f>IF(ISNA(VLOOKUP(A48,'Données projet'!$A$61:$I$81,7,0)),0%,VLOOKUP(A48,'Données projet'!$A$61:$I$81,7,0))</f>
        <v>0.25</v>
      </c>
      <c r="AU48" s="21">
        <f>EXP(-LN(2)/35)*AU47+(1-EXP(-LN(2)/35))/(LN(2)/35)*AQ48*AR48*VLOOKUP('Données projet'!$B$10,Paramètres!$A$1:$I$89,3,0)*0.475*44/12</f>
        <v>14.128999920599348</v>
      </c>
      <c r="AV48" s="21">
        <f>EXP(-LN(2)/25)*AV47+(1-EXP(-LN(2)/25))/(LN(2)/25)*Calculateur!AQ48*Calculateur!AS48*VLOOKUP('Données projet'!$B$10,Paramètres!$A$1:$I$89,3,0)*0.475*44/12</f>
        <v>19.834375744211872</v>
      </c>
      <c r="AW48" s="21">
        <f>EXP(-LN(2)/2)*AW47+(1-EXP(-LN(2)/2))/(LN(2)/2)*AQ48*AT48*VLOOKUP('Données projet'!$B$10,Paramètres!$A$1:$I$89,3,0)*0.475*44/12</f>
        <v>6.494278135076808</v>
      </c>
      <c r="AX48" s="21">
        <f t="shared" si="6"/>
        <v>40.457653799888035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3.3603333333333336</v>
      </c>
      <c r="BD48" s="12">
        <f>IF('Données projet'!$A$88&gt;35,BD47+BC48-BL47,IF(A48&lt;'Données projet'!$A$88,$BA$205^A48,IF(A48='Données projet'!$A$88,'Données projet'!$B$88,BD47+BC48-BL47)))</f>
        <v>151.21499999999995</v>
      </c>
      <c r="BE48" s="13">
        <f>BD48*VLOOKUP('Données projet'!$B$11,Paramètres!$A$1:$I$89,3,0)*VLOOKUP('Données projet'!$B$11,Paramètres!$A$1:$I$89,5,0)</f>
        <v>153.33200999999997</v>
      </c>
      <c r="BF48" s="13">
        <f t="shared" si="37"/>
        <v>39.334825910514574</v>
      </c>
      <c r="BG48" s="20">
        <f t="shared" si="7"/>
        <v>335.5614058774795</v>
      </c>
      <c r="BH48" s="59">
        <f t="shared" si="8"/>
        <v>587.1881634283136</v>
      </c>
      <c r="BI48" s="59">
        <f ca="1">AVERAGE(OFFSET($BH$3,0,0,'Données projet'!$E$11+1,1))-AVERAGE(OFFSET($H$3,0,0,'Données projet'!$E$11+1,1))</f>
        <v>580.02848304986492</v>
      </c>
      <c r="BJ48" s="59">
        <f t="shared" si="38"/>
        <v>281.68891895586728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10.375</v>
      </c>
      <c r="BY48" s="12">
        <f>IF('Données projet'!$A$114&gt;35,BY47+BX48-CG47,IF(A48&lt;'Données projet'!$A$114,$BV$205^A48,IF(A48='Données projet'!$A$114,'Données projet'!$B$114,BY47+BX48-CG47)))</f>
        <v>197.37499999999991</v>
      </c>
      <c r="BZ48" s="13">
        <f>BY48*VLOOKUP('Données projet'!$B$12,Paramètres!$A$1:$I$89,3,0)*VLOOKUP('Données projet'!$B$12,Paramètres!$A$1:$I$89,5,0)</f>
        <v>153.95249999999993</v>
      </c>
      <c r="CA48" s="13">
        <f t="shared" si="39"/>
        <v>39.475441267837361</v>
      </c>
      <c r="CB48" s="20">
        <f t="shared" si="10"/>
        <v>336.88699770814992</v>
      </c>
      <c r="CC48" s="59">
        <f t="shared" si="11"/>
        <v>588.51375525898402</v>
      </c>
      <c r="CD48" s="59">
        <f ca="1">AVERAGE(OFFSET($CC$3,0,0,'Données projet'!$E$12+1,1))-AVERAGE(OFFSET($H$3,0,0,'Données projet'!$E$12+1,1))</f>
        <v>308.85018589589453</v>
      </c>
      <c r="CE48" s="59">
        <f t="shared" si="40"/>
        <v>302.59481222418219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9.2846598784206762</v>
      </c>
      <c r="CL48" s="21">
        <f>EXP(-LN(2)/25)*CL47+(1-EXP(-LN(2)/25))/(LN(2)/25)*Calculateur!CG48*Calculateur!CI48*VLOOKUP('Données projet'!$B$12,Paramètres!$A$1:$I$89,3,0)*0.475*44/12</f>
        <v>11.485213686516373</v>
      </c>
      <c r="CM48" s="21">
        <f>EXP(-LN(2)/2)*CM47+(1-EXP(-LN(2)/2))/(LN(2)/2)*CG48*CJ48*VLOOKUP('Données projet'!$B$12,Paramètres!$A$1:$I$89,3,0)*0.475*44/12</f>
        <v>6.0656374672530973</v>
      </c>
      <c r="CN48" s="22">
        <f t="shared" si="12"/>
        <v>26.835511032190148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190.38461538461539</v>
      </c>
      <c r="CR48" s="12">
        <f>VLOOKUP(A48,'Données projet'!$A$139:$I$159,9,0)</f>
        <v>6.7948717948717956</v>
      </c>
      <c r="CS48" s="12">
        <f t="array" ref="CS48">INDEX(CR:CR,MIN(IF(ISNUMBER(CR48:CR244),ROW(CR48:CR244),"")))</f>
        <v>6.7948717948717956</v>
      </c>
      <c r="CT48" s="12">
        <f>IF('Données projet'!$A$140&gt;35,CT47+CS48-DB47,IF(A48&lt;'Données projet'!$A$140,$CQ$205^A48,IF(A48='Données projet'!$A$140,'Données projet'!$B$140,CT47+CS48-DB47)))</f>
        <v>190.38461538461542</v>
      </c>
      <c r="CU48" s="17">
        <f>CT48*VLOOKUP('Données projet'!$B$13,Paramètres!$A$1:$I$89,3,0)*VLOOKUP('Données projet'!$B$13,Paramètres!$A$1:$I$89,5,0)</f>
        <v>127.71000000000002</v>
      </c>
      <c r="CV48" s="13">
        <f t="shared" si="41"/>
        <v>33.466661484162984</v>
      </c>
      <c r="CW48" s="20">
        <f t="shared" si="13"/>
        <v>280.71601875158382</v>
      </c>
      <c r="CX48" s="59">
        <f t="shared" si="14"/>
        <v>532.34277630241797</v>
      </c>
      <c r="CY48" s="59">
        <f ca="1">AVERAGE(OFFSET($CX$3,0,0,'Données projet'!$E$13+1,1))-AVERAGE(OFFSET($H$3,0,0,'Données projet'!$E$13+1,1))</f>
        <v>335.73816489539837</v>
      </c>
      <c r="CZ48" s="59">
        <f t="shared" si="42"/>
        <v>254.09787950201044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16.666666666666668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0.13250000000000001</v>
      </c>
      <c r="DE48" s="16">
        <f>IF(ISNA(VLOOKUP(A48,'Données projet'!$A$139:$I$159,7,0)),0%,VLOOKUP(A48,'Données projet'!$A$139:$I$159,7,0))</f>
        <v>0.25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7.4934464686940059</v>
      </c>
      <c r="DH48" s="21">
        <f>EXP(-LN(2)/2)*DH47+(1-EXP(-LN(2)/2))/(LN(2)/2)*DB48*DE48*VLOOKUP('Données projet'!$B$13,Paramètres!$A$1:$I$89,3,0)*0.475*44/12</f>
        <v>3.2243363233368791</v>
      </c>
      <c r="DI48" s="22">
        <f t="shared" si="15"/>
        <v>10.717782792030885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149.75</v>
      </c>
      <c r="DM48" s="12">
        <f>VLOOKUP(A48,'Données projet'!$A$165:$I$185,9,0)</f>
        <v>9.8128571428571423</v>
      </c>
      <c r="DN48" s="12">
        <f t="array" ref="DN48">INDEX(DM:DM,MIN(IF(ISNUMBER(DM48:DM244),ROW(DM48:DM244),"")))</f>
        <v>9.8128571428571423</v>
      </c>
      <c r="DO48" s="12">
        <f>IF('Données projet'!$A$166&gt;35,DO47+DN48-DW47,IF(A48&lt;'Données projet'!$A$166,$DL$205^A48,IF(A48='Données projet'!$A$166,'Données projet'!$B$166,DO47+DN48-DW47)))</f>
        <v>149.75000000000003</v>
      </c>
      <c r="DP48" s="17">
        <f>DO48*VLOOKUP('Données projet'!$B$14,Paramètres!$A$1:$I$89,3,0)*VLOOKUP('Données projet'!$B$14,Paramètres!$A$1:$I$89,5,0)</f>
        <v>144.83820000000003</v>
      </c>
      <c r="DQ48" s="13">
        <f t="shared" si="43"/>
        <v>37.403168069089475</v>
      </c>
      <c r="DR48" s="20">
        <f t="shared" si="16"/>
        <v>317.4037160536642</v>
      </c>
      <c r="DS48" s="59">
        <f t="shared" si="17"/>
        <v>569.0304736044983</v>
      </c>
      <c r="DT48" s="59">
        <f ca="1">AVERAGE(OFFSET($DS$3,0,0,'Données projet'!$E$14+1,1))-AVERAGE(OFFSET($H$3,0,0,'Données projet'!$E$14+1,1))</f>
        <v>493.03862850474161</v>
      </c>
      <c r="DU48" s="59">
        <f t="shared" si="44"/>
        <v>312.51819065560528</v>
      </c>
      <c r="DV48" s="15">
        <f>IF(ISNA(VLOOKUP(A48,'Données projet'!$A$165:$I$185,3,0)),0,VLOOKUP(A48,'Données projet'!$A$165:$I$185,3,0))</f>
        <v>2</v>
      </c>
      <c r="DW48" s="15">
        <f>IF(ISNA(VLOOKUP(A48,'Données projet'!$A$165:$I$185,4,0)),0,VLOOKUP(A48,'Données projet'!$A$165:$I$185,4,0))</f>
        <v>41.69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0.34400000000000003</v>
      </c>
      <c r="DZ48" s="16">
        <f>IF(ISNA(VLOOKUP(A48,'Données projet'!$A$165:$I$185,7,0)),0%,VLOOKUP(A48,'Données projet'!$A$165:$I$185,7,0))</f>
        <v>0.2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36.868458821181058</v>
      </c>
      <c r="EC48" s="21">
        <f>EXP(-LN(2)/2)*EC47+(1-EXP(-LN(2)/2))/(LN(2)/2)*DW48*DZ48*VLOOKUP('Données projet'!$B$14,Paramètres!$A$1:$I$89,3,0)*0.475*44/12</f>
        <v>8.7636724906714836</v>
      </c>
      <c r="ED48" s="22">
        <f t="shared" si="18"/>
        <v>45.63213131185254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149.75</v>
      </c>
      <c r="EH48" s="12">
        <f>VLOOKUP(A48,'Données projet'!$A$191:$I$211,9,0)</f>
        <v>9.8128571428571423</v>
      </c>
      <c r="EI48" s="12">
        <f t="array" ref="EI48">INDEX(EH:EH,MIN(IF(ISNUMBER(EH48:EH244),ROW(EH48:EH244),"")))</f>
        <v>9.8128571428571423</v>
      </c>
      <c r="EJ48" s="12">
        <f>IF('Données projet'!$A$192&gt;35,EJ47+EI48-ER47,IF(A48&lt;'Données projet'!$A$192,$EG$205^A48,IF(A48='Données projet'!$A$192,'Données projet'!$B$192,EJ47+EI48-ER47)))</f>
        <v>149.75000000000003</v>
      </c>
      <c r="EK48" s="17">
        <f>EJ48*VLOOKUP('Données projet'!$B$15,Paramètres!$A$1:$I$89,3,0)*VLOOKUP('Données projet'!$B$15,Paramètres!$A$1:$I$89,5,0)</f>
        <v>161.19090000000003</v>
      </c>
      <c r="EL48" s="13">
        <f t="shared" si="45"/>
        <v>41.111010187440861</v>
      </c>
      <c r="EM48" s="20">
        <f t="shared" si="19"/>
        <v>352.3424935764595</v>
      </c>
      <c r="EN48" s="59">
        <f t="shared" si="20"/>
        <v>603.96925112729366</v>
      </c>
      <c r="EO48" s="59">
        <f ca="1">AVERAGE(OFFSET($EN$3,0,0,'Données projet'!$E$15+1,1))-AVERAGE(OFFSET($H$3,0,0,'Données projet'!$E$15+1,1))</f>
        <v>539.72194201710272</v>
      </c>
      <c r="EP48" s="59">
        <f t="shared" si="46"/>
        <v>340.76505385159362</v>
      </c>
      <c r="EQ48" s="15">
        <f>IF(ISNA(VLOOKUP(A48,'Données projet'!$A$191:$I$211,3,0)),0,VLOOKUP(A48,'Données projet'!$A$191:$I$211,3,0))</f>
        <v>2</v>
      </c>
      <c r="ER48" s="15">
        <f>IF(ISNA(VLOOKUP(A48,'Données projet'!$A$191:$I$211,4,0)),0,VLOOKUP(A48,'Données projet'!$A$191:$I$211,4,0))</f>
        <v>41.69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0.34400000000000003</v>
      </c>
      <c r="EU48" s="16">
        <f>IF(ISNA(VLOOKUP(A48,'Données projet'!$A$191:$I$211,7,0)),0%,VLOOKUP(A48,'Données projet'!$A$191:$I$211,7,0))</f>
        <v>0.2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41.031026752604731</v>
      </c>
      <c r="EX48" s="21">
        <f>EXP(-LN(2)/2)*EX47+(1-EXP(-LN(2)/2))/(LN(2)/2)*ER48*EU48*VLOOKUP('Données projet'!$B$15,Paramètres!$A$1:$I$89,3,0)*0.475*44/12</f>
        <v>9.7531193847795556</v>
      </c>
      <c r="EY48" s="22">
        <f t="shared" si="21"/>
        <v>50.784146137384283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242</v>
      </c>
      <c r="FC48" s="12">
        <f>VLOOKUP(A48,'Données projet'!$A$217:$I$237,9,0)</f>
        <v>9.8000000000000007</v>
      </c>
      <c r="FD48" s="12">
        <f t="array" ref="FD48">INDEX(FC:FC,MIN(IF(ISNUMBER(FC48:FC244),ROW(FC48:FC244),"")))</f>
        <v>9.8000000000000007</v>
      </c>
      <c r="FE48" s="12">
        <f>IF('Données projet'!$A$218&gt;35,FE47+FD48-FM47,IF(A48&lt;'Données projet'!$A$218,$FB$205^A48,IF(A48='Données projet'!$A$218,'Données projet'!$B$218,FE47+FD48-FM47)))</f>
        <v>242.00000000000006</v>
      </c>
      <c r="FF48" s="17">
        <f>FE48*VLOOKUP('Données projet'!$B$16,Paramètres!$A$1:$I$89,3,0)*VLOOKUP('Données projet'!$B$16,Paramètres!$A$1:$I$89,5,0)</f>
        <v>196.31040000000004</v>
      </c>
      <c r="FG48" s="13">
        <f t="shared" si="47"/>
        <v>48.932428681108973</v>
      </c>
      <c r="FH48" s="20">
        <f t="shared" si="22"/>
        <v>427.13125995293154</v>
      </c>
      <c r="FI48" s="59">
        <f t="shared" si="23"/>
        <v>678.7580175037657</v>
      </c>
      <c r="FJ48" s="59">
        <f ca="1">AVERAGE(OFFSET($FI$3,0,0,'Données projet'!$E$16+1,1))-AVERAGE(OFFSET($H$3,0,0,'Données projet'!$E$16+1,1))</f>
        <v>383.47860767209028</v>
      </c>
      <c r="FK48" s="59">
        <f t="shared" si="48"/>
        <v>370.49129421395628</v>
      </c>
      <c r="FL48" s="15">
        <f>IF(ISNA(VLOOKUP(A48,'Données projet'!$A$217:$I$237,3,0)),0,VLOOKUP(A48,'Données projet'!$A$217:$I$237,3,0))</f>
        <v>7</v>
      </c>
      <c r="FM48" s="15">
        <f>IF(ISNA(VLOOKUP(A48,'Données projet'!$A$217:$I$237,4,0)),0,VLOOKUP(A48,'Données projet'!$A$217:$I$237,4,0))</f>
        <v>24</v>
      </c>
      <c r="FN48" s="16">
        <f>IF(ISNA(VLOOKUP(A48,'Données projet'!$A$217:$I$237,5,0)),0%,VLOOKUP(A48,'Données projet'!$A$217:$I$237,5,0)*VLOOKUP('Données projet'!$B$16,Paramètres!$A$1:$I$89,7,0))</f>
        <v>0.13250000000000001</v>
      </c>
      <c r="FO48" s="16">
        <f>IF(ISNA(VLOOKUP(A48,'Données projet'!$A$217:$I$237,6,0)),0%,VLOOKUP(A48,'Données projet'!$A$217:$I$237,6,0)*VLOOKUP('Données projet'!$B$16,Paramètres!$A$1:$I$89,7,0))</f>
        <v>0.13250000000000001</v>
      </c>
      <c r="FP48" s="16">
        <f>IF(ISNA(VLOOKUP(A48,'Données projet'!$A$217:$I$237,7,0)),0%,VLOOKUP(A48,'Données projet'!$A$217:$I$237,7,0))</f>
        <v>0.25</v>
      </c>
      <c r="FQ48" s="21">
        <f>EXP(-LN(2)/35)*FQ47+(1-EXP(-LN(2)/35))/(LN(2)/35)*FM48*FN48*VLOOKUP('Données projet'!$B$16,Paramètres!$A$1:$I$89,3,0)*0.475*44/12</f>
        <v>13.119785640556533</v>
      </c>
      <c r="FR48" s="21">
        <f>EXP(-LN(2)/25)*FR47+(1-EXP(-LN(2)/25))/(LN(2)/25)*Calculateur!FM48*Calculateur!FO48*VLOOKUP('Données projet'!$B$16,Paramètres!$A$1:$I$89,3,0)*0.475*44/12</f>
        <v>18.417634619625321</v>
      </c>
      <c r="FS48" s="21">
        <f>EXP(-LN(2)/2)*FS47+(1-EXP(-LN(2)/2))/(LN(2)/2)*FM48*FP48*VLOOKUP('Données projet'!$B$16,Paramètres!$A$1:$I$89,3,0)*0.475*44/12</f>
        <v>6.0304011254284635</v>
      </c>
      <c r="FT48" s="22">
        <f t="shared" si="24"/>
        <v>37.567821385610316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3.3603333333333336</v>
      </c>
      <c r="FZ48" s="12">
        <f>IF('Données projet'!$A$244&gt;35,FZ47+FY48-GH47,IF(A48&lt;'Données projet'!$A$244,$FW$205^A48,IF(A48='Données projet'!$A$244,'Données projet'!$B$244,FZ47+FY48-GH47)))</f>
        <v>151.21499999999995</v>
      </c>
      <c r="GA48" s="17">
        <f>FZ48*VLOOKUP('Données projet'!$B$17,Paramètres!$A$1:$I$89,3,0)*VLOOKUP('Données projet'!$B$17,Paramètres!$A$1:$I$89,5,0)</f>
        <v>172.20364199999995</v>
      </c>
      <c r="GB48" s="13">
        <f t="shared" si="49"/>
        <v>43.583195531641088</v>
      </c>
      <c r="GC48" s="20">
        <f t="shared" si="25"/>
        <v>375.82874203427474</v>
      </c>
      <c r="GD48" s="59">
        <f t="shared" si="26"/>
        <v>627.4554995851089</v>
      </c>
      <c r="GE48" s="59">
        <f ca="1">AVERAGE(OFFSET($GD$3,0,0,'Données projet'!$E$17+1,1))-AVERAGE(OFFSET($H$3,0,0,'Données projet'!$E$17+1,1))</f>
        <v>640.05156427113661</v>
      </c>
      <c r="GF48" s="59">
        <f t="shared" si="50"/>
        <v>308.77220155372902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0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14.224285714285713</v>
      </c>
      <c r="N49" s="13">
        <f>IF('Données projet'!$A$36&gt;35,N48+M49-V48,IF(A49&lt;'Données projet'!$A$36,$K$205^A49,IF(A49='Données projet'!$A$36,'Données projet'!$B$36,N48+M49-V48)))</f>
        <v>190.49857142857144</v>
      </c>
      <c r="O49" s="13">
        <f>N49*VLOOKUP('Données projet'!$B$9,Paramètres!$A$1:$I$89,3,0)*VLOOKUP('Données projet'!$B$9,Paramètres!$A$1:$I$89,5,0)</f>
        <v>160.4759965714286</v>
      </c>
      <c r="P49" s="13">
        <f t="shared" si="33"/>
        <v>40.949859193473067</v>
      </c>
      <c r="Q49" s="20">
        <f t="shared" si="53"/>
        <v>350.81669879053698</v>
      </c>
      <c r="R49" s="59">
        <f t="shared" si="0"/>
        <v>603.16697218926265</v>
      </c>
      <c r="S49" s="59">
        <f ca="1">AVERAGE(OFFSET($R$3,0,0,'Données projet'!$E$9+1,1))-AVERAGE(OFFSET($H$3,0,0,'Données projet'!$E$9+1,1))</f>
        <v>456.35333554128226</v>
      </c>
      <c r="T49" s="59">
        <f t="shared" si="34"/>
        <v>296.4517290984877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7.605733926037912</v>
      </c>
      <c r="AA49" s="21">
        <f>EXP(-LN(2)/25)*AA48+(1-EXP(-LN(2)/25))/(LN(2)/25)*Calculateur!V49*Calculateur!X49*VLOOKUP('Données projet'!$B$9,Paramètres!$A$1:$I$89,3,0)*0.475*44/12</f>
        <v>29.01887477467524</v>
      </c>
      <c r="AB49" s="21">
        <f>EXP(-LN(2)/2)*AB48+(1-EXP(-LN(2)/2))/(LN(2)/2)*V49*Y49*VLOOKUP('Données projet'!$B$9,Paramètres!$A$1:$I$89,3,0)*0.475*44/12</f>
        <v>2.60989634485346</v>
      </c>
      <c r="AC49" s="22">
        <f t="shared" si="3"/>
        <v>39.234505045566614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8.6</v>
      </c>
      <c r="AI49" s="13">
        <f>IF('Données projet'!$A$62&gt;35,AI48+AH49-AQ48,IF(A49&lt;'Données projet'!$A$62,$AF$205^A49,IF(A49='Données projet'!$A$62,'Données projet'!$B$62,AI48+AH49-AQ48)))</f>
        <v>226.60000000000005</v>
      </c>
      <c r="AJ49" s="13">
        <f>AI49*VLOOKUP('Données projet'!$B$10,Paramètres!$A$1:$I$89,3,0)*VLOOKUP('Données projet'!$B$10,Paramètres!$A$1:$I$89,5,0)</f>
        <v>197.95776000000006</v>
      </c>
      <c r="AK49" s="13">
        <f t="shared" si="35"/>
        <v>49.295077435194649</v>
      </c>
      <c r="AL49" s="20">
        <f t="shared" si="4"/>
        <v>430.63202519963079</v>
      </c>
      <c r="AM49" s="59">
        <f t="shared" si="5"/>
        <v>682.98229859835646</v>
      </c>
      <c r="AN49" s="59">
        <f ca="1">AVERAGE(OFFSET($AM$3,0,0,'Données projet'!$E$10+1,1))-AVERAGE(OFFSET($H$3,0,0,'Données projet'!$E$10+1,1))</f>
        <v>408.246209980743</v>
      </c>
      <c r="AO49" s="59">
        <f t="shared" si="36"/>
        <v>394.10236303013903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13.851938849995406</v>
      </c>
      <c r="AV49" s="21">
        <f>EXP(-LN(2)/25)*AV48+(1-EXP(-LN(2)/25))/(LN(2)/25)*Calculateur!AQ49*Calculateur!AS49*VLOOKUP('Données projet'!$B$10,Paramètres!$A$1:$I$89,3,0)*0.475*44/12</f>
        <v>19.29200369644191</v>
      </c>
      <c r="AW49" s="21">
        <f>EXP(-LN(2)/2)*AW48+(1-EXP(-LN(2)/2))/(LN(2)/2)*AQ49*AT49*VLOOKUP('Données projet'!$B$10,Paramètres!$A$1:$I$89,3,0)*0.475*44/12</f>
        <v>4.5921481082243369</v>
      </c>
      <c r="AX49" s="21">
        <f t="shared" si="6"/>
        <v>37.736090654661652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3.3603333333333336</v>
      </c>
      <c r="BD49" s="12">
        <f>IF('Données projet'!$A$88&gt;35,BD48+BC49-BL48,IF(A49&lt;'Données projet'!$A$88,$BA$205^A49,IF(A49='Données projet'!$A$88,'Données projet'!$B$88,BD48+BC49-BL48)))</f>
        <v>154.57533333333328</v>
      </c>
      <c r="BE49" s="13">
        <f>BD49*VLOOKUP('Données projet'!$B$11,Paramètres!$A$1:$I$89,3,0)*VLOOKUP('Données projet'!$B$11,Paramètres!$A$1:$I$89,5,0)</f>
        <v>156.73938799999993</v>
      </c>
      <c r="BF49" s="13">
        <f t="shared" si="37"/>
        <v>40.106196314415328</v>
      </c>
      <c r="BG49" s="20">
        <f t="shared" si="7"/>
        <v>342.83939268093991</v>
      </c>
      <c r="BH49" s="59">
        <f t="shared" si="8"/>
        <v>595.18966607966559</v>
      </c>
      <c r="BI49" s="59">
        <f ca="1">AVERAGE(OFFSET($BH$3,0,0,'Données projet'!$E$11+1,1))-AVERAGE(OFFSET($H$3,0,0,'Données projet'!$E$11+1,1))</f>
        <v>580.02848304986492</v>
      </c>
      <c r="BJ49" s="59">
        <f t="shared" si="38"/>
        <v>281.68891895586728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10.375</v>
      </c>
      <c r="BY49" s="12">
        <f>IF('Données projet'!$A$114&gt;35,BY48+BX49-CG48,IF(A49&lt;'Données projet'!$A$114,$BV$205^A49,IF(A49='Données projet'!$A$114,'Données projet'!$B$114,BY48+BX49-CG48)))</f>
        <v>207.74999999999991</v>
      </c>
      <c r="BZ49" s="13">
        <f>BY49*VLOOKUP('Données projet'!$B$12,Paramètres!$A$1:$I$89,3,0)*VLOOKUP('Données projet'!$B$12,Paramètres!$A$1:$I$89,5,0)</f>
        <v>162.04499999999993</v>
      </c>
      <c r="CA49" s="13">
        <f t="shared" si="39"/>
        <v>41.303429372463391</v>
      </c>
      <c r="CB49" s="20">
        <f t="shared" si="10"/>
        <v>354.16518115704025</v>
      </c>
      <c r="CC49" s="59">
        <f t="shared" si="11"/>
        <v>606.51545455576593</v>
      </c>
      <c r="CD49" s="59">
        <f ca="1">AVERAGE(OFFSET($CC$3,0,0,'Données projet'!$E$12+1,1))-AVERAGE(OFFSET($H$3,0,0,'Données projet'!$E$12+1,1))</f>
        <v>308.85018589589453</v>
      </c>
      <c r="CE49" s="59">
        <f t="shared" si="40"/>
        <v>302.59481222418219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9.1025933612881893</v>
      </c>
      <c r="CL49" s="21">
        <f>EXP(-LN(2)/25)*CL48+(1-EXP(-LN(2)/25))/(LN(2)/25)*Calculateur!CG49*Calculateur!CI49*VLOOKUP('Données projet'!$B$12,Paramètres!$A$1:$I$89,3,0)*0.475*44/12</f>
        <v>11.171149914277445</v>
      </c>
      <c r="CM49" s="21">
        <f>EXP(-LN(2)/2)*CM48+(1-EXP(-LN(2)/2))/(LN(2)/2)*CG49*CJ49*VLOOKUP('Données projet'!$B$12,Paramètres!$A$1:$I$89,3,0)*0.475*44/12</f>
        <v>4.2890533853138608</v>
      </c>
      <c r="CN49" s="22">
        <f t="shared" si="12"/>
        <v>24.562796660879496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6.2820512820512757</v>
      </c>
      <c r="CT49" s="12">
        <f>IF('Données projet'!$A$140&gt;35,CT48+CS49-DB48,IF(A49&lt;'Données projet'!$A$140,$CQ$205^A49,IF(A49='Données projet'!$A$140,'Données projet'!$B$140,CT48+CS49-DB48)))</f>
        <v>180.00000000000003</v>
      </c>
      <c r="CU49" s="17">
        <f>CT49*VLOOKUP('Données projet'!$B$13,Paramètres!$A$1:$I$89,3,0)*VLOOKUP('Données projet'!$B$13,Paramètres!$A$1:$I$89,5,0)</f>
        <v>120.74400000000001</v>
      </c>
      <c r="CV49" s="13">
        <f t="shared" si="41"/>
        <v>31.848462605207835</v>
      </c>
      <c r="CW49" s="20">
        <f t="shared" si="13"/>
        <v>265.76520570407035</v>
      </c>
      <c r="CX49" s="59">
        <f t="shared" si="14"/>
        <v>518.11547910279603</v>
      </c>
      <c r="CY49" s="59">
        <f ca="1">AVERAGE(OFFSET($CX$3,0,0,'Données projet'!$E$13+1,1))-AVERAGE(OFFSET($H$3,0,0,'Données projet'!$E$13+1,1))</f>
        <v>335.73816489539837</v>
      </c>
      <c r="CZ49" s="59">
        <f t="shared" si="42"/>
        <v>254.09787950201044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7.2885377809443446</v>
      </c>
      <c r="DH49" s="21">
        <f>EXP(-LN(2)/2)*DH48+(1-EXP(-LN(2)/2))/(LN(2)/2)*DB49*DE49*VLOOKUP('Données projet'!$B$13,Paramètres!$A$1:$I$89,3,0)*0.475*44/12</f>
        <v>2.2799500790576079</v>
      </c>
      <c r="DI49" s="22">
        <f t="shared" si="15"/>
        <v>9.5684878600019516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10.001428571428571</v>
      </c>
      <c r="DO49" s="12">
        <f>IF('Données projet'!$A$166&gt;35,DO48+DN49-DW48,IF(A49&lt;'Données projet'!$A$166,$DL$205^A49,IF(A49='Données projet'!$A$166,'Données projet'!$B$166,DO48+DN49-DW48)))</f>
        <v>118.06142857142859</v>
      </c>
      <c r="DP49" s="17">
        <f>DO49*VLOOKUP('Données projet'!$B$14,Paramètres!$A$1:$I$89,3,0)*VLOOKUP('Données projet'!$B$14,Paramètres!$A$1:$I$89,5,0)</f>
        <v>114.18901371428574</v>
      </c>
      <c r="DQ49" s="13">
        <f t="shared" si="43"/>
        <v>30.315791789374245</v>
      </c>
      <c r="DR49" s="20">
        <f t="shared" si="16"/>
        <v>251.67920291887444</v>
      </c>
      <c r="DS49" s="59">
        <f t="shared" si="17"/>
        <v>504.02947631760009</v>
      </c>
      <c r="DT49" s="59">
        <f ca="1">AVERAGE(OFFSET($DS$3,0,0,'Données projet'!$E$14+1,1))-AVERAGE(OFFSET($H$3,0,0,'Données projet'!$E$14+1,1))</f>
        <v>493.03862850474161</v>
      </c>
      <c r="DU49" s="59">
        <f t="shared" si="44"/>
        <v>312.51819065560528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35.860288875887875</v>
      </c>
      <c r="EC49" s="21">
        <f>EXP(-LN(2)/2)*EC48+(1-EXP(-LN(2)/2))/(LN(2)/2)*DW49*DZ49*VLOOKUP('Données projet'!$B$14,Paramètres!$A$1:$I$89,3,0)*0.475*44/12</f>
        <v>6.1968522462518072</v>
      </c>
      <c r="ED49" s="22">
        <f t="shared" si="18"/>
        <v>42.057141122139683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10.001428571428571</v>
      </c>
      <c r="EJ49" s="12">
        <f>IF('Données projet'!$A$192&gt;35,EJ48+EI49-ER48,IF(A49&lt;'Données projet'!$A$192,$EG$205^A49,IF(A49='Données projet'!$A$192,'Données projet'!$B$192,EJ48+EI49-ER48)))</f>
        <v>118.06142857142859</v>
      </c>
      <c r="EK49" s="17">
        <f>EJ49*VLOOKUP('Données projet'!$B$15,Paramètres!$A$1:$I$89,3,0)*VLOOKUP('Données projet'!$B$15,Paramètres!$A$1:$I$89,5,0)</f>
        <v>127.08132171428572</v>
      </c>
      <c r="EL49" s="13">
        <f t="shared" si="45"/>
        <v>33.321049778221109</v>
      </c>
      <c r="EM49" s="20">
        <f t="shared" si="19"/>
        <v>279.36746368278273</v>
      </c>
      <c r="EN49" s="59">
        <f t="shared" si="20"/>
        <v>531.7177370815084</v>
      </c>
      <c r="EO49" s="59">
        <f ca="1">AVERAGE(OFFSET($EN$3,0,0,'Données projet'!$E$15+1,1))-AVERAGE(OFFSET($H$3,0,0,'Données projet'!$E$15+1,1))</f>
        <v>539.72194201710272</v>
      </c>
      <c r="EP49" s="59">
        <f t="shared" si="46"/>
        <v>340.76505385159362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39.909031168326834</v>
      </c>
      <c r="EX49" s="21">
        <f>EXP(-LN(2)/2)*EX48+(1-EXP(-LN(2)/2))/(LN(2)/2)*ER49*EU49*VLOOKUP('Données projet'!$B$15,Paramètres!$A$1:$I$89,3,0)*0.475*44/12</f>
        <v>6.8964968546995928</v>
      </c>
      <c r="EY49" s="22">
        <f t="shared" si="21"/>
        <v>46.805528023026426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8.6</v>
      </c>
      <c r="FE49" s="12">
        <f>IF('Données projet'!$A$218&gt;35,FE48+FD49-FM48,IF(A49&lt;'Données projet'!$A$218,$FB$205^A49,IF(A49='Données projet'!$A$218,'Données projet'!$B$218,FE48+FD49-FM48)))</f>
        <v>226.60000000000005</v>
      </c>
      <c r="FF49" s="17">
        <f>FE49*VLOOKUP('Données projet'!$B$16,Paramètres!$A$1:$I$89,3,0)*VLOOKUP('Données projet'!$B$16,Paramètres!$A$1:$I$89,5,0)</f>
        <v>183.81792000000007</v>
      </c>
      <c r="FG49" s="13">
        <f t="shared" si="47"/>
        <v>46.170562638655326</v>
      </c>
      <c r="FH49" s="20">
        <f t="shared" si="22"/>
        <v>400.56327392899146</v>
      </c>
      <c r="FI49" s="59">
        <f t="shared" si="23"/>
        <v>652.91354732771708</v>
      </c>
      <c r="FJ49" s="59">
        <f ca="1">AVERAGE(OFFSET($FI$3,0,0,'Données projet'!$E$16+1,1))-AVERAGE(OFFSET($H$3,0,0,'Données projet'!$E$16+1,1))</f>
        <v>383.47860767209028</v>
      </c>
      <c r="FK49" s="59">
        <f t="shared" si="48"/>
        <v>370.49129421395628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12.8625146464243</v>
      </c>
      <c r="FR49" s="21">
        <f>EXP(-LN(2)/25)*FR48+(1-EXP(-LN(2)/25))/(LN(2)/25)*Calculateur!FM49*Calculateur!FO49*VLOOKUP('Données projet'!$B$16,Paramètres!$A$1:$I$89,3,0)*0.475*44/12</f>
        <v>17.914003432410357</v>
      </c>
      <c r="FS49" s="21">
        <f>EXP(-LN(2)/2)*FS48+(1-EXP(-LN(2)/2))/(LN(2)/2)*FM49*FP49*VLOOKUP('Données projet'!$B$16,Paramètres!$A$1:$I$89,3,0)*0.475*44/12</f>
        <v>4.2641375290654544</v>
      </c>
      <c r="FT49" s="22">
        <f t="shared" si="24"/>
        <v>35.040655607900106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3.3603333333333336</v>
      </c>
      <c r="FZ49" s="12">
        <f>IF('Données projet'!$A$244&gt;35,FZ48+FY49-GH48,IF(A49&lt;'Données projet'!$A$244,$FW$205^A49,IF(A49='Données projet'!$A$244,'Données projet'!$B$244,FZ48+FY49-GH48)))</f>
        <v>154.57533333333328</v>
      </c>
      <c r="GA49" s="17">
        <f>FZ49*VLOOKUP('Données projet'!$B$17,Paramètres!$A$1:$I$89,3,0)*VLOOKUP('Données projet'!$B$17,Paramètres!$A$1:$I$89,5,0)</f>
        <v>176.03038959999992</v>
      </c>
      <c r="GB49" s="13">
        <f t="shared" si="49"/>
        <v>44.437878026410679</v>
      </c>
      <c r="GC49" s="20">
        <f t="shared" si="25"/>
        <v>383.98223278266511</v>
      </c>
      <c r="GD49" s="59">
        <f t="shared" si="26"/>
        <v>636.33250618139073</v>
      </c>
      <c r="GE49" s="59">
        <f ca="1">AVERAGE(OFFSET($GD$3,0,0,'Données projet'!$E$17+1,1))-AVERAGE(OFFSET($H$3,0,0,'Données projet'!$E$17+1,1))</f>
        <v>640.05156427113661</v>
      </c>
      <c r="GF49" s="59">
        <f t="shared" si="50"/>
        <v>308.77220155372902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0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14.224285714285713</v>
      </c>
      <c r="N50" s="13">
        <f>IF('Données projet'!$A$36&gt;35,N49+M50-V49,IF(A50&lt;'Données projet'!$A$36,$K$205^A50,IF(A50='Données projet'!$A$36,'Données projet'!$B$36,N49+M50-V49)))</f>
        <v>204.72285714285715</v>
      </c>
      <c r="O50" s="13">
        <f>N50*VLOOKUP('Données projet'!$B$9,Paramètres!$A$1:$I$89,3,0)*VLOOKUP('Données projet'!$B$9,Paramètres!$A$1:$I$89,5,0)</f>
        <v>172.45853485714287</v>
      </c>
      <c r="P50" s="13">
        <f t="shared" si="33"/>
        <v>43.640192625939278</v>
      </c>
      <c r="Q50" s="20">
        <f t="shared" si="53"/>
        <v>376.37195036636803</v>
      </c>
      <c r="R50" s="59">
        <f t="shared" si="0"/>
        <v>629.43318823056347</v>
      </c>
      <c r="S50" s="59">
        <f ca="1">AVERAGE(OFFSET($R$3,0,0,'Données projet'!$E$9+1,1))-AVERAGE(OFFSET($H$3,0,0,'Données projet'!$E$9+1,1))</f>
        <v>456.35333554128226</v>
      </c>
      <c r="T50" s="59">
        <f t="shared" si="34"/>
        <v>296.4517290984877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7.4565901227879365</v>
      </c>
      <c r="AA50" s="21">
        <f>EXP(-LN(2)/25)*AA49+(1-EXP(-LN(2)/25))/(LN(2)/25)*Calculateur!V50*Calculateur!X50*VLOOKUP('Données projet'!$B$9,Paramètres!$A$1:$I$89,3,0)*0.475*44/12</f>
        <v>28.225352117925443</v>
      </c>
      <c r="AB50" s="21">
        <f>EXP(-LN(2)/2)*AB49+(1-EXP(-LN(2)/2))/(LN(2)/2)*V50*Y50*VLOOKUP('Données projet'!$B$9,Paramètres!$A$1:$I$89,3,0)*0.475*44/12</f>
        <v>1.845475403639866</v>
      </c>
      <c r="AC50" s="22">
        <f t="shared" si="3"/>
        <v>37.52741764435325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8.6</v>
      </c>
      <c r="AI50" s="13">
        <f>IF('Données projet'!$A$62&gt;35,AI49+AH50-AQ49,IF(A50&lt;'Données projet'!$A$62,$AF$205^A50,IF(A50='Données projet'!$A$62,'Données projet'!$B$62,AI49+AH50-AQ49)))</f>
        <v>235.20000000000005</v>
      </c>
      <c r="AJ50" s="13">
        <f>AI50*VLOOKUP('Données projet'!$B$10,Paramètres!$A$1:$I$89,3,0)*VLOOKUP('Données projet'!$B$10,Paramètres!$A$1:$I$89,5,0)</f>
        <v>205.47072000000009</v>
      </c>
      <c r="AK50" s="13">
        <f t="shared" si="35"/>
        <v>50.944571570352757</v>
      </c>
      <c r="AL50" s="20">
        <f t="shared" si="4"/>
        <v>446.58996615169781</v>
      </c>
      <c r="AM50" s="59">
        <f t="shared" si="5"/>
        <v>699.6512040158932</v>
      </c>
      <c r="AN50" s="59">
        <f ca="1">AVERAGE(OFFSET($AM$3,0,0,'Données projet'!$E$10+1,1))-AVERAGE(OFFSET($H$3,0,0,'Données projet'!$E$10+1,1))</f>
        <v>408.246209980743</v>
      </c>
      <c r="AO50" s="59">
        <f t="shared" si="36"/>
        <v>394.10236303013903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13.58031077799544</v>
      </c>
      <c r="AV50" s="21">
        <f>EXP(-LN(2)/25)*AV49+(1-EXP(-LN(2)/25))/(LN(2)/25)*Calculateur!AQ50*Calculateur!AS50*VLOOKUP('Données projet'!$B$10,Paramètres!$A$1:$I$89,3,0)*0.475*44/12</f>
        <v>18.764462840840324</v>
      </c>
      <c r="AW50" s="21">
        <f>EXP(-LN(2)/2)*AW49+(1-EXP(-LN(2)/2))/(LN(2)/2)*AQ50*AT50*VLOOKUP('Données projet'!$B$10,Paramètres!$A$1:$I$89,3,0)*0.475*44/12</f>
        <v>3.2471390675384044</v>
      </c>
      <c r="AX50" s="21">
        <f t="shared" si="6"/>
        <v>35.591912686374165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3.3603333333333336</v>
      </c>
      <c r="BD50" s="12">
        <f>IF('Données projet'!$A$88&gt;35,BD49+BC50-BL49,IF(A50&lt;'Données projet'!$A$88,$BA$205^A50,IF(A50='Données projet'!$A$88,'Données projet'!$B$88,BD49+BC50-BL49)))</f>
        <v>157.93566666666661</v>
      </c>
      <c r="BE50" s="13">
        <f>BD50*VLOOKUP('Données projet'!$B$11,Paramètres!$A$1:$I$89,3,0)*VLOOKUP('Données projet'!$B$11,Paramètres!$A$1:$I$89,5,0)</f>
        <v>160.14676599999996</v>
      </c>
      <c r="BF50" s="13">
        <f t="shared" si="37"/>
        <v>40.875617121004808</v>
      </c>
      <c r="BG50" s="20">
        <f t="shared" si="7"/>
        <v>350.11398393574996</v>
      </c>
      <c r="BH50" s="59">
        <f t="shared" si="8"/>
        <v>603.17522179994535</v>
      </c>
      <c r="BI50" s="59">
        <f ca="1">AVERAGE(OFFSET($BH$3,0,0,'Données projet'!$E$11+1,1))-AVERAGE(OFFSET($H$3,0,0,'Données projet'!$E$11+1,1))</f>
        <v>580.02848304986492</v>
      </c>
      <c r="BJ50" s="59">
        <f t="shared" si="38"/>
        <v>281.68891895586728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10.375</v>
      </c>
      <c r="BY50" s="12">
        <f>IF('Données projet'!$A$114&gt;35,BY49+BX50-CG49,IF(A50&lt;'Données projet'!$A$114,$BV$205^A50,IF(A50='Données projet'!$A$114,'Données projet'!$B$114,BY49+BX50-CG49)))</f>
        <v>218.12499999999991</v>
      </c>
      <c r="BZ50" s="13">
        <f>BY50*VLOOKUP('Données projet'!$B$12,Paramètres!$A$1:$I$89,3,0)*VLOOKUP('Données projet'!$B$12,Paramètres!$A$1:$I$89,5,0)</f>
        <v>170.13749999999993</v>
      </c>
      <c r="CA50" s="13">
        <f t="shared" si="39"/>
        <v>43.120817562072375</v>
      </c>
      <c r="CB50" s="20">
        <f t="shared" si="10"/>
        <v>371.42490308727588</v>
      </c>
      <c r="CC50" s="59">
        <f t="shared" si="11"/>
        <v>624.48614095147127</v>
      </c>
      <c r="CD50" s="59">
        <f ca="1">AVERAGE(OFFSET($CC$3,0,0,'Données projet'!$E$12+1,1))-AVERAGE(OFFSET($H$3,0,0,'Données projet'!$E$12+1,1))</f>
        <v>308.85018589589453</v>
      </c>
      <c r="CE50" s="59">
        <f t="shared" si="40"/>
        <v>302.59481222418219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8.9240970575070602</v>
      </c>
      <c r="CL50" s="21">
        <f>EXP(-LN(2)/25)*CL49+(1-EXP(-LN(2)/25))/(LN(2)/25)*Calculateur!CG50*Calculateur!CI50*VLOOKUP('Données projet'!$B$12,Paramètres!$A$1:$I$89,3,0)*0.475*44/12</f>
        <v>10.865674232406286</v>
      </c>
      <c r="CM50" s="21">
        <f>EXP(-LN(2)/2)*CM49+(1-EXP(-LN(2)/2))/(LN(2)/2)*CG50*CJ50*VLOOKUP('Données projet'!$B$12,Paramètres!$A$1:$I$89,3,0)*0.475*44/12</f>
        <v>3.0328187336265491</v>
      </c>
      <c r="CN50" s="22">
        <f t="shared" si="12"/>
        <v>22.822590023539895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6.2820512820512757</v>
      </c>
      <c r="CT50" s="12">
        <f>IF('Données projet'!$A$140&gt;35,CT49+CS50-DB49,IF(A50&lt;'Données projet'!$A$140,$CQ$205^A50,IF(A50='Données projet'!$A$140,'Données projet'!$B$140,CT49+CS50-DB49)))</f>
        <v>186.2820512820513</v>
      </c>
      <c r="CU50" s="17">
        <f>CT50*VLOOKUP('Données projet'!$B$13,Paramètres!$A$1:$I$89,3,0)*VLOOKUP('Données projet'!$B$13,Paramètres!$A$1:$I$89,5,0)</f>
        <v>124.95800000000001</v>
      </c>
      <c r="CV50" s="13">
        <f t="shared" si="41"/>
        <v>32.828632569621575</v>
      </c>
      <c r="CW50" s="20">
        <f t="shared" si="13"/>
        <v>274.81171839209094</v>
      </c>
      <c r="CX50" s="59">
        <f t="shared" si="14"/>
        <v>527.87295625628633</v>
      </c>
      <c r="CY50" s="59">
        <f ca="1">AVERAGE(OFFSET($CX$3,0,0,'Données projet'!$E$13+1,1))-AVERAGE(OFFSET($H$3,0,0,'Données projet'!$E$13+1,1))</f>
        <v>335.73816489539837</v>
      </c>
      <c r="CZ50" s="59">
        <f t="shared" si="42"/>
        <v>254.09787950201044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7.089232332036878</v>
      </c>
      <c r="DH50" s="21">
        <f>EXP(-LN(2)/2)*DH49+(1-EXP(-LN(2)/2))/(LN(2)/2)*DB50*DE50*VLOOKUP('Données projet'!$B$13,Paramètres!$A$1:$I$89,3,0)*0.475*44/12</f>
        <v>1.6121681616684398</v>
      </c>
      <c r="DI50" s="22">
        <f t="shared" si="15"/>
        <v>8.701400493705318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10.001428571428571</v>
      </c>
      <c r="DO50" s="12">
        <f>IF('Données projet'!$A$166&gt;35,DO49+DN50-DW49,IF(A50&lt;'Données projet'!$A$166,$DL$205^A50,IF(A50='Données projet'!$A$166,'Données projet'!$B$166,DO49+DN50-DW49)))</f>
        <v>128.06285714285715</v>
      </c>
      <c r="DP50" s="17">
        <f>DO50*VLOOKUP('Données projet'!$B$14,Paramètres!$A$1:$I$89,3,0)*VLOOKUP('Données projet'!$B$14,Paramètres!$A$1:$I$89,5,0)</f>
        <v>123.86239542857143</v>
      </c>
      <c r="DQ50" s="13">
        <f t="shared" si="43"/>
        <v>32.574171965439113</v>
      </c>
      <c r="DR50" s="20">
        <f t="shared" si="16"/>
        <v>272.46035487790169</v>
      </c>
      <c r="DS50" s="59">
        <f t="shared" si="17"/>
        <v>525.52159274209703</v>
      </c>
      <c r="DT50" s="59">
        <f ca="1">AVERAGE(OFFSET($DS$3,0,0,'Données projet'!$E$14+1,1))-AVERAGE(OFFSET($H$3,0,0,'Données projet'!$E$14+1,1))</f>
        <v>493.03862850474161</v>
      </c>
      <c r="DU50" s="59">
        <f t="shared" si="44"/>
        <v>312.51819065560528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34.879687390766087</v>
      </c>
      <c r="EC50" s="21">
        <f>EXP(-LN(2)/2)*EC49+(1-EXP(-LN(2)/2))/(LN(2)/2)*DW50*DZ50*VLOOKUP('Données projet'!$B$14,Paramètres!$A$1:$I$89,3,0)*0.475*44/12</f>
        <v>4.3818362453357427</v>
      </c>
      <c r="ED50" s="22">
        <f t="shared" si="18"/>
        <v>39.261523636101828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10.001428571428571</v>
      </c>
      <c r="EJ50" s="12">
        <f>IF('Données projet'!$A$192&gt;35,EJ49+EI50-ER49,IF(A50&lt;'Données projet'!$A$192,$EG$205^A50,IF(A50='Données projet'!$A$192,'Données projet'!$B$192,EJ49+EI50-ER49)))</f>
        <v>128.06285714285715</v>
      </c>
      <c r="EK50" s="17">
        <f>EJ50*VLOOKUP('Données projet'!$B$15,Paramètres!$A$1:$I$89,3,0)*VLOOKUP('Données projet'!$B$15,Paramètres!$A$1:$I$89,5,0)</f>
        <v>137.84685942857143</v>
      </c>
      <c r="EL50" s="13">
        <f t="shared" si="45"/>
        <v>35.803307170263928</v>
      </c>
      <c r="EM50" s="20">
        <f t="shared" si="19"/>
        <v>302.4407068263049</v>
      </c>
      <c r="EN50" s="59">
        <f t="shared" si="20"/>
        <v>555.5019446905003</v>
      </c>
      <c r="EO50" s="59">
        <f ca="1">AVERAGE(OFFSET($EN$3,0,0,'Données projet'!$E$15+1,1))-AVERAGE(OFFSET($H$3,0,0,'Données projet'!$E$15+1,1))</f>
        <v>539.72194201710272</v>
      </c>
      <c r="EP50" s="59">
        <f t="shared" si="46"/>
        <v>340.76505385159362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38.817716612304203</v>
      </c>
      <c r="EX50" s="21">
        <f>EXP(-LN(2)/2)*EX49+(1-EXP(-LN(2)/2))/(LN(2)/2)*ER50*EU50*VLOOKUP('Données projet'!$B$15,Paramètres!$A$1:$I$89,3,0)*0.475*44/12</f>
        <v>4.8765596923897787</v>
      </c>
      <c r="EY50" s="22">
        <f t="shared" si="21"/>
        <v>43.694276304693979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8.6</v>
      </c>
      <c r="FE50" s="12">
        <f>IF('Données projet'!$A$218&gt;35,FE49+FD50-FM49,IF(A50&lt;'Données projet'!$A$218,$FB$205^A50,IF(A50='Données projet'!$A$218,'Données projet'!$B$218,FE49+FD50-FM49)))</f>
        <v>235.20000000000005</v>
      </c>
      <c r="FF50" s="17">
        <f>FE50*VLOOKUP('Données projet'!$B$16,Paramètres!$A$1:$I$89,3,0)*VLOOKUP('Données projet'!$B$16,Paramètres!$A$1:$I$89,5,0)</f>
        <v>190.79424000000006</v>
      </c>
      <c r="FG50" s="13">
        <f t="shared" si="47"/>
        <v>47.715505384501149</v>
      </c>
      <c r="FH50" s="20">
        <f t="shared" si="22"/>
        <v>415.40447321133956</v>
      </c>
      <c r="FI50" s="59">
        <f t="shared" si="23"/>
        <v>668.46571107553495</v>
      </c>
      <c r="FJ50" s="59">
        <f ca="1">AVERAGE(OFFSET($FI$3,0,0,'Données projet'!$E$16+1,1))-AVERAGE(OFFSET($H$3,0,0,'Données projet'!$E$16+1,1))</f>
        <v>383.47860767209028</v>
      </c>
      <c r="FK50" s="59">
        <f t="shared" si="48"/>
        <v>370.49129421395628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12.61028857956719</v>
      </c>
      <c r="FR50" s="21">
        <f>EXP(-LN(2)/25)*FR49+(1-EXP(-LN(2)/25))/(LN(2)/25)*Calculateur!FM50*Calculateur!FO50*VLOOKUP('Données projet'!$B$16,Paramètres!$A$1:$I$89,3,0)*0.475*44/12</f>
        <v>17.424144066494598</v>
      </c>
      <c r="FS50" s="21">
        <f>EXP(-LN(2)/2)*FS49+(1-EXP(-LN(2)/2))/(LN(2)/2)*FM50*FP50*VLOOKUP('Données projet'!$B$16,Paramètres!$A$1:$I$89,3,0)*0.475*44/12</f>
        <v>3.0152005627142318</v>
      </c>
      <c r="FT50" s="22">
        <f t="shared" si="24"/>
        <v>33.049633208776022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3.3603333333333336</v>
      </c>
      <c r="FZ50" s="12">
        <f>IF('Données projet'!$A$244&gt;35,FZ49+FY50-GH49,IF(A50&lt;'Données projet'!$A$244,$FW$205^A50,IF(A50='Données projet'!$A$244,'Données projet'!$B$244,FZ49+FY50-GH49)))</f>
        <v>157.93566666666661</v>
      </c>
      <c r="GA50" s="17">
        <f>FZ50*VLOOKUP('Données projet'!$B$17,Paramètres!$A$1:$I$89,3,0)*VLOOKUP('Données projet'!$B$17,Paramètres!$A$1:$I$89,5,0)</f>
        <v>179.85713719999993</v>
      </c>
      <c r="GB50" s="13">
        <f t="shared" si="49"/>
        <v>45.290400357029107</v>
      </c>
      <c r="GC50" s="20">
        <f t="shared" si="25"/>
        <v>392.13196124515889</v>
      </c>
      <c r="GD50" s="59">
        <f t="shared" si="26"/>
        <v>645.19319910935428</v>
      </c>
      <c r="GE50" s="59">
        <f ca="1">AVERAGE(OFFSET($GD$3,0,0,'Données projet'!$E$17+1,1))-AVERAGE(OFFSET($H$3,0,0,'Données projet'!$E$17+1,1))</f>
        <v>640.05156427113661</v>
      </c>
      <c r="GF50" s="59">
        <f t="shared" si="50"/>
        <v>308.77220155372902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0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14.224285714285713</v>
      </c>
      <c r="N51" s="13">
        <f>IF('Données projet'!$A$36&gt;35,N50+M51-V50,IF(A51&lt;'Données projet'!$A$36,$K$205^A51,IF(A51='Données projet'!$A$36,'Données projet'!$B$36,N50+M51-V50)))</f>
        <v>218.94714285714286</v>
      </c>
      <c r="O51" s="13">
        <f>N51*VLOOKUP('Données projet'!$B$9,Paramètres!$A$1:$I$89,3,0)*VLOOKUP('Données projet'!$B$9,Paramètres!$A$1:$I$89,5,0)</f>
        <v>184.44107314285716</v>
      </c>
      <c r="P51" s="13">
        <f t="shared" si="33"/>
        <v>46.308837180748704</v>
      </c>
      <c r="Q51" s="20">
        <f t="shared" si="53"/>
        <v>401.88942714694684</v>
      </c>
      <c r="R51" s="59">
        <f t="shared" si="0"/>
        <v>655.6492958326146</v>
      </c>
      <c r="S51" s="59">
        <f ca="1">AVERAGE(OFFSET($R$3,0,0,'Données projet'!$E$9+1,1))-AVERAGE(OFFSET($H$3,0,0,'Données projet'!$E$9+1,1))</f>
        <v>456.35333554128226</v>
      </c>
      <c r="T51" s="59">
        <f t="shared" si="34"/>
        <v>296.4517290984877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7.310370938550955</v>
      </c>
      <c r="AA51" s="21">
        <f>EXP(-LN(2)/25)*AA50+(1-EXP(-LN(2)/25))/(LN(2)/25)*Calculateur!V51*Calculateur!X51*VLOOKUP('Données projet'!$B$9,Paramètres!$A$1:$I$89,3,0)*0.475*44/12</f>
        <v>27.453528379954015</v>
      </c>
      <c r="AB51" s="21">
        <f>EXP(-LN(2)/2)*AB50+(1-EXP(-LN(2)/2))/(LN(2)/2)*V51*Y51*VLOOKUP('Données projet'!$B$9,Paramètres!$A$1:$I$89,3,0)*0.475*44/12</f>
        <v>1.3049481724267302</v>
      </c>
      <c r="AC51" s="22">
        <f t="shared" si="3"/>
        <v>36.068847490931702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8.6</v>
      </c>
      <c r="AI51" s="13">
        <f>IF('Données projet'!$A$62&gt;35,AI50+AH51-AQ50,IF(A51&lt;'Données projet'!$A$62,$AF$205^A51,IF(A51='Données projet'!$A$62,'Données projet'!$B$62,AI50+AH51-AQ50)))</f>
        <v>243.80000000000004</v>
      </c>
      <c r="AJ51" s="13">
        <f>AI51*VLOOKUP('Données projet'!$B$10,Paramètres!$A$1:$I$89,3,0)*VLOOKUP('Données projet'!$B$10,Paramètres!$A$1:$I$89,5,0)</f>
        <v>212.98368000000008</v>
      </c>
      <c r="AK51" s="13">
        <f t="shared" si="35"/>
        <v>52.587058525970363</v>
      </c>
      <c r="AL51" s="20">
        <f t="shared" si="4"/>
        <v>462.53570293273191</v>
      </c>
      <c r="AM51" s="59">
        <f t="shared" si="5"/>
        <v>716.29557161839966</v>
      </c>
      <c r="AN51" s="59">
        <f ca="1">AVERAGE(OFFSET($AM$3,0,0,'Données projet'!$E$10+1,1))-AVERAGE(OFFSET($H$3,0,0,'Données projet'!$E$10+1,1))</f>
        <v>408.246209980743</v>
      </c>
      <c r="AO51" s="59">
        <f t="shared" si="36"/>
        <v>394.10236303013903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13.314009166810628</v>
      </c>
      <c r="AV51" s="21">
        <f>EXP(-LN(2)/25)*AV50+(1-EXP(-LN(2)/25))/(LN(2)/25)*Calculateur!AQ51*Calculateur!AS51*VLOOKUP('Données projet'!$B$10,Paramètres!$A$1:$I$89,3,0)*0.475*44/12</f>
        <v>18.251347617677332</v>
      </c>
      <c r="AW51" s="21">
        <f>EXP(-LN(2)/2)*AW50+(1-EXP(-LN(2)/2))/(LN(2)/2)*AQ51*AT51*VLOOKUP('Données projet'!$B$10,Paramètres!$A$1:$I$89,3,0)*0.475*44/12</f>
        <v>2.2960740541121685</v>
      </c>
      <c r="AX51" s="21">
        <f t="shared" si="6"/>
        <v>33.861430838600128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3.3603333333333336</v>
      </c>
      <c r="BD51" s="12">
        <f>IF('Données projet'!$A$88&gt;35,BD50+BC51-BL50,IF(A51&lt;'Données projet'!$A$88,$BA$205^A51,IF(A51='Données projet'!$A$88,'Données projet'!$B$88,BD50+BC51-BL50)))</f>
        <v>161.29599999999994</v>
      </c>
      <c r="BE51" s="13">
        <f>BD51*VLOOKUP('Données projet'!$B$11,Paramètres!$A$1:$I$89,3,0)*VLOOKUP('Données projet'!$B$11,Paramètres!$A$1:$I$89,5,0)</f>
        <v>163.55414399999992</v>
      </c>
      <c r="BF51" s="13">
        <f t="shared" si="37"/>
        <v>41.64313458919235</v>
      </c>
      <c r="BG51" s="20">
        <f t="shared" si="7"/>
        <v>357.38526020950985</v>
      </c>
      <c r="BH51" s="59">
        <f t="shared" si="8"/>
        <v>611.14512889517755</v>
      </c>
      <c r="BI51" s="59">
        <f ca="1">AVERAGE(OFFSET($BH$3,0,0,'Données projet'!$E$11+1,1))-AVERAGE(OFFSET($H$3,0,0,'Données projet'!$E$11+1,1))</f>
        <v>580.02848304986492</v>
      </c>
      <c r="BJ51" s="59">
        <f t="shared" si="38"/>
        <v>281.68891895586728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10.375</v>
      </c>
      <c r="BY51" s="12">
        <f>IF('Données projet'!$A$114&gt;35,BY50+BX51-CG50,IF(A51&lt;'Données projet'!$A$114,$BV$205^A51,IF(A51='Données projet'!$A$114,'Données projet'!$B$114,BY50+BX51-CG50)))</f>
        <v>228.49999999999991</v>
      </c>
      <c r="BZ51" s="13">
        <f>BY51*VLOOKUP('Données projet'!$B$12,Paramètres!$A$1:$I$89,3,0)*VLOOKUP('Données projet'!$B$12,Paramètres!$A$1:$I$89,5,0)</f>
        <v>178.22999999999993</v>
      </c>
      <c r="CA51" s="13">
        <f t="shared" si="39"/>
        <v>44.928167580487852</v>
      </c>
      <c r="CB51" s="20">
        <f t="shared" si="10"/>
        <v>388.66714186934951</v>
      </c>
      <c r="CC51" s="59">
        <f t="shared" si="11"/>
        <v>642.4270105550172</v>
      </c>
      <c r="CD51" s="59">
        <f ca="1">AVERAGE(OFFSET($CC$3,0,0,'Données projet'!$E$12+1,1))-AVERAGE(OFFSET($H$3,0,0,'Données projet'!$E$12+1,1))</f>
        <v>308.85018589589453</v>
      </c>
      <c r="CE51" s="59">
        <f t="shared" si="40"/>
        <v>302.59481222418219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8.7491009573710841</v>
      </c>
      <c r="CL51" s="21">
        <f>EXP(-LN(2)/25)*CL50+(1-EXP(-LN(2)/25))/(LN(2)/25)*Calculateur!CG51*Calculateur!CI51*VLOOKUP('Données projet'!$B$12,Paramètres!$A$1:$I$89,3,0)*0.475*44/12</f>
        <v>10.568551799120163</v>
      </c>
      <c r="CM51" s="21">
        <f>EXP(-LN(2)/2)*CM50+(1-EXP(-LN(2)/2))/(LN(2)/2)*CG51*CJ51*VLOOKUP('Données projet'!$B$12,Paramètres!$A$1:$I$89,3,0)*0.475*44/12</f>
        <v>2.1445266926569304</v>
      </c>
      <c r="CN51" s="22">
        <f t="shared" si="12"/>
        <v>21.462179449148181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6.2820512820512757</v>
      </c>
      <c r="CT51" s="12">
        <f>IF('Données projet'!$A$140&gt;35,CT50+CS51-DB50,IF(A51&lt;'Données projet'!$A$140,$CQ$205^A51,IF(A51='Données projet'!$A$140,'Données projet'!$B$140,CT50+CS51-DB50)))</f>
        <v>192.56410256410257</v>
      </c>
      <c r="CU51" s="17">
        <f>CT51*VLOOKUP('Données projet'!$B$13,Paramètres!$A$1:$I$89,3,0)*VLOOKUP('Données projet'!$B$13,Paramètres!$A$1:$I$89,5,0)</f>
        <v>129.172</v>
      </c>
      <c r="CV51" s="13">
        <f t="shared" si="41"/>
        <v>33.804961751689021</v>
      </c>
      <c r="CW51" s="20">
        <f t="shared" si="13"/>
        <v>283.85154171752504</v>
      </c>
      <c r="CX51" s="59">
        <f t="shared" si="14"/>
        <v>537.61141040319274</v>
      </c>
      <c r="CY51" s="59">
        <f ca="1">AVERAGE(OFFSET($CX$3,0,0,'Données projet'!$E$13+1,1))-AVERAGE(OFFSET($H$3,0,0,'Données projet'!$E$13+1,1))</f>
        <v>335.73816489539837</v>
      </c>
      <c r="CZ51" s="59">
        <f t="shared" si="42"/>
        <v>254.09787950201044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6.8953769011108035</v>
      </c>
      <c r="DH51" s="21">
        <f>EXP(-LN(2)/2)*DH50+(1-EXP(-LN(2)/2))/(LN(2)/2)*DB51*DE51*VLOOKUP('Données projet'!$B$13,Paramètres!$A$1:$I$89,3,0)*0.475*44/12</f>
        <v>1.1399750395288042</v>
      </c>
      <c r="DI51" s="22">
        <f t="shared" si="15"/>
        <v>8.0353519406396074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10.001428571428571</v>
      </c>
      <c r="DO51" s="12">
        <f>IF('Données projet'!$A$166&gt;35,DO50+DN51-DW50,IF(A51&lt;'Données projet'!$A$166,$DL$205^A51,IF(A51='Données projet'!$A$166,'Données projet'!$B$166,DO50+DN51-DW50)))</f>
        <v>138.06428571428572</v>
      </c>
      <c r="DP51" s="17">
        <f>DO51*VLOOKUP('Données projet'!$B$14,Paramètres!$A$1:$I$89,3,0)*VLOOKUP('Données projet'!$B$14,Paramètres!$A$1:$I$89,5,0)</f>
        <v>133.53577714285714</v>
      </c>
      <c r="DQ51" s="13">
        <f t="shared" si="43"/>
        <v>34.812093236915651</v>
      </c>
      <c r="DR51" s="20">
        <f t="shared" si="16"/>
        <v>293.20587424477088</v>
      </c>
      <c r="DS51" s="59">
        <f t="shared" si="17"/>
        <v>546.96574293043864</v>
      </c>
      <c r="DT51" s="59">
        <f ca="1">AVERAGE(OFFSET($DS$3,0,0,'Données projet'!$E$14+1,1))-AVERAGE(OFFSET($H$3,0,0,'Données projet'!$E$14+1,1))</f>
        <v>493.03862850474161</v>
      </c>
      <c r="DU51" s="59">
        <f t="shared" si="44"/>
        <v>312.51819065560528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33.925900504822543</v>
      </c>
      <c r="EC51" s="21">
        <f>EXP(-LN(2)/2)*EC50+(1-EXP(-LN(2)/2))/(LN(2)/2)*DW51*DZ51*VLOOKUP('Données projet'!$B$14,Paramètres!$A$1:$I$89,3,0)*0.475*44/12</f>
        <v>3.098426123125904</v>
      </c>
      <c r="ED51" s="22">
        <f t="shared" si="18"/>
        <v>37.024326627948447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10.001428571428571</v>
      </c>
      <c r="EJ51" s="12">
        <f>IF('Données projet'!$A$192&gt;35,EJ50+EI51-ER50,IF(A51&lt;'Données projet'!$A$192,$EG$205^A51,IF(A51='Données projet'!$A$192,'Données projet'!$B$192,EJ50+EI51-ER50)))</f>
        <v>138.06428571428572</v>
      </c>
      <c r="EK51" s="17">
        <f>EJ51*VLOOKUP('Données projet'!$B$15,Paramètres!$A$1:$I$89,3,0)*VLOOKUP('Données projet'!$B$15,Paramètres!$A$1:$I$89,5,0)</f>
        <v>148.61239714285713</v>
      </c>
      <c r="EL51" s="13">
        <f t="shared" si="45"/>
        <v>38.263077530368669</v>
      </c>
      <c r="EM51" s="20">
        <f t="shared" si="19"/>
        <v>325.47478505586827</v>
      </c>
      <c r="EN51" s="59">
        <f t="shared" si="20"/>
        <v>579.23465374153602</v>
      </c>
      <c r="EO51" s="59">
        <f ca="1">AVERAGE(OFFSET($EN$3,0,0,'Données projet'!$E$15+1,1))-AVERAGE(OFFSET($H$3,0,0,'Données projet'!$E$15+1,1))</f>
        <v>539.72194201710272</v>
      </c>
      <c r="EP51" s="59">
        <f t="shared" si="46"/>
        <v>340.76505385159362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37.756244110205749</v>
      </c>
      <c r="EX51" s="21">
        <f>EXP(-LN(2)/2)*EX50+(1-EXP(-LN(2)/2))/(LN(2)/2)*ER51*EU51*VLOOKUP('Données projet'!$B$15,Paramètres!$A$1:$I$89,3,0)*0.475*44/12</f>
        <v>3.4482484273497969</v>
      </c>
      <c r="EY51" s="22">
        <f t="shared" si="21"/>
        <v>41.204492537555545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8.6</v>
      </c>
      <c r="FE51" s="12">
        <f>IF('Données projet'!$A$218&gt;35,FE50+FD51-FM50,IF(A51&lt;'Données projet'!$A$218,$FB$205^A51,IF(A51='Données projet'!$A$218,'Données projet'!$B$218,FE50+FD51-FM50)))</f>
        <v>243.80000000000004</v>
      </c>
      <c r="FF51" s="17">
        <f>FE51*VLOOKUP('Données projet'!$B$16,Paramètres!$A$1:$I$89,3,0)*VLOOKUP('Données projet'!$B$16,Paramètres!$A$1:$I$89,5,0)</f>
        <v>197.77056000000005</v>
      </c>
      <c r="FG51" s="13">
        <f t="shared" si="47"/>
        <v>49.253885093250254</v>
      </c>
      <c r="FH51" s="20">
        <f t="shared" si="22"/>
        <v>430.23424187074426</v>
      </c>
      <c r="FI51" s="59">
        <f t="shared" si="23"/>
        <v>683.9941105564119</v>
      </c>
      <c r="FJ51" s="59">
        <f ca="1">AVERAGE(OFFSET($FI$3,0,0,'Données projet'!$E$16+1,1))-AVERAGE(OFFSET($H$3,0,0,'Données projet'!$E$16+1,1))</f>
        <v>383.47860767209028</v>
      </c>
      <c r="FK51" s="59">
        <f t="shared" si="48"/>
        <v>370.49129421395628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12.363008512038435</v>
      </c>
      <c r="FR51" s="21">
        <f>EXP(-LN(2)/25)*FR50+(1-EXP(-LN(2)/25))/(LN(2)/25)*Calculateur!FM51*Calculateur!FO51*VLOOKUP('Données projet'!$B$16,Paramètres!$A$1:$I$89,3,0)*0.475*44/12</f>
        <v>16.947679930700392</v>
      </c>
      <c r="FS51" s="21">
        <f>EXP(-LN(2)/2)*FS50+(1-EXP(-LN(2)/2))/(LN(2)/2)*FM51*FP51*VLOOKUP('Données projet'!$B$16,Paramètres!$A$1:$I$89,3,0)*0.475*44/12</f>
        <v>2.1320687645327272</v>
      </c>
      <c r="FT51" s="22">
        <f t="shared" si="24"/>
        <v>31.442757207271555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3.3603333333333336</v>
      </c>
      <c r="FZ51" s="12">
        <f>IF('Données projet'!$A$244&gt;35,FZ50+FY51-GH50,IF(A51&lt;'Données projet'!$A$244,$FW$205^A51,IF(A51='Données projet'!$A$244,'Données projet'!$B$244,FZ50+FY51-GH50)))</f>
        <v>161.29599999999994</v>
      </c>
      <c r="GA51" s="17">
        <f>FZ51*VLOOKUP('Données projet'!$B$17,Paramètres!$A$1:$I$89,3,0)*VLOOKUP('Données projet'!$B$17,Paramètres!$A$1:$I$89,5,0)</f>
        <v>183.68388479999993</v>
      </c>
      <c r="GB51" s="13">
        <f t="shared" si="49"/>
        <v>46.140813778613008</v>
      </c>
      <c r="GC51" s="20">
        <f t="shared" si="25"/>
        <v>400.27801669108413</v>
      </c>
      <c r="GD51" s="59">
        <f t="shared" si="26"/>
        <v>654.03788537675177</v>
      </c>
      <c r="GE51" s="59">
        <f ca="1">AVERAGE(OFFSET($GD$3,0,0,'Données projet'!$E$17+1,1))-AVERAGE(OFFSET($H$3,0,0,'Données projet'!$E$17+1,1))</f>
        <v>640.05156427113661</v>
      </c>
      <c r="GF51" s="59">
        <f t="shared" si="50"/>
        <v>308.77220155372902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0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14.224285714285713</v>
      </c>
      <c r="N52" s="13">
        <f>IF('Données projet'!$A$36&gt;35,N51+M52-V51,IF(A52&lt;'Données projet'!$A$36,$K$205^A52,IF(A52='Données projet'!$A$36,'Données projet'!$B$36,N51+M52-V51)))</f>
        <v>233.17142857142858</v>
      </c>
      <c r="O52" s="13">
        <f>N52*VLOOKUP('Données projet'!$B$9,Paramètres!$A$1:$I$89,3,0)*VLOOKUP('Données projet'!$B$9,Paramètres!$A$1:$I$89,5,0)</f>
        <v>196.42361142857146</v>
      </c>
      <c r="P52" s="13">
        <f t="shared" si="33"/>
        <v>48.957362274220372</v>
      </c>
      <c r="Q52" s="20">
        <f t="shared" si="53"/>
        <v>427.3718625323624</v>
      </c>
      <c r="R52" s="59">
        <f t="shared" si="0"/>
        <v>681.81824235665431</v>
      </c>
      <c r="S52" s="59">
        <f ca="1">AVERAGE(OFFSET($R$3,0,0,'Données projet'!$E$9+1,1))-AVERAGE(OFFSET($H$3,0,0,'Données projet'!$E$9+1,1))</f>
        <v>456.35333554128226</v>
      </c>
      <c r="T52" s="59">
        <f t="shared" si="34"/>
        <v>296.4517290984877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7.1670190233319646</v>
      </c>
      <c r="AA52" s="21">
        <f>EXP(-LN(2)/25)*AA51+(1-EXP(-LN(2)/25))/(LN(2)/25)*Calculateur!V52*Calculateur!X52*VLOOKUP('Données projet'!$B$9,Paramètres!$A$1:$I$89,3,0)*0.475*44/12</f>
        <v>26.70281020268586</v>
      </c>
      <c r="AB52" s="21">
        <f>EXP(-LN(2)/2)*AB51+(1-EXP(-LN(2)/2))/(LN(2)/2)*V52*Y52*VLOOKUP('Données projet'!$B$9,Paramètres!$A$1:$I$89,3,0)*0.475*44/12</f>
        <v>0.92273770181993309</v>
      </c>
      <c r="AC52" s="22">
        <f t="shared" si="3"/>
        <v>34.792566927837761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8.6</v>
      </c>
      <c r="AI52" s="13">
        <f>IF('Données projet'!$A$62&gt;35,AI51+AH52-AQ51,IF(A52&lt;'Données projet'!$A$62,$AF$205^A52,IF(A52='Données projet'!$A$62,'Données projet'!$B$62,AI51+AH52-AQ51)))</f>
        <v>252.40000000000003</v>
      </c>
      <c r="AJ52" s="13">
        <f>AI52*VLOOKUP('Données projet'!$B$10,Paramètres!$A$1:$I$89,3,0)*VLOOKUP('Données projet'!$B$10,Paramètres!$A$1:$I$89,5,0)</f>
        <v>220.49664000000004</v>
      </c>
      <c r="AK52" s="13">
        <f t="shared" si="35"/>
        <v>54.222813800824916</v>
      </c>
      <c r="AL52" s="20">
        <f t="shared" si="4"/>
        <v>478.46971536977009</v>
      </c>
      <c r="AM52" s="59">
        <f t="shared" si="5"/>
        <v>732.91609519406211</v>
      </c>
      <c r="AN52" s="59">
        <f ca="1">AVERAGE(OFFSET($AM$3,0,0,'Données projet'!$E$10+1,1))-AVERAGE(OFFSET($H$3,0,0,'Données projet'!$E$10+1,1))</f>
        <v>408.246209980743</v>
      </c>
      <c r="AO52" s="59">
        <f t="shared" si="36"/>
        <v>394.10236303013903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13.052929567793207</v>
      </c>
      <c r="AV52" s="21">
        <f>EXP(-LN(2)/25)*AV51+(1-EXP(-LN(2)/25))/(LN(2)/25)*Calculateur!AQ52*Calculateur!AS52*VLOOKUP('Données projet'!$B$10,Paramètres!$A$1:$I$89,3,0)*0.475*44/12</f>
        <v>17.752263557275288</v>
      </c>
      <c r="AW52" s="21">
        <f>EXP(-LN(2)/2)*AW51+(1-EXP(-LN(2)/2))/(LN(2)/2)*AQ52*AT52*VLOOKUP('Données projet'!$B$10,Paramètres!$A$1:$I$89,3,0)*0.475*44/12</f>
        <v>1.6235695337692022</v>
      </c>
      <c r="AX52" s="21">
        <f t="shared" si="6"/>
        <v>32.428762658837698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3.3603333333333336</v>
      </c>
      <c r="BD52" s="12">
        <f>IF('Données projet'!$A$88&gt;35,BD51+BC52-BL51,IF(A52&lt;'Données projet'!$A$88,$BA$205^A52,IF(A52='Données projet'!$A$88,'Données projet'!$B$88,BD51+BC52-BL51)))</f>
        <v>164.65633333333327</v>
      </c>
      <c r="BE52" s="13">
        <f>BD52*VLOOKUP('Données projet'!$B$11,Paramètres!$A$1:$I$89,3,0)*VLOOKUP('Données projet'!$B$11,Paramètres!$A$1:$I$89,5,0)</f>
        <v>166.96152199999995</v>
      </c>
      <c r="BF52" s="13">
        <f t="shared" si="37"/>
        <v>42.408792940283384</v>
      </c>
      <c r="BG52" s="20">
        <f t="shared" si="7"/>
        <v>364.65329852099347</v>
      </c>
      <c r="BH52" s="59">
        <f t="shared" si="8"/>
        <v>619.09967834528538</v>
      </c>
      <c r="BI52" s="59">
        <f ca="1">AVERAGE(OFFSET($BH$3,0,0,'Données projet'!$E$11+1,1))-AVERAGE(OFFSET($H$3,0,0,'Données projet'!$E$11+1,1))</f>
        <v>580.02848304986492</v>
      </c>
      <c r="BJ52" s="59">
        <f t="shared" si="38"/>
        <v>281.68891895586728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10.375</v>
      </c>
      <c r="BY52" s="12">
        <f>IF('Données projet'!$A$114&gt;35,BY51+BX52-CG51,IF(A52&lt;'Données projet'!$A$114,$BV$205^A52,IF(A52='Données projet'!$A$114,'Données projet'!$B$114,BY51+BX52-CG51)))</f>
        <v>238.87499999999991</v>
      </c>
      <c r="BZ52" s="13">
        <f>BY52*VLOOKUP('Données projet'!$B$12,Paramètres!$A$1:$I$89,3,0)*VLOOKUP('Données projet'!$B$12,Paramètres!$A$1:$I$89,5,0)</f>
        <v>186.32249999999993</v>
      </c>
      <c r="CA52" s="13">
        <f t="shared" si="39"/>
        <v>46.725987276254116</v>
      </c>
      <c r="CB52" s="20">
        <f t="shared" si="10"/>
        <v>405.8927820061424</v>
      </c>
      <c r="CC52" s="59">
        <f t="shared" si="11"/>
        <v>660.33916183043436</v>
      </c>
      <c r="CD52" s="59">
        <f ca="1">AVERAGE(OFFSET($CC$3,0,0,'Données projet'!$E$12+1,1))-AVERAGE(OFFSET($H$3,0,0,'Données projet'!$E$12+1,1))</f>
        <v>308.85018589589453</v>
      </c>
      <c r="CE52" s="59">
        <f t="shared" si="40"/>
        <v>302.59481222418219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8.5775364240216927</v>
      </c>
      <c r="CL52" s="21">
        <f>EXP(-LN(2)/25)*CL51+(1-EXP(-LN(2)/25))/(LN(2)/25)*Calculateur!CG52*Calculateur!CI52*VLOOKUP('Données projet'!$B$12,Paramètres!$A$1:$I$89,3,0)*0.475*44/12</f>
        <v>10.279554194397239</v>
      </c>
      <c r="CM52" s="21">
        <f>EXP(-LN(2)/2)*CM51+(1-EXP(-LN(2)/2))/(LN(2)/2)*CG52*CJ52*VLOOKUP('Données projet'!$B$12,Paramètres!$A$1:$I$89,3,0)*0.475*44/12</f>
        <v>1.5164093668132745</v>
      </c>
      <c r="CN52" s="22">
        <f t="shared" si="12"/>
        <v>20.373499985232204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6.2820512820512757</v>
      </c>
      <c r="CT52" s="12">
        <f>IF('Données projet'!$A$140&gt;35,CT51+CS52-DB51,IF(A52&lt;'Données projet'!$A$140,$CQ$205^A52,IF(A52='Données projet'!$A$140,'Données projet'!$B$140,CT51+CS52-DB51)))</f>
        <v>198.84615384615384</v>
      </c>
      <c r="CU52" s="17">
        <f>CT52*VLOOKUP('Données projet'!$B$13,Paramètres!$A$1:$I$89,3,0)*VLOOKUP('Données projet'!$B$13,Paramètres!$A$1:$I$89,5,0)</f>
        <v>133.386</v>
      </c>
      <c r="CV52" s="13">
        <f t="shared" si="41"/>
        <v>34.777589819693418</v>
      </c>
      <c r="CW52" s="20">
        <f t="shared" si="13"/>
        <v>292.88491893596603</v>
      </c>
      <c r="CX52" s="59">
        <f t="shared" si="14"/>
        <v>547.33129876025805</v>
      </c>
      <c r="CY52" s="59">
        <f ca="1">AVERAGE(OFFSET($CX$3,0,0,'Données projet'!$E$13+1,1))-AVERAGE(OFFSET($H$3,0,0,'Données projet'!$E$13+1,1))</f>
        <v>335.73816489539837</v>
      </c>
      <c r="CZ52" s="59">
        <f t="shared" si="42"/>
        <v>254.09787950201044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6.7068224571378172</v>
      </c>
      <c r="DH52" s="21">
        <f>EXP(-LN(2)/2)*DH51+(1-EXP(-LN(2)/2))/(LN(2)/2)*DB52*DE52*VLOOKUP('Données projet'!$B$13,Paramètres!$A$1:$I$89,3,0)*0.475*44/12</f>
        <v>0.80608408083422012</v>
      </c>
      <c r="DI52" s="22">
        <f t="shared" si="15"/>
        <v>7.5129065379720377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10.001428571428571</v>
      </c>
      <c r="DO52" s="12">
        <f>IF('Données projet'!$A$166&gt;35,DO51+DN52-DW51,IF(A52&lt;'Données projet'!$A$166,$DL$205^A52,IF(A52='Données projet'!$A$166,'Données projet'!$B$166,DO51+DN52-DW51)))</f>
        <v>148.06571428571428</v>
      </c>
      <c r="DP52" s="17">
        <f>DO52*VLOOKUP('Données projet'!$B$14,Paramètres!$A$1:$I$89,3,0)*VLOOKUP('Données projet'!$B$14,Paramètres!$A$1:$I$89,5,0)</f>
        <v>143.20915885714285</v>
      </c>
      <c r="DQ52" s="13">
        <f t="shared" si="43"/>
        <v>37.031206201433761</v>
      </c>
      <c r="DR52" s="20">
        <f t="shared" si="16"/>
        <v>313.91863581035426</v>
      </c>
      <c r="DS52" s="59">
        <f t="shared" si="17"/>
        <v>568.36501563464617</v>
      </c>
      <c r="DT52" s="59">
        <f ca="1">AVERAGE(OFFSET($DS$3,0,0,'Données projet'!$E$14+1,1))-AVERAGE(OFFSET($H$3,0,0,'Données projet'!$E$14+1,1))</f>
        <v>493.03862850474161</v>
      </c>
      <c r="DU52" s="59">
        <f t="shared" si="44"/>
        <v>312.51819065560528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32.998194971432603</v>
      </c>
      <c r="EC52" s="21">
        <f>EXP(-LN(2)/2)*EC51+(1-EXP(-LN(2)/2))/(LN(2)/2)*DW52*DZ52*VLOOKUP('Données projet'!$B$14,Paramètres!$A$1:$I$89,3,0)*0.475*44/12</f>
        <v>2.1909181226678713</v>
      </c>
      <c r="ED52" s="22">
        <f t="shared" si="18"/>
        <v>35.189113094100477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10.001428571428571</v>
      </c>
      <c r="EJ52" s="12">
        <f>IF('Données projet'!$A$192&gt;35,EJ51+EI52-ER51,IF(A52&lt;'Données projet'!$A$192,$EG$205^A52,IF(A52='Données projet'!$A$192,'Données projet'!$B$192,EJ51+EI52-ER51)))</f>
        <v>148.06571428571428</v>
      </c>
      <c r="EK52" s="17">
        <f>EJ52*VLOOKUP('Données projet'!$B$15,Paramètres!$A$1:$I$89,3,0)*VLOOKUP('Données projet'!$B$15,Paramètres!$A$1:$I$89,5,0)</f>
        <v>159.37793485714283</v>
      </c>
      <c r="EL52" s="13">
        <f t="shared" si="45"/>
        <v>40.702175082823857</v>
      </c>
      <c r="EM52" s="20">
        <f t="shared" si="19"/>
        <v>348.47285814544199</v>
      </c>
      <c r="EN52" s="59">
        <f t="shared" si="20"/>
        <v>602.91923796973401</v>
      </c>
      <c r="EO52" s="59">
        <f ca="1">AVERAGE(OFFSET($EN$3,0,0,'Données projet'!$E$15+1,1))-AVERAGE(OFFSET($H$3,0,0,'Données projet'!$E$15+1,1))</f>
        <v>539.72194201710272</v>
      </c>
      <c r="EP52" s="59">
        <f t="shared" si="46"/>
        <v>340.76505385159362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36.723797629497589</v>
      </c>
      <c r="EX52" s="21">
        <f>EXP(-LN(2)/2)*EX51+(1-EXP(-LN(2)/2))/(LN(2)/2)*ER52*EU52*VLOOKUP('Données projet'!$B$15,Paramètres!$A$1:$I$89,3,0)*0.475*44/12</f>
        <v>2.4382798461948898</v>
      </c>
      <c r="EY52" s="22">
        <f t="shared" si="21"/>
        <v>39.162077475692477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8.6</v>
      </c>
      <c r="FE52" s="12">
        <f>IF('Données projet'!$A$218&gt;35,FE51+FD52-FM51,IF(A52&lt;'Données projet'!$A$218,$FB$205^A52,IF(A52='Données projet'!$A$218,'Données projet'!$B$218,FE51+FD52-FM51)))</f>
        <v>252.40000000000003</v>
      </c>
      <c r="FF52" s="17">
        <f>FE52*VLOOKUP('Données projet'!$B$16,Paramètres!$A$1:$I$89,3,0)*VLOOKUP('Données projet'!$B$16,Paramètres!$A$1:$I$89,5,0)</f>
        <v>204.74688000000003</v>
      </c>
      <c r="FG52" s="13">
        <f t="shared" si="47"/>
        <v>50.785959801489987</v>
      </c>
      <c r="FH52" s="20">
        <f t="shared" si="22"/>
        <v>445.05302932092837</v>
      </c>
      <c r="FI52" s="59">
        <f t="shared" si="23"/>
        <v>699.4994091452204</v>
      </c>
      <c r="FJ52" s="59">
        <f ca="1">AVERAGE(OFFSET($FI$3,0,0,'Données projet'!$E$16+1,1))-AVERAGE(OFFSET($H$3,0,0,'Données projet'!$E$16+1,1))</f>
        <v>383.47860767209028</v>
      </c>
      <c r="FK52" s="59">
        <f t="shared" si="48"/>
        <v>370.49129421395628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12.120577455807974</v>
      </c>
      <c r="FR52" s="21">
        <f>EXP(-LN(2)/25)*FR51+(1-EXP(-LN(2)/25))/(LN(2)/25)*Calculateur!FM52*Calculateur!FO52*VLOOKUP('Données projet'!$B$16,Paramètres!$A$1:$I$89,3,0)*0.475*44/12</f>
        <v>16.484244731755638</v>
      </c>
      <c r="FS52" s="21">
        <f>EXP(-LN(2)/2)*FS51+(1-EXP(-LN(2)/2))/(LN(2)/2)*FM52*FP52*VLOOKUP('Données projet'!$B$16,Paramètres!$A$1:$I$89,3,0)*0.475*44/12</f>
        <v>1.5076002813571159</v>
      </c>
      <c r="FT52" s="22">
        <f t="shared" si="24"/>
        <v>30.11242246892073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3.3603333333333336</v>
      </c>
      <c r="FZ52" s="12">
        <f>IF('Données projet'!$A$244&gt;35,FZ51+FY52-GH51,IF(A52&lt;'Données projet'!$A$244,$FW$205^A52,IF(A52='Données projet'!$A$244,'Données projet'!$B$244,FZ51+FY52-GH51)))</f>
        <v>164.65633333333327</v>
      </c>
      <c r="GA52" s="17">
        <f>FZ52*VLOOKUP('Données projet'!$B$17,Paramètres!$A$1:$I$89,3,0)*VLOOKUP('Données projet'!$B$17,Paramètres!$A$1:$I$89,5,0)</f>
        <v>187.51063239999991</v>
      </c>
      <c r="GB52" s="13">
        <f t="shared" si="49"/>
        <v>46.989167288603106</v>
      </c>
      <c r="GC52" s="20">
        <f t="shared" si="25"/>
        <v>408.42048445765022</v>
      </c>
      <c r="GD52" s="59">
        <f t="shared" si="26"/>
        <v>662.86686428194218</v>
      </c>
      <c r="GE52" s="59">
        <f ca="1">AVERAGE(OFFSET($GD$3,0,0,'Données projet'!$E$17+1,1))-AVERAGE(OFFSET($H$3,0,0,'Données projet'!$E$17+1,1))</f>
        <v>640.05156427113661</v>
      </c>
      <c r="GF52" s="59">
        <f t="shared" si="50"/>
        <v>308.77220155372902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0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14.224285714285713</v>
      </c>
      <c r="N53" s="13">
        <f>IF('Données projet'!$A$36&gt;35,N52+M53-V52,IF(A53&lt;'Données projet'!$A$36,$K$205^A53,IF(A53='Données projet'!$A$36,'Données projet'!$B$36,N52+M53-V52)))</f>
        <v>247.39571428571429</v>
      </c>
      <c r="O53" s="13">
        <f>N53*VLOOKUP('Données projet'!$B$9,Paramètres!$A$1:$I$89,3,0)*VLOOKUP('Données projet'!$B$9,Paramètres!$A$1:$I$89,5,0)</f>
        <v>208.40614971428573</v>
      </c>
      <c r="P53" s="13">
        <f t="shared" si="33"/>
        <v>51.587135022941858</v>
      </c>
      <c r="Q53" s="20">
        <f t="shared" si="53"/>
        <v>452.82163758400475</v>
      </c>
      <c r="R53" s="59">
        <f t="shared" si="0"/>
        <v>707.94261911347485</v>
      </c>
      <c r="S53" s="59">
        <f ca="1">AVERAGE(OFFSET($R$3,0,0,'Données projet'!$E$9+1,1))-AVERAGE(OFFSET($H$3,0,0,'Données projet'!$E$9+1,1))</f>
        <v>456.35333554128226</v>
      </c>
      <c r="T53" s="59">
        <f t="shared" si="34"/>
        <v>296.4517290984877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7.0264781517343842</v>
      </c>
      <c r="AA53" s="21">
        <f>EXP(-LN(2)/25)*AA52+(1-EXP(-LN(2)/25))/(LN(2)/25)*Calculateur!V53*Calculateur!X53*VLOOKUP('Données projet'!$B$9,Paramètres!$A$1:$I$89,3,0)*0.475*44/12</f>
        <v>25.972620453453658</v>
      </c>
      <c r="AB53" s="21">
        <f>EXP(-LN(2)/2)*AB52+(1-EXP(-LN(2)/2))/(LN(2)/2)*V53*Y53*VLOOKUP('Données projet'!$B$9,Paramètres!$A$1:$I$89,3,0)*0.475*44/12</f>
        <v>0.65247408621336522</v>
      </c>
      <c r="AC53" s="22">
        <f t="shared" si="3"/>
        <v>33.651572691401405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261</v>
      </c>
      <c r="AG53" s="12">
        <f>VLOOKUP(A53,'Données projet'!$A$61:$I$81,9,0)</f>
        <v>8.6</v>
      </c>
      <c r="AH53" s="12">
        <f t="array" ref="AH53">INDEX(AG:AG,MIN(IF(ISNUMBER(AG53:AG249),ROW(AG53:AG249),"")))</f>
        <v>8.6</v>
      </c>
      <c r="AI53" s="13">
        <f>IF('Données projet'!$A$62&gt;35,AI52+AH53-AQ52,IF(A53&lt;'Données projet'!$A$62,$AF$205^A53,IF(A53='Données projet'!$A$62,'Données projet'!$B$62,AI52+AH53-AQ52)))</f>
        <v>261.00000000000006</v>
      </c>
      <c r="AJ53" s="13">
        <f>AI53*VLOOKUP('Données projet'!$B$10,Paramètres!$A$1:$I$89,3,0)*VLOOKUP('Données projet'!$B$10,Paramètres!$A$1:$I$89,5,0)</f>
        <v>228.00960000000009</v>
      </c>
      <c r="AK53" s="13">
        <f t="shared" si="35"/>
        <v>55.852093054619878</v>
      </c>
      <c r="AL53" s="20">
        <f t="shared" si="4"/>
        <v>494.3924487367965</v>
      </c>
      <c r="AM53" s="59">
        <f t="shared" si="5"/>
        <v>749.5134302662666</v>
      </c>
      <c r="AN53" s="59">
        <f ca="1">AVERAGE(OFFSET($AM$3,0,0,'Données projet'!$E$10+1,1))-AVERAGE(OFFSET($H$3,0,0,'Données projet'!$E$10+1,1))</f>
        <v>408.246209980743</v>
      </c>
      <c r="AO53" s="59">
        <f t="shared" si="36"/>
        <v>394.10236303013903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19</v>
      </c>
      <c r="AR53" s="16">
        <f>IF(ISNA(VLOOKUP(A53,'Données projet'!$A$61:$I$81,5,0)),0%,VLOOKUP(A53,'Données projet'!$A$61:$I$81,5,0)*VLOOKUP('Données projet'!$B$10,Paramètres!$A$1:$I$89,7,0))</f>
        <v>0.13250000000000001</v>
      </c>
      <c r="AS53" s="16">
        <f>IF(ISNA(VLOOKUP(A53,'Données projet'!$A$61:$I$81,6,0)),0%,VLOOKUP(A53,'Données projet'!$A$61:$I$81,6,0)*VLOOKUP('Données projet'!$B$10,Paramètres!$A$1:$I$89,7,0))</f>
        <v>0.13250000000000001</v>
      </c>
      <c r="AT53" s="16">
        <f>IF(ISNA(VLOOKUP(A53,'Données projet'!$A$61:$I$81,7,0)),0%,VLOOKUP(A53,'Données projet'!$A$61:$I$81,7,0))</f>
        <v>0.25</v>
      </c>
      <c r="AU53" s="21">
        <f>EXP(-LN(2)/35)*AU52+(1-EXP(-LN(2)/35))/(LN(2)/35)*AQ53*AR53*VLOOKUP('Données projet'!$B$10,Paramètres!$A$1:$I$89,3,0)*0.475*44/12</f>
        <v>15.228217320531948</v>
      </c>
      <c r="AV53" s="21">
        <f>EXP(-LN(2)/25)*AV52+(1-EXP(-LN(2)/25))/(LN(2)/25)*Calculateur!AQ53*Calculateur!AS53*VLOOKUP('Données projet'!$B$10,Paramètres!$A$1:$I$89,3,0)*0.475*44/12</f>
        <v>19.68850196808225</v>
      </c>
      <c r="AW53" s="21">
        <f>EXP(-LN(2)/2)*AW52+(1-EXP(-LN(2)/2))/(LN(2)/2)*AQ53*AT53*VLOOKUP('Données projet'!$B$10,Paramètres!$A$1:$I$89,3,0)*0.475*44/12</f>
        <v>5.0632963119026035</v>
      </c>
      <c r="AX53" s="21">
        <f t="shared" si="6"/>
        <v>39.980015600516801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3.3603333333333336</v>
      </c>
      <c r="BD53" s="12">
        <f>IF('Données projet'!$A$88&gt;35,BD52+BC53-BL52,IF(A53&lt;'Données projet'!$A$88,$BA$205^A53,IF(A53='Données projet'!$A$88,'Données projet'!$B$88,BD52+BC53-BL52)))</f>
        <v>168.01666666666659</v>
      </c>
      <c r="BE53" s="13">
        <f>BD53*VLOOKUP('Données projet'!$B$11,Paramètres!$A$1:$I$89,3,0)*VLOOKUP('Données projet'!$B$11,Paramètres!$A$1:$I$89,5,0)</f>
        <v>170.36889999999994</v>
      </c>
      <c r="BF53" s="13">
        <f t="shared" si="37"/>
        <v>43.172634487453415</v>
      </c>
      <c r="BG53" s="20">
        <f t="shared" si="7"/>
        <v>371.91817256564792</v>
      </c>
      <c r="BH53" s="59">
        <f t="shared" si="8"/>
        <v>627.03915409511796</v>
      </c>
      <c r="BI53" s="59">
        <f ca="1">AVERAGE(OFFSET($BH$3,0,0,'Données projet'!$E$11+1,1))-AVERAGE(OFFSET($H$3,0,0,'Données projet'!$E$11+1,1))</f>
        <v>580.02848304986492</v>
      </c>
      <c r="BJ53" s="59">
        <f t="shared" si="38"/>
        <v>281.68891895586728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10.375</v>
      </c>
      <c r="BY53" s="12">
        <f>IF('Données projet'!$A$114&gt;35,BY52+BX53-CG52,IF(A53&lt;'Données projet'!$A$114,$BV$205^A53,IF(A53='Données projet'!$A$114,'Données projet'!$B$114,BY52+BX53-CG52)))</f>
        <v>249.24999999999991</v>
      </c>
      <c r="BZ53" s="13">
        <f>BY53*VLOOKUP('Données projet'!$B$12,Paramètres!$A$1:$I$89,3,0)*VLOOKUP('Données projet'!$B$12,Paramètres!$A$1:$I$89,5,0)</f>
        <v>194.41499999999994</v>
      </c>
      <c r="CA53" s="13">
        <f t="shared" si="39"/>
        <v>48.514737888684927</v>
      </c>
      <c r="CB53" s="20">
        <f t="shared" si="10"/>
        <v>423.10262682279273</v>
      </c>
      <c r="CC53" s="59">
        <f t="shared" si="11"/>
        <v>678.22360835226277</v>
      </c>
      <c r="CD53" s="59">
        <f ca="1">AVERAGE(OFFSET($CC$3,0,0,'Données projet'!$E$12+1,1))-AVERAGE(OFFSET($H$3,0,0,'Données projet'!$E$12+1,1))</f>
        <v>308.85018589589453</v>
      </c>
      <c r="CE53" s="59">
        <f t="shared" si="40"/>
        <v>302.59481222418219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8.4093361665272504</v>
      </c>
      <c r="CL53" s="21">
        <f>EXP(-LN(2)/25)*CL52+(1-EXP(-LN(2)/25))/(LN(2)/25)*Calculateur!CG53*Calculateur!CI53*VLOOKUP('Données projet'!$B$12,Paramètres!$A$1:$I$89,3,0)*0.475*44/12</f>
        <v>9.9984592443731852</v>
      </c>
      <c r="CM53" s="21">
        <f>EXP(-LN(2)/2)*CM52+(1-EXP(-LN(2)/2))/(LN(2)/2)*CG53*CJ53*VLOOKUP('Données projet'!$B$12,Paramètres!$A$1:$I$89,3,0)*0.475*44/12</f>
        <v>1.0722633463284652</v>
      </c>
      <c r="CN53" s="22">
        <f t="shared" si="12"/>
        <v>19.4800587572289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205.12820512820511</v>
      </c>
      <c r="CR53" s="12">
        <f>VLOOKUP(A53,'Données projet'!$A$139:$I$159,9,0)</f>
        <v>6.2820512820512757</v>
      </c>
      <c r="CS53" s="12">
        <f t="array" ref="CS53">INDEX(CR:CR,MIN(IF(ISNUMBER(CR53:CR249),ROW(CR53:CR249),"")))</f>
        <v>6.2820512820512757</v>
      </c>
      <c r="CT53" s="12">
        <f>IF('Données projet'!$A$140&gt;35,CT52+CS53-DB52,IF(A53&lt;'Données projet'!$A$140,$CQ$205^A53,IF(A53='Données projet'!$A$140,'Données projet'!$B$140,CT52+CS53-DB52)))</f>
        <v>205.12820512820511</v>
      </c>
      <c r="CU53" s="17">
        <f>CT53*VLOOKUP('Données projet'!$B$13,Paramètres!$A$1:$I$89,3,0)*VLOOKUP('Données projet'!$B$13,Paramètres!$A$1:$I$89,5,0)</f>
        <v>137.6</v>
      </c>
      <c r="CV53" s="13">
        <f t="shared" si="41"/>
        <v>35.746647115800606</v>
      </c>
      <c r="CW53" s="20">
        <f t="shared" si="13"/>
        <v>301.91207706001939</v>
      </c>
      <c r="CX53" s="59">
        <f t="shared" si="14"/>
        <v>557.03305858948943</v>
      </c>
      <c r="CY53" s="59">
        <f ca="1">AVERAGE(OFFSET($CX$3,0,0,'Données projet'!$E$13+1,1))-AVERAGE(OFFSET($H$3,0,0,'Données projet'!$E$13+1,1))</f>
        <v>335.73816489539837</v>
      </c>
      <c r="CZ53" s="59">
        <f t="shared" si="42"/>
        <v>254.09787950201044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16.025641025641026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0.13250000000000001</v>
      </c>
      <c r="DE53" s="16">
        <f>IF(ISNA(VLOOKUP(A53,'Données projet'!$A$139:$I$159,7,0)),0%,VLOOKUP(A53,'Données projet'!$A$139:$I$159,7,0))</f>
        <v>0.25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8.0918285988148995</v>
      </c>
      <c r="DH53" s="21">
        <f>EXP(-LN(2)/2)*DH52+(1-EXP(-LN(2)/2))/(LN(2)/2)*DB53*DE53*VLOOKUP('Données projet'!$B$13,Paramètres!$A$1:$I$89,3,0)*0.475*44/12</f>
        <v>3.1057161027663831</v>
      </c>
      <c r="DI53" s="22">
        <f t="shared" si="15"/>
        <v>11.197544701581283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10.001428571428571</v>
      </c>
      <c r="DO53" s="12">
        <f>IF('Données projet'!$A$166&gt;35,DO52+DN53-DW52,IF(A53&lt;'Données projet'!$A$166,$DL$205^A53,IF(A53='Données projet'!$A$166,'Données projet'!$B$166,DO52+DN53-DW52)))</f>
        <v>158.06714285714284</v>
      </c>
      <c r="DP53" s="17">
        <f>DO53*VLOOKUP('Données projet'!$B$14,Paramètres!$A$1:$I$89,3,0)*VLOOKUP('Données projet'!$B$14,Paramètres!$A$1:$I$89,5,0)</f>
        <v>152.88254057142856</v>
      </c>
      <c r="DQ53" s="13">
        <f t="shared" si="43"/>
        <v>39.232925851441806</v>
      </c>
      <c r="DR53" s="20">
        <f t="shared" si="16"/>
        <v>334.60110401983258</v>
      </c>
      <c r="DS53" s="59">
        <f t="shared" si="17"/>
        <v>589.72208554930262</v>
      </c>
      <c r="DT53" s="59">
        <f ca="1">AVERAGE(OFFSET($DS$3,0,0,'Données projet'!$E$14+1,1))-AVERAGE(OFFSET($H$3,0,0,'Données projet'!$E$14+1,1))</f>
        <v>493.03862850474161</v>
      </c>
      <c r="DU53" s="59">
        <f t="shared" si="44"/>
        <v>312.51819065560528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32.095857594639121</v>
      </c>
      <c r="EC53" s="21">
        <f>EXP(-LN(2)/2)*EC52+(1-EXP(-LN(2)/2))/(LN(2)/2)*DW53*DZ53*VLOOKUP('Données projet'!$B$14,Paramètres!$A$1:$I$89,3,0)*0.475*44/12</f>
        <v>1.549213061562952</v>
      </c>
      <c r="ED53" s="22">
        <f t="shared" si="18"/>
        <v>33.645070656202073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10.001428571428571</v>
      </c>
      <c r="EJ53" s="12">
        <f>IF('Données projet'!$A$192&gt;35,EJ52+EI53-ER52,IF(A53&lt;'Données projet'!$A$192,$EG$205^A53,IF(A53='Données projet'!$A$192,'Données projet'!$B$192,EJ52+EI53-ER52)))</f>
        <v>158.06714285714284</v>
      </c>
      <c r="EK53" s="17">
        <f>EJ53*VLOOKUP('Données projet'!$B$15,Paramètres!$A$1:$I$89,3,0)*VLOOKUP('Données projet'!$B$15,Paramètres!$A$1:$I$89,5,0)</f>
        <v>170.14347257142856</v>
      </c>
      <c r="EL53" s="13">
        <f t="shared" si="45"/>
        <v>43.122155090778605</v>
      </c>
      <c r="EM53" s="20">
        <f t="shared" si="19"/>
        <v>371.43763484501079</v>
      </c>
      <c r="EN53" s="59">
        <f t="shared" si="20"/>
        <v>626.55861637448083</v>
      </c>
      <c r="EO53" s="59">
        <f ca="1">AVERAGE(OFFSET($EN$3,0,0,'Données projet'!$E$15+1,1))-AVERAGE(OFFSET($H$3,0,0,'Données projet'!$E$15+1,1))</f>
        <v>539.72194201710272</v>
      </c>
      <c r="EP53" s="59">
        <f t="shared" si="46"/>
        <v>340.76505385159362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35.719583452098391</v>
      </c>
      <c r="EX53" s="21">
        <f>EXP(-LN(2)/2)*EX52+(1-EXP(-LN(2)/2))/(LN(2)/2)*ER53*EU53*VLOOKUP('Données projet'!$B$15,Paramètres!$A$1:$I$89,3,0)*0.475*44/12</f>
        <v>1.7241242136748989</v>
      </c>
      <c r="EY53" s="22">
        <f t="shared" si="21"/>
        <v>37.443707665773289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261</v>
      </c>
      <c r="FC53" s="12">
        <f>VLOOKUP(A53,'Données projet'!$A$217:$I$237,9,0)</f>
        <v>8.6</v>
      </c>
      <c r="FD53" s="12">
        <f t="array" ref="FD53">INDEX(FC:FC,MIN(IF(ISNUMBER(FC53:FC249),ROW(FC53:FC249),"")))</f>
        <v>8.6</v>
      </c>
      <c r="FE53" s="12">
        <f>IF('Données projet'!$A$218&gt;35,FE52+FD53-FM52,IF(A53&lt;'Données projet'!$A$218,$FB$205^A53,IF(A53='Données projet'!$A$218,'Données projet'!$B$218,FE52+FD53-FM52)))</f>
        <v>261.00000000000006</v>
      </c>
      <c r="FF53" s="17">
        <f>FE53*VLOOKUP('Données projet'!$B$16,Paramètres!$A$1:$I$89,3,0)*VLOOKUP('Données projet'!$B$16,Paramètres!$A$1:$I$89,5,0)</f>
        <v>211.72320000000005</v>
      </c>
      <c r="FG53" s="13">
        <f t="shared" si="47"/>
        <v>52.311968964212078</v>
      </c>
      <c r="FH53" s="20">
        <f t="shared" si="22"/>
        <v>459.86125261266943</v>
      </c>
      <c r="FI53" s="59">
        <f t="shared" si="23"/>
        <v>714.98223414213953</v>
      </c>
      <c r="FJ53" s="59">
        <f ca="1">AVERAGE(OFFSET($FI$3,0,0,'Données projet'!$E$16+1,1))-AVERAGE(OFFSET($H$3,0,0,'Données projet'!$E$16+1,1))</f>
        <v>383.47860767209028</v>
      </c>
      <c r="FK53" s="59">
        <f t="shared" si="48"/>
        <v>370.49129421395628</v>
      </c>
      <c r="FL53" s="15">
        <f>IF(ISNA(VLOOKUP(A53,'Données projet'!$A$217:$I$237,3,0)),0,VLOOKUP(A53,'Données projet'!$A$217:$I$237,3,0))</f>
        <v>8</v>
      </c>
      <c r="FM53" s="15">
        <f>IF(ISNA(VLOOKUP(A53,'Données projet'!$A$217:$I$237,4,0)),0,VLOOKUP(A53,'Données projet'!$A$217:$I$237,4,0))</f>
        <v>19</v>
      </c>
      <c r="FN53" s="16">
        <f>IF(ISNA(VLOOKUP(A53,'Données projet'!$A$217:$I$237,5,0)),0%,VLOOKUP(A53,'Données projet'!$A$217:$I$237,5,0)*VLOOKUP('Données projet'!$B$16,Paramètres!$A$1:$I$89,7,0))</f>
        <v>0.13250000000000001</v>
      </c>
      <c r="FO53" s="16">
        <f>IF(ISNA(VLOOKUP(A53,'Données projet'!$A$217:$I$237,6,0)),0%,VLOOKUP(A53,'Données projet'!$A$217:$I$237,6,0)*VLOOKUP('Données projet'!$B$16,Paramètres!$A$1:$I$89,7,0))</f>
        <v>0.13250000000000001</v>
      </c>
      <c r="FP53" s="16">
        <f>IF(ISNA(VLOOKUP(A53,'Données projet'!$A$217:$I$237,7,0)),0%,VLOOKUP(A53,'Données projet'!$A$217:$I$237,7,0))</f>
        <v>0.25</v>
      </c>
      <c r="FQ53" s="21">
        <f>EXP(-LN(2)/35)*FQ52+(1-EXP(-LN(2)/35))/(LN(2)/35)*FM53*FN53*VLOOKUP('Données projet'!$B$16,Paramètres!$A$1:$I$89,3,0)*0.475*44/12</f>
        <v>14.140487511922519</v>
      </c>
      <c r="FR53" s="21">
        <f>EXP(-LN(2)/25)*FR52+(1-EXP(-LN(2)/25))/(LN(2)/25)*Calculateur!FM53*Calculateur!FO53*VLOOKUP('Données projet'!$B$16,Paramètres!$A$1:$I$89,3,0)*0.475*44/12</f>
        <v>18.282180398933534</v>
      </c>
      <c r="FS53" s="21">
        <f>EXP(-LN(2)/2)*FS52+(1-EXP(-LN(2)/2))/(LN(2)/2)*FM53*FP53*VLOOKUP('Données projet'!$B$16,Paramètres!$A$1:$I$89,3,0)*0.475*44/12</f>
        <v>4.7016322896238458</v>
      </c>
      <c r="FT53" s="22">
        <f t="shared" si="24"/>
        <v>37.124300200479894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3.3603333333333336</v>
      </c>
      <c r="FZ53" s="12">
        <f>IF('Données projet'!$A$244&gt;35,FZ52+FY53-GH52,IF(A53&lt;'Données projet'!$A$244,$FW$205^A53,IF(A53='Données projet'!$A$244,'Données projet'!$B$244,FZ52+FY53-GH52)))</f>
        <v>168.01666666666659</v>
      </c>
      <c r="GA53" s="17">
        <f>FZ53*VLOOKUP('Données projet'!$B$17,Paramètres!$A$1:$I$89,3,0)*VLOOKUP('Données projet'!$B$17,Paramètres!$A$1:$I$89,5,0)</f>
        <v>191.33737999999994</v>
      </c>
      <c r="GB53" s="13">
        <f t="shared" si="49"/>
        <v>47.835507770222058</v>
      </c>
      <c r="GC53" s="20">
        <f t="shared" si="25"/>
        <v>416.55944619980323</v>
      </c>
      <c r="GD53" s="59">
        <f t="shared" si="26"/>
        <v>671.68042772927333</v>
      </c>
      <c r="GE53" s="59">
        <f ca="1">AVERAGE(OFFSET($GD$3,0,0,'Données projet'!$E$17+1,1))-AVERAGE(OFFSET($H$3,0,0,'Données projet'!$E$17+1,1))</f>
        <v>640.05156427113661</v>
      </c>
      <c r="GF53" s="59">
        <f t="shared" si="50"/>
        <v>308.77220155372902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0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261.62</v>
      </c>
      <c r="L54" s="12">
        <f>VLOOKUP(A54,'Données projet'!$A$35:$I$55,9,0)</f>
        <v>14.224285714285713</v>
      </c>
      <c r="M54" s="12">
        <f t="array" ref="M54">INDEX(L:L,MIN(IF(ISNUMBER(L54:L250),ROW(L54:L250),"")))</f>
        <v>14.224285714285713</v>
      </c>
      <c r="N54" s="13">
        <f>IF('Données projet'!$A$36&gt;35,N53+M54-V53,IF(A54&lt;'Données projet'!$A$36,$K$205^A54,IF(A54='Données projet'!$A$36,'Données projet'!$B$36,N53+M54-V53)))</f>
        <v>261.62</v>
      </c>
      <c r="O54" s="13">
        <f>N54*VLOOKUP('Données projet'!$B$9,Paramètres!$A$1:$I$89,3,0)*VLOOKUP('Données projet'!$B$9,Paramètres!$A$1:$I$89,5,0)</f>
        <v>220.388688</v>
      </c>
      <c r="P54" s="13">
        <f t="shared" si="33"/>
        <v>54.199356456019601</v>
      </c>
      <c r="Q54" s="20">
        <f t="shared" si="53"/>
        <v>478.24084409423403</v>
      </c>
      <c r="R54" s="59">
        <f t="shared" si="0"/>
        <v>734.02472449748086</v>
      </c>
      <c r="S54" s="59">
        <f ca="1">AVERAGE(OFFSET($R$3,0,0,'Données projet'!$E$9+1,1))-AVERAGE(OFFSET($H$3,0,0,'Données projet'!$E$9+1,1))</f>
        <v>456.35333554128226</v>
      </c>
      <c r="T54" s="59">
        <f t="shared" si="34"/>
        <v>296.4517290984877</v>
      </c>
      <c r="U54" s="15">
        <f>IF(ISNA(VLOOKUP(A54,'Données projet'!$A$35:$I$55,3,0)),0,VLOOKUP(A54,'Données projet'!$A$35:$I$55,3,0))</f>
        <v>4</v>
      </c>
      <c r="V54" s="15">
        <f>IF(ISNA(VLOOKUP(A54,'Données projet'!$A$35:$I$55,4,0)),0,VLOOKUP(A54,'Données projet'!$A$35:$I$55,4,0))</f>
        <v>55.400000000000006</v>
      </c>
      <c r="W54" s="16">
        <f>IF(ISNA(VLOOKUP(A54,'Données projet'!$A$35:$I$55,5,0)),0%,VLOOKUP(A54,'Données projet'!$A$35:$I$55,5,0)*VLOOKUP('Données projet'!$B$9,Paramètres!$A$1:$I$89,7,0))</f>
        <v>0.15049999999999999</v>
      </c>
      <c r="X54" s="16">
        <f>IF(ISNA(VLOOKUP(A54,'Données projet'!$A$35:$I$55,6,0)),0%,VLOOKUP(A54,'Données projet'!$A$35:$I$55,6,0)*VLOOKUP('Données projet'!$B$9,Paramètres!$A$1:$I$89,7,0))</f>
        <v>8.6000000000000007E-2</v>
      </c>
      <c r="Y54" s="16">
        <f>IF(ISNA(VLOOKUP(A54,'Données projet'!$A$35:$I$55,7,0)),0%,VLOOKUP(A54,'Données projet'!$A$35:$I$55,7,0))</f>
        <v>0.1</v>
      </c>
      <c r="Z54" s="21">
        <f>EXP(-LN(2)/35)*Z53+(1-EXP(-LN(2)/35))/(LN(2)/35)*V54*W54*VLOOKUP('Données projet'!$B$9,Paramètres!$A$1:$I$89,3,0)*0.475*44/12</f>
        <v>14.653161715910381</v>
      </c>
      <c r="AA54" s="21">
        <f>EXP(-LN(2)/25)*AA53+(1-EXP(-LN(2)/25))/(LN(2)/25)*Calculateur!V54*Calculateur!X54*VLOOKUP('Données projet'!$B$9,Paramètres!$A$1:$I$89,3,0)*0.475*44/12</f>
        <v>29.681767406436077</v>
      </c>
      <c r="AB54" s="21">
        <f>EXP(-LN(2)/2)*AB53+(1-EXP(-LN(2)/2))/(LN(2)/2)*V54*Y54*VLOOKUP('Données projet'!$B$9,Paramètres!$A$1:$I$89,3,0)*0.475*44/12</f>
        <v>4.8647108345741961</v>
      </c>
      <c r="AC54" s="22">
        <f t="shared" si="3"/>
        <v>49.199639956920656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7.4</v>
      </c>
      <c r="AI54" s="13">
        <f>IF('Données projet'!$A$62&gt;35,AI53+AH54-AQ53,IF(A54&lt;'Données projet'!$A$62,$AF$205^A54,IF(A54='Données projet'!$A$62,'Données projet'!$B$62,AI53+AH54-AQ53)))</f>
        <v>249.40000000000003</v>
      </c>
      <c r="AJ54" s="13">
        <f>AI54*VLOOKUP('Données projet'!$B$10,Paramètres!$A$1:$I$89,3,0)*VLOOKUP('Données projet'!$B$10,Paramètres!$A$1:$I$89,5,0)</f>
        <v>217.87584000000007</v>
      </c>
      <c r="AK54" s="13">
        <f t="shared" si="35"/>
        <v>53.652949670124926</v>
      </c>
      <c r="AL54" s="20">
        <f t="shared" si="4"/>
        <v>472.91264200880101</v>
      </c>
      <c r="AM54" s="59">
        <f t="shared" si="5"/>
        <v>728.6965224120479</v>
      </c>
      <c r="AN54" s="59">
        <f ca="1">AVERAGE(OFFSET($AM$3,0,0,'Données projet'!$E$10+1,1))-AVERAGE(OFFSET($H$3,0,0,'Données projet'!$E$10+1,1))</f>
        <v>408.246209980743</v>
      </c>
      <c r="AO54" s="59">
        <f t="shared" si="36"/>
        <v>394.10236303013903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14.929601267171739</v>
      </c>
      <c r="AV54" s="21">
        <f>EXP(-LN(2)/25)*AV53+(1-EXP(-LN(2)/25))/(LN(2)/25)*Calculateur!AQ54*Calculateur!AS54*VLOOKUP('Données projet'!$B$10,Paramètres!$A$1:$I$89,3,0)*0.475*44/12</f>
        <v>19.15011884639172</v>
      </c>
      <c r="AW54" s="21">
        <f>EXP(-LN(2)/2)*AW53+(1-EXP(-LN(2)/2))/(LN(2)/2)*AQ54*AT54*VLOOKUP('Données projet'!$B$10,Paramètres!$A$1:$I$89,3,0)*0.475*44/12</f>
        <v>3.5802911573031677</v>
      </c>
      <c r="AX54" s="21">
        <f t="shared" si="6"/>
        <v>37.660011270866626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3.3603333333333336</v>
      </c>
      <c r="BD54" s="12">
        <f>IF('Données projet'!$A$88&gt;35,BD53+BC54-BL53,IF(A54&lt;'Données projet'!$A$88,$BA$205^A54,IF(A54='Données projet'!$A$88,'Données projet'!$B$88,BD53+BC54-BL53)))</f>
        <v>171.37699999999992</v>
      </c>
      <c r="BE54" s="13">
        <f>BD54*VLOOKUP('Données projet'!$B$11,Paramètres!$A$1:$I$89,3,0)*VLOOKUP('Données projet'!$B$11,Paramètres!$A$1:$I$89,5,0)</f>
        <v>173.77627799999993</v>
      </c>
      <c r="BF54" s="13">
        <f t="shared" si="37"/>
        <v>43.934699754571064</v>
      </c>
      <c r="BG54" s="20">
        <f t="shared" si="7"/>
        <v>379.17995292254449</v>
      </c>
      <c r="BH54" s="59">
        <f t="shared" si="8"/>
        <v>634.96383332579126</v>
      </c>
      <c r="BI54" s="59">
        <f ca="1">AVERAGE(OFFSET($BH$3,0,0,'Données projet'!$E$11+1,1))-AVERAGE(OFFSET($H$3,0,0,'Données projet'!$E$11+1,1))</f>
        <v>580.02848304986492</v>
      </c>
      <c r="BJ54" s="59">
        <f t="shared" si="38"/>
        <v>281.68891895586728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10.375</v>
      </c>
      <c r="BY54" s="12">
        <f>IF('Données projet'!$A$114&gt;35,BY53+BX54-CG53,IF(A54&lt;'Données projet'!$A$114,$BV$205^A54,IF(A54='Données projet'!$A$114,'Données projet'!$B$114,BY53+BX54-CG53)))</f>
        <v>259.62499999999989</v>
      </c>
      <c r="BZ54" s="13">
        <f>BY54*VLOOKUP('Données projet'!$B$12,Paramètres!$A$1:$I$89,3,0)*VLOOKUP('Données projet'!$B$12,Paramètres!$A$1:$I$89,5,0)</f>
        <v>202.50749999999991</v>
      </c>
      <c r="CA54" s="13">
        <f t="shared" si="39"/>
        <v>50.294840086606349</v>
      </c>
      <c r="CB54" s="20">
        <f t="shared" si="10"/>
        <v>440.29740898417253</v>
      </c>
      <c r="CC54" s="59">
        <f t="shared" si="11"/>
        <v>696.08128938741936</v>
      </c>
      <c r="CD54" s="59">
        <f ca="1">AVERAGE(OFFSET($CC$3,0,0,'Données projet'!$E$12+1,1))-AVERAGE(OFFSET($H$3,0,0,'Données projet'!$E$12+1,1))</f>
        <v>308.85018589589453</v>
      </c>
      <c r="CE54" s="59">
        <f t="shared" si="40"/>
        <v>302.59481222418219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8.2444342134902477</v>
      </c>
      <c r="CL54" s="21">
        <f>EXP(-LN(2)/25)*CL53+(1-EXP(-LN(2)/25))/(LN(2)/25)*Calculateur!CG54*Calculateur!CI54*VLOOKUP('Données projet'!$B$12,Paramètres!$A$1:$I$89,3,0)*0.475*44/12</f>
        <v>9.7250508505396809</v>
      </c>
      <c r="CM54" s="21">
        <f>EXP(-LN(2)/2)*CM53+(1-EXP(-LN(2)/2))/(LN(2)/2)*CG54*CJ54*VLOOKUP('Données projet'!$B$12,Paramètres!$A$1:$I$89,3,0)*0.475*44/12</f>
        <v>0.75820468340663727</v>
      </c>
      <c r="CN54" s="22">
        <f t="shared" si="12"/>
        <v>18.727689747436568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5.7692307692307683</v>
      </c>
      <c r="CT54" s="12">
        <f>IF('Données projet'!$A$140&gt;35,CT53+CS54-DB53,IF(A54&lt;'Données projet'!$A$140,$CQ$205^A54,IF(A54='Données projet'!$A$140,'Données projet'!$B$140,CT53+CS54-DB53)))</f>
        <v>194.87179487179486</v>
      </c>
      <c r="CU54" s="17">
        <f>CT54*VLOOKUP('Données projet'!$B$13,Paramètres!$A$1:$I$89,3,0)*VLOOKUP('Données projet'!$B$13,Paramètres!$A$1:$I$89,5,0)</f>
        <v>130.72</v>
      </c>
      <c r="CV54" s="13">
        <f t="shared" si="41"/>
        <v>34.162676675108806</v>
      </c>
      <c r="CW54" s="20">
        <f t="shared" si="13"/>
        <v>287.17066187581446</v>
      </c>
      <c r="CX54" s="59">
        <f t="shared" si="14"/>
        <v>542.95454227906134</v>
      </c>
      <c r="CY54" s="59">
        <f ca="1">AVERAGE(OFFSET($CX$3,0,0,'Données projet'!$E$13+1,1))-AVERAGE(OFFSET($H$3,0,0,'Données projet'!$E$13+1,1))</f>
        <v>335.73816489539837</v>
      </c>
      <c r="CZ54" s="59">
        <f t="shared" si="42"/>
        <v>254.09787950201044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7.8705571202495346</v>
      </c>
      <c r="DH54" s="21">
        <f>EXP(-LN(2)/2)*DH53+(1-EXP(-LN(2)/2))/(LN(2)/2)*DB54*DE54*VLOOKUP('Données projet'!$B$13,Paramètres!$A$1:$I$89,3,0)*0.475*44/12</f>
        <v>2.196072916706366</v>
      </c>
      <c r="DI54" s="22">
        <f t="shared" si="15"/>
        <v>10.0666300369559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10.001428571428571</v>
      </c>
      <c r="DO54" s="12">
        <f>IF('Données projet'!$A$166&gt;35,DO53+DN54-DW53,IF(A54&lt;'Données projet'!$A$166,$DL$205^A54,IF(A54='Données projet'!$A$166,'Données projet'!$B$166,DO53+DN54-DW53)))</f>
        <v>168.0685714285714</v>
      </c>
      <c r="DP54" s="17">
        <f>DO54*VLOOKUP('Données projet'!$B$14,Paramètres!$A$1:$I$89,3,0)*VLOOKUP('Données projet'!$B$14,Paramètres!$A$1:$I$89,5,0)</f>
        <v>162.55592228571427</v>
      </c>
      <c r="DQ54" s="13">
        <f t="shared" si="43"/>
        <v>41.418477994778513</v>
      </c>
      <c r="DR54" s="20">
        <f t="shared" si="16"/>
        <v>355.25541382185821</v>
      </c>
      <c r="DS54" s="59">
        <f t="shared" si="17"/>
        <v>611.0392942251051</v>
      </c>
      <c r="DT54" s="59">
        <f ca="1">AVERAGE(OFFSET($DS$3,0,0,'Données projet'!$E$14+1,1))-AVERAGE(OFFSET($H$3,0,0,'Données projet'!$E$14+1,1))</f>
        <v>493.03862850474161</v>
      </c>
      <c r="DU54" s="59">
        <f t="shared" si="44"/>
        <v>312.51819065560528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31.218194680865921</v>
      </c>
      <c r="EC54" s="21">
        <f>EXP(-LN(2)/2)*EC53+(1-EXP(-LN(2)/2))/(LN(2)/2)*DW54*DZ54*VLOOKUP('Données projet'!$B$14,Paramètres!$A$1:$I$89,3,0)*0.475*44/12</f>
        <v>1.0954590613339357</v>
      </c>
      <c r="ED54" s="22">
        <f t="shared" si="18"/>
        <v>32.313653742199854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10.001428571428571</v>
      </c>
      <c r="EJ54" s="12">
        <f>IF('Données projet'!$A$192&gt;35,EJ53+EI54-ER53,IF(A54&lt;'Données projet'!$A$192,$EG$205^A54,IF(A54='Données projet'!$A$192,'Données projet'!$B$192,EJ53+EI54-ER53)))</f>
        <v>168.0685714285714</v>
      </c>
      <c r="EK54" s="17">
        <f>EJ54*VLOOKUP('Données projet'!$B$15,Paramètres!$A$1:$I$89,3,0)*VLOOKUP('Données projet'!$B$15,Paramètres!$A$1:$I$89,5,0)</f>
        <v>180.90901028571423</v>
      </c>
      <c r="EL54" s="13">
        <f t="shared" si="45"/>
        <v>45.524364878568001</v>
      </c>
      <c r="EM54" s="20">
        <f t="shared" si="19"/>
        <v>394.3714617444582</v>
      </c>
      <c r="EN54" s="59">
        <f t="shared" si="20"/>
        <v>650.15534214770503</v>
      </c>
      <c r="EO54" s="59">
        <f ca="1">AVERAGE(OFFSET($EN$3,0,0,'Données projet'!$E$15+1,1))-AVERAGE(OFFSET($H$3,0,0,'Données projet'!$E$15+1,1))</f>
        <v>539.72194201710272</v>
      </c>
      <c r="EP54" s="59">
        <f t="shared" si="46"/>
        <v>340.76505385159362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34.742829564189506</v>
      </c>
      <c r="EX54" s="21">
        <f>EXP(-LN(2)/2)*EX53+(1-EXP(-LN(2)/2))/(LN(2)/2)*ER54*EU54*VLOOKUP('Données projet'!$B$15,Paramètres!$A$1:$I$89,3,0)*0.475*44/12</f>
        <v>1.2191399230974451</v>
      </c>
      <c r="EY54" s="22">
        <f t="shared" si="21"/>
        <v>35.96196948728695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7.4</v>
      </c>
      <c r="FE54" s="12">
        <f>IF('Données projet'!$A$218&gt;35,FE53+FD54-FM53,IF(A54&lt;'Données projet'!$A$218,$FB$205^A54,IF(A54='Données projet'!$A$218,'Données projet'!$B$218,FE53+FD54-FM53)))</f>
        <v>249.40000000000003</v>
      </c>
      <c r="FF54" s="17">
        <f>FE54*VLOOKUP('Données projet'!$B$16,Paramètres!$A$1:$I$89,3,0)*VLOOKUP('Données projet'!$B$16,Paramètres!$A$1:$I$89,5,0)</f>
        <v>202.31328000000002</v>
      </c>
      <c r="FG54" s="13">
        <f t="shared" si="47"/>
        <v>50.25221588808207</v>
      </c>
      <c r="FH54" s="20">
        <f t="shared" si="22"/>
        <v>439.88490533840962</v>
      </c>
      <c r="FI54" s="59">
        <f t="shared" si="23"/>
        <v>695.66878574165639</v>
      </c>
      <c r="FJ54" s="59">
        <f ca="1">AVERAGE(OFFSET($FI$3,0,0,'Données projet'!$E$16+1,1))-AVERAGE(OFFSET($H$3,0,0,'Données projet'!$E$16+1,1))</f>
        <v>383.47860767209028</v>
      </c>
      <c r="FK54" s="59">
        <f t="shared" si="48"/>
        <v>370.49129421395628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13.863201176659468</v>
      </c>
      <c r="FR54" s="21">
        <f>EXP(-LN(2)/25)*FR53+(1-EXP(-LN(2)/25))/(LN(2)/25)*Calculateur!FM54*Calculateur!FO54*VLOOKUP('Données projet'!$B$16,Paramètres!$A$1:$I$89,3,0)*0.475*44/12</f>
        <v>17.782253214506614</v>
      </c>
      <c r="FS54" s="21">
        <f>EXP(-LN(2)/2)*FS53+(1-EXP(-LN(2)/2))/(LN(2)/2)*FM54*FP54*VLOOKUP('Données projet'!$B$16,Paramètres!$A$1:$I$89,3,0)*0.475*44/12</f>
        <v>3.3245560746386555</v>
      </c>
      <c r="FT54" s="22">
        <f t="shared" si="24"/>
        <v>34.970010465804741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3.3603333333333336</v>
      </c>
      <c r="FZ54" s="12">
        <f>IF('Données projet'!$A$244&gt;35,FZ53+FY54-GH53,IF(A54&lt;'Données projet'!$A$244,$FW$205^A54,IF(A54='Données projet'!$A$244,'Données projet'!$B$244,FZ53+FY54-GH53)))</f>
        <v>171.37699999999992</v>
      </c>
      <c r="GA54" s="17">
        <f>FZ54*VLOOKUP('Données projet'!$B$17,Paramètres!$A$1:$I$89,3,0)*VLOOKUP('Données projet'!$B$17,Paramètres!$A$1:$I$89,5,0)</f>
        <v>195.16412759999992</v>
      </c>
      <c r="GB54" s="13">
        <f t="shared" si="49"/>
        <v>48.679880124131074</v>
      </c>
      <c r="GC54" s="20">
        <f t="shared" si="25"/>
        <v>424.69498011952811</v>
      </c>
      <c r="GD54" s="59">
        <f t="shared" si="26"/>
        <v>680.47886052277499</v>
      </c>
      <c r="GE54" s="59">
        <f ca="1">AVERAGE(OFFSET($GD$3,0,0,'Données projet'!$E$17+1,1))-AVERAGE(OFFSET($H$3,0,0,'Données projet'!$E$17+1,1))</f>
        <v>640.05156427113661</v>
      </c>
      <c r="GF54" s="59">
        <f t="shared" si="50"/>
        <v>308.77220155372902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0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14.12857142857143</v>
      </c>
      <c r="N55" s="13">
        <f>IF('Données projet'!$A$36&gt;35,N54+M55-V54,IF(A55&lt;'Données projet'!$A$36,$K$205^A55,IF(A55='Données projet'!$A$36,'Données projet'!$B$36,N54+M55-V54)))</f>
        <v>220.34857142857143</v>
      </c>
      <c r="O55" s="13">
        <f>N55*VLOOKUP('Données projet'!$B$9,Paramètres!$A$1:$I$89,3,0)*VLOOKUP('Données projet'!$B$9,Paramètres!$A$1:$I$89,5,0)</f>
        <v>185.62163657142858</v>
      </c>
      <c r="P55" s="13">
        <f t="shared" si="33"/>
        <v>46.570649354822137</v>
      </c>
      <c r="Q55" s="20">
        <f t="shared" si="53"/>
        <v>404.40156465488667</v>
      </c>
      <c r="R55" s="59">
        <f t="shared" si="0"/>
        <v>660.83684411847003</v>
      </c>
      <c r="S55" s="59">
        <f ca="1">AVERAGE(OFFSET($R$3,0,0,'Données projet'!$E$9+1,1))-AVERAGE(OFFSET($H$3,0,0,'Données projet'!$E$9+1,1))</f>
        <v>456.35333554128226</v>
      </c>
      <c r="T55" s="59">
        <f t="shared" si="34"/>
        <v>296.4517290984877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14.365822152207516</v>
      </c>
      <c r="AA55" s="21">
        <f>EXP(-LN(2)/25)*AA54+(1-EXP(-LN(2)/25))/(LN(2)/25)*Calculateur!V55*Calculateur!X55*VLOOKUP('Données projet'!$B$9,Paramètres!$A$1:$I$89,3,0)*0.475*44/12</f>
        <v>28.870117915810773</v>
      </c>
      <c r="AB55" s="21">
        <f>EXP(-LN(2)/2)*AB54+(1-EXP(-LN(2)/2))/(LN(2)/2)*V55*Y55*VLOOKUP('Données projet'!$B$9,Paramètres!$A$1:$I$89,3,0)*0.475*44/12</f>
        <v>3.4398700196390832</v>
      </c>
      <c r="AC55" s="22">
        <f t="shared" si="3"/>
        <v>46.675810087657368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7.4</v>
      </c>
      <c r="AI55" s="13">
        <f>IF('Données projet'!$A$62&gt;35,AI54+AH55-AQ54,IF(A55&lt;'Données projet'!$A$62,$AF$205^A55,IF(A55='Données projet'!$A$62,'Données projet'!$B$62,AI54+AH55-AQ54)))</f>
        <v>256.8</v>
      </c>
      <c r="AJ55" s="13">
        <f>AI55*VLOOKUP('Données projet'!$B$10,Paramètres!$A$1:$I$89,3,0)*VLOOKUP('Données projet'!$B$10,Paramètres!$A$1:$I$89,5,0)</f>
        <v>224.34048000000004</v>
      </c>
      <c r="AK55" s="13">
        <f t="shared" si="35"/>
        <v>55.057192232003722</v>
      </c>
      <c r="AL55" s="20">
        <f t="shared" si="4"/>
        <v>486.61761247073986</v>
      </c>
      <c r="AM55" s="59">
        <f t="shared" si="5"/>
        <v>743.05289193432327</v>
      </c>
      <c r="AN55" s="59">
        <f ca="1">AVERAGE(OFFSET($AM$3,0,0,'Données projet'!$E$10+1,1))-AVERAGE(OFFSET($H$3,0,0,'Données projet'!$E$10+1,1))</f>
        <v>408.246209980743</v>
      </c>
      <c r="AO55" s="59">
        <f t="shared" si="36"/>
        <v>394.10236303013903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14.636840892480116</v>
      </c>
      <c r="AV55" s="21">
        <f>EXP(-LN(2)/25)*AV54+(1-EXP(-LN(2)/25))/(LN(2)/25)*Calculateur!AQ55*Calculateur!AS55*VLOOKUP('Données projet'!$B$10,Paramètres!$A$1:$I$89,3,0)*0.475*44/12</f>
        <v>18.626457839476156</v>
      </c>
      <c r="AW55" s="21">
        <f>EXP(-LN(2)/2)*AW54+(1-EXP(-LN(2)/2))/(LN(2)/2)*AQ55*AT55*VLOOKUP('Données projet'!$B$10,Paramètres!$A$1:$I$89,3,0)*0.475*44/12</f>
        <v>2.5316481559513022</v>
      </c>
      <c r="AX55" s="21">
        <f t="shared" si="6"/>
        <v>35.794946887907571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3.3603333333333336</v>
      </c>
      <c r="BD55" s="12">
        <f>IF('Données projet'!$A$88&gt;35,BD54+BC55-BL54,IF(A55&lt;'Données projet'!$A$88,$BA$205^A55,IF(A55='Données projet'!$A$88,'Données projet'!$B$88,BD54+BC55-BL54)))</f>
        <v>174.73733333333325</v>
      </c>
      <c r="BE55" s="13">
        <f>BD55*VLOOKUP('Données projet'!$B$11,Paramètres!$A$1:$I$89,3,0)*VLOOKUP('Données projet'!$B$11,Paramètres!$A$1:$I$89,5,0)</f>
        <v>177.18365599999993</v>
      </c>
      <c r="BF55" s="13">
        <f t="shared" si="37"/>
        <v>44.695027585438865</v>
      </c>
      <c r="BG55" s="20">
        <f t="shared" si="7"/>
        <v>386.43870724463926</v>
      </c>
      <c r="BH55" s="59">
        <f t="shared" si="8"/>
        <v>642.87398670822267</v>
      </c>
      <c r="BI55" s="59">
        <f ca="1">AVERAGE(OFFSET($BH$3,0,0,'Données projet'!$E$11+1,1))-AVERAGE(OFFSET($H$3,0,0,'Données projet'!$E$11+1,1))</f>
        <v>580.02848304986492</v>
      </c>
      <c r="BJ55" s="59">
        <f t="shared" si="38"/>
        <v>281.68891895586728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270</v>
      </c>
      <c r="BW55" s="12">
        <f>VLOOKUP(A55,'Données projet'!$A$113:$I$133,9,0)</f>
        <v>10.375</v>
      </c>
      <c r="BX55" s="12">
        <f t="array" ref="BX55">INDEX(BW:BW,MIN(IF(ISNUMBER(BW55:BW251),ROW(BW55:BW251),"")))</f>
        <v>10.375</v>
      </c>
      <c r="BY55" s="12">
        <f>IF('Données projet'!$A$114&gt;35,BY54+BX55-CG54,IF(A55&lt;'Données projet'!$A$114,$BV$205^A55,IF(A55='Données projet'!$A$114,'Données projet'!$B$114,BY54+BX55-CG54)))</f>
        <v>269.99999999999989</v>
      </c>
      <c r="BZ55" s="13">
        <f>BY55*VLOOKUP('Données projet'!$B$12,Paramètres!$A$1:$I$89,3,0)*VLOOKUP('Données projet'!$B$12,Paramètres!$A$1:$I$89,5,0)</f>
        <v>210.59999999999991</v>
      </c>
      <c r="CA55" s="13">
        <f t="shared" si="39"/>
        <v>52.066679014659961</v>
      </c>
      <c r="CB55" s="20">
        <f t="shared" si="10"/>
        <v>457.47779928386586</v>
      </c>
      <c r="CC55" s="59">
        <f t="shared" si="11"/>
        <v>713.91307874744916</v>
      </c>
      <c r="CD55" s="59">
        <f ca="1">AVERAGE(OFFSET($CC$3,0,0,'Données projet'!$E$12+1,1))-AVERAGE(OFFSET($H$3,0,0,'Données projet'!$E$12+1,1))</f>
        <v>308.85018589589453</v>
      </c>
      <c r="CE55" s="59">
        <f t="shared" si="40"/>
        <v>302.59481222418219</v>
      </c>
      <c r="CF55" s="15">
        <f>IF(ISNA(VLOOKUP(A55,'Données projet'!$A$113:$I$133,3,0)),0,VLOOKUP(A55,'Données projet'!$A$113:$I$133,3,0))</f>
        <v>7</v>
      </c>
      <c r="CG55" s="15">
        <f>IF(ISNA(VLOOKUP(A55,'Données projet'!$A$113:$I$133,4,0)),0,VLOOKUP(A55,'Données projet'!$A$113:$I$133,4,0))</f>
        <v>48</v>
      </c>
      <c r="CH55" s="16">
        <f>IF(ISNA(VLOOKUP(A55,'Données projet'!$A$113:$I$133,5,0)),0%,VLOOKUP(A55,'Données projet'!$A$113:$I$133,5,0)*VLOOKUP('Données projet'!$B$12,Paramètres!$A$1:$I$89,7,0))</f>
        <v>0.1075</v>
      </c>
      <c r="CI55" s="16">
        <f>IF(ISNA(VLOOKUP(A55,'Données projet'!$A$113:$I$133,6,0)),0%,VLOOKUP(A55,'Données projet'!$A$113:$I$133,6,0)*VLOOKUP('Données projet'!$B$12,Paramètres!$A$1:$I$89,7,0))</f>
        <v>0.1075</v>
      </c>
      <c r="CJ55" s="16">
        <f>IF(ISNA(VLOOKUP(A55,'Données projet'!$A$113:$I$133,7,0)),0%,VLOOKUP(A55,'Données projet'!$A$113:$I$133,7,0))</f>
        <v>0.25</v>
      </c>
      <c r="CK55" s="21">
        <f>EXP(-LN(2)/35)*CK54+(1-EXP(-LN(2)/35))/(LN(2)/35)*CG55*CH55*VLOOKUP('Données projet'!$B$12,Paramètres!$A$1:$I$89,3,0)*0.475*44/12</f>
        <v>12.532063070716259</v>
      </c>
      <c r="CL55" s="21">
        <f>EXP(-LN(2)/25)*CL54+(1-EXP(-LN(2)/25))/(LN(2)/25)*Calculateur!CG55*Calculateur!CI55*VLOOKUP('Données projet'!$B$12,Paramètres!$A$1:$I$89,3,0)*0.475*44/12</f>
        <v>13.890897428830943</v>
      </c>
      <c r="CM55" s="21">
        <f>EXP(-LN(2)/2)*CM54+(1-EXP(-LN(2)/2))/(LN(2)/2)*CG55*CJ55*VLOOKUP('Données projet'!$B$12,Paramètres!$A$1:$I$89,3,0)*0.475*44/12</f>
        <v>9.3675435938706659</v>
      </c>
      <c r="CN55" s="22">
        <f t="shared" si="12"/>
        <v>35.790504093417866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5.7692307692307683</v>
      </c>
      <c r="CT55" s="12">
        <f>IF('Données projet'!$A$140&gt;35,CT54+CS55-DB54,IF(A55&lt;'Données projet'!$A$140,$CQ$205^A55,IF(A55='Données projet'!$A$140,'Données projet'!$B$140,CT54+CS55-DB54)))</f>
        <v>200.64102564102564</v>
      </c>
      <c r="CU55" s="17">
        <f>CT55*VLOOKUP('Données projet'!$B$13,Paramètres!$A$1:$I$89,3,0)*VLOOKUP('Données projet'!$B$13,Paramètres!$A$1:$I$89,5,0)</f>
        <v>134.59</v>
      </c>
      <c r="CV55" s="13">
        <f t="shared" si="41"/>
        <v>35.054822215165878</v>
      </c>
      <c r="CW55" s="20">
        <f t="shared" si="13"/>
        <v>295.46473202474721</v>
      </c>
      <c r="CX55" s="59">
        <f t="shared" si="14"/>
        <v>551.90001148833062</v>
      </c>
      <c r="CY55" s="59">
        <f ca="1">AVERAGE(OFFSET($CX$3,0,0,'Données projet'!$E$13+1,1))-AVERAGE(OFFSET($H$3,0,0,'Données projet'!$E$13+1,1))</f>
        <v>335.73816489539837</v>
      </c>
      <c r="CZ55" s="59">
        <f t="shared" si="42"/>
        <v>254.09787950201044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7.6553363219017001</v>
      </c>
      <c r="DH55" s="21">
        <f>EXP(-LN(2)/2)*DH54+(1-EXP(-LN(2)/2))/(LN(2)/2)*DB55*DE55*VLOOKUP('Données projet'!$B$13,Paramètres!$A$1:$I$89,3,0)*0.475*44/12</f>
        <v>1.5528580513831916</v>
      </c>
      <c r="DI55" s="22">
        <f t="shared" si="15"/>
        <v>9.2081943732848917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>
        <f>VLOOKUP(A55,'Données projet'!$A$165:$I$185,2,0)</f>
        <v>178.07</v>
      </c>
      <c r="DM55" s="12">
        <f>VLOOKUP(A55,'Données projet'!$A$165:$I$185,9,0)</f>
        <v>10.001428571428571</v>
      </c>
      <c r="DN55" s="12">
        <f t="array" ref="DN55">INDEX(DM:DM,MIN(IF(ISNUMBER(DM55:DM251),ROW(DM55:DM251),"")))</f>
        <v>10.001428571428571</v>
      </c>
      <c r="DO55" s="12">
        <f>IF('Données projet'!$A$166&gt;35,DO54+DN55-DW54,IF(A55&lt;'Données projet'!$A$166,$DL$205^A55,IF(A55='Données projet'!$A$166,'Données projet'!$B$166,DO54+DN55-DW54)))</f>
        <v>178.06999999999996</v>
      </c>
      <c r="DP55" s="17">
        <f>DO55*VLOOKUP('Données projet'!$B$14,Paramètres!$A$1:$I$89,3,0)*VLOOKUP('Données projet'!$B$14,Paramètres!$A$1:$I$89,5,0)</f>
        <v>172.22930399999996</v>
      </c>
      <c r="DQ55" s="13">
        <f t="shared" si="43"/>
        <v>43.58893430639084</v>
      </c>
      <c r="DR55" s="20">
        <f t="shared" si="16"/>
        <v>375.88343171696397</v>
      </c>
      <c r="DS55" s="59">
        <f t="shared" si="17"/>
        <v>632.31871118054733</v>
      </c>
      <c r="DT55" s="59">
        <f ca="1">AVERAGE(OFFSET($DS$3,0,0,'Données projet'!$E$14+1,1))-AVERAGE(OFFSET($H$3,0,0,'Données projet'!$E$14+1,1))</f>
        <v>493.03862850474161</v>
      </c>
      <c r="DU55" s="59">
        <f t="shared" si="44"/>
        <v>312.51819065560528</v>
      </c>
      <c r="DV55" s="15">
        <f>IF(ISNA(VLOOKUP(A55,'Données projet'!$A$165:$I$185,3,0)),0,VLOOKUP(A55,'Données projet'!$A$165:$I$185,3,0))</f>
        <v>3</v>
      </c>
      <c r="DW55" s="15">
        <f>IF(ISNA(VLOOKUP(A55,'Données projet'!$A$165:$I$185,4,0)),0,VLOOKUP(A55,'Données projet'!$A$165:$I$185,4,0))</f>
        <v>44.400000000000006</v>
      </c>
      <c r="DX55" s="16">
        <f>IF(ISNA(VLOOKUP(A55,'Données projet'!$A$165:$I$185,5,0)),0%,VLOOKUP(A55,'Données projet'!$A$165:$I$185,5,0)*VLOOKUP('Données projet'!$B$14,Paramètres!$A$1:$I$89,7,0))</f>
        <v>0.15049999999999999</v>
      </c>
      <c r="DY55" s="16">
        <f>IF(ISNA(VLOOKUP(A55,'Données projet'!$A$165:$I$185,6,0)),0%,VLOOKUP(A55,'Données projet'!$A$165:$I$185,6,0)*VLOOKUP('Données projet'!$B$14,Paramètres!$A$1:$I$89,7,0))</f>
        <v>8.6000000000000007E-2</v>
      </c>
      <c r="DZ55" s="16">
        <f>IF(ISNA(VLOOKUP(A55,'Données projet'!$A$165:$I$185,7,0)),0%,VLOOKUP(A55,'Données projet'!$A$165:$I$185,7,0))</f>
        <v>0.1</v>
      </c>
      <c r="EA55" s="21">
        <f>EXP(-LN(2)/35)*EA54+(1-EXP(-LN(2)/35))/(LN(2)/35)*DW55*DX55*VLOOKUP('Données projet'!$B$14,Paramètres!$A$1:$I$89,3,0)*0.475*44/12</f>
        <v>7.1446814173353062</v>
      </c>
      <c r="EB55" s="21">
        <f>EXP(-LN(2)/25)*EB54+(1-EXP(-LN(2)/25))/(LN(2)/25)*Calculateur!DW55*Calculateur!DY55*VLOOKUP('Données projet'!$B$14,Paramètres!$A$1:$I$89,3,0)*0.475*44/12</f>
        <v>34.431131553771678</v>
      </c>
      <c r="EC55" s="21">
        <f>EXP(-LN(2)/2)*EC54+(1-EXP(-LN(2)/2))/(LN(2)/2)*DW55*DZ55*VLOOKUP('Données projet'!$B$14,Paramètres!$A$1:$I$89,3,0)*0.475*44/12</f>
        <v>4.8264583200015885</v>
      </c>
      <c r="ED55" s="22">
        <f t="shared" si="18"/>
        <v>46.402271291108576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178.07</v>
      </c>
      <c r="EH55" s="12">
        <f>VLOOKUP(A55,'Données projet'!$A$191:$I$211,9,0)</f>
        <v>10.001428571428571</v>
      </c>
      <c r="EI55" s="12">
        <f t="array" ref="EI55">INDEX(EH:EH,MIN(IF(ISNUMBER(EH55:EH251),ROW(EH55:EH251),"")))</f>
        <v>10.001428571428571</v>
      </c>
      <c r="EJ55" s="12">
        <f>IF('Données projet'!$A$192&gt;35,EJ54+EI55-ER54,IF(A55&lt;'Données projet'!$A$192,$EG$205^A55,IF(A55='Données projet'!$A$192,'Données projet'!$B$192,EJ54+EI55-ER54)))</f>
        <v>178.06999999999996</v>
      </c>
      <c r="EK55" s="17">
        <f>EJ55*VLOOKUP('Données projet'!$B$15,Paramètres!$A$1:$I$89,3,0)*VLOOKUP('Données projet'!$B$15,Paramètres!$A$1:$I$89,5,0)</f>
        <v>191.67454799999996</v>
      </c>
      <c r="EL55" s="13">
        <f t="shared" si="45"/>
        <v>47.909982358169465</v>
      </c>
      <c r="EM55" s="20">
        <f t="shared" si="19"/>
        <v>417.27639037381169</v>
      </c>
      <c r="EN55" s="59">
        <f t="shared" si="20"/>
        <v>673.71166983739499</v>
      </c>
      <c r="EO55" s="59">
        <f ca="1">AVERAGE(OFFSET($EN$3,0,0,'Données projet'!$E$15+1,1))-AVERAGE(OFFSET($H$3,0,0,'Données projet'!$E$15+1,1))</f>
        <v>539.72194201710272</v>
      </c>
      <c r="EP55" s="59">
        <f t="shared" si="46"/>
        <v>340.76505385159362</v>
      </c>
      <c r="EQ55" s="15">
        <f>IF(ISNA(VLOOKUP(A55,'Données projet'!$A$191:$I$211,3,0)),0,VLOOKUP(A55,'Données projet'!$A$191:$I$211,3,0))</f>
        <v>3</v>
      </c>
      <c r="ER55" s="15">
        <f>IF(ISNA(VLOOKUP(A55,'Données projet'!$A$191:$I$211,4,0)),0,VLOOKUP(A55,'Données projet'!$A$191:$I$211,4,0))</f>
        <v>44.400000000000006</v>
      </c>
      <c r="ES55" s="16">
        <f>IF(ISNA(VLOOKUP(A55,'Données projet'!$A$191:$I$211,5,0)),0%,VLOOKUP(A55,'Données projet'!$A$191:$I$211,5,0)*VLOOKUP('Données projet'!$B$15,Paramètres!$A$1:$I$89,7,0))</f>
        <v>0.15049999999999999</v>
      </c>
      <c r="ET55" s="16">
        <f>IF(ISNA(VLOOKUP(A55,'Données projet'!$A$191:$I$211,6,0)),0%,VLOOKUP(A55,'Données projet'!$A$191:$I$211,6,0)*VLOOKUP('Données projet'!$B$15,Paramètres!$A$1:$I$89,7,0))</f>
        <v>8.6000000000000007E-2</v>
      </c>
      <c r="EU55" s="16">
        <f>IF(ISNA(VLOOKUP(A55,'Données projet'!$A$191:$I$211,7,0)),0%,VLOOKUP(A55,'Données projet'!$A$191:$I$211,7,0))</f>
        <v>0.1</v>
      </c>
      <c r="EV55" s="21">
        <f>EXP(-LN(2)/35)*EV54+(1-EXP(-LN(2)/35))/(LN(2)/35)*ER55*ES55*VLOOKUP('Données projet'!$B$15,Paramètres!$A$1:$I$89,3,0)*0.475*44/12</f>
        <v>7.9513389967118711</v>
      </c>
      <c r="EW55" s="21">
        <f>EXP(-LN(2)/25)*EW54+(1-EXP(-LN(2)/25))/(LN(2)/25)*Calculateur!ER55*Calculateur!ET55*VLOOKUP('Données projet'!$B$15,Paramètres!$A$1:$I$89,3,0)*0.475*44/12</f>
        <v>38.318517374358819</v>
      </c>
      <c r="EX55" s="21">
        <f>EXP(-LN(2)/2)*EX54+(1-EXP(-LN(2)/2))/(LN(2)/2)*ER55*EU55*VLOOKUP('Données projet'!$B$15,Paramètres!$A$1:$I$89,3,0)*0.475*44/12</f>
        <v>5.3713810335501559</v>
      </c>
      <c r="EY55" s="22">
        <f t="shared" si="21"/>
        <v>51.641237404620846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7.4</v>
      </c>
      <c r="FE55" s="12">
        <f>IF('Données projet'!$A$218&gt;35,FE54+FD55-FM54,IF(A55&lt;'Données projet'!$A$218,$FB$205^A55,IF(A55='Données projet'!$A$218,'Données projet'!$B$218,FE54+FD55-FM54)))</f>
        <v>256.8</v>
      </c>
      <c r="FF55" s="17">
        <f>FE55*VLOOKUP('Données projet'!$B$16,Paramètres!$A$1:$I$89,3,0)*VLOOKUP('Données projet'!$B$16,Paramètres!$A$1:$I$89,5,0)</f>
        <v>208.31616</v>
      </c>
      <c r="FG55" s="13">
        <f t="shared" si="47"/>
        <v>51.567452064520282</v>
      </c>
      <c r="FH55" s="20">
        <f t="shared" si="22"/>
        <v>452.63062434570611</v>
      </c>
      <c r="FI55" s="59">
        <f t="shared" si="23"/>
        <v>709.06590380928947</v>
      </c>
      <c r="FJ55" s="59">
        <f ca="1">AVERAGE(OFFSET($FI$3,0,0,'Données projet'!$E$16+1,1))-AVERAGE(OFFSET($H$3,0,0,'Données projet'!$E$16+1,1))</f>
        <v>383.47860767209028</v>
      </c>
      <c r="FK55" s="59">
        <f t="shared" si="48"/>
        <v>370.49129421395628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13.59135225730296</v>
      </c>
      <c r="FR55" s="21">
        <f>EXP(-LN(2)/25)*FR54+(1-EXP(-LN(2)/25))/(LN(2)/25)*Calculateur!FM55*Calculateur!FO55*VLOOKUP('Données projet'!$B$16,Paramètres!$A$1:$I$89,3,0)*0.475*44/12</f>
        <v>17.295996565227878</v>
      </c>
      <c r="FS55" s="21">
        <f>EXP(-LN(2)/2)*FS54+(1-EXP(-LN(2)/2))/(LN(2)/2)*FM55*FP55*VLOOKUP('Données projet'!$B$16,Paramètres!$A$1:$I$89,3,0)*0.475*44/12</f>
        <v>2.3508161448119234</v>
      </c>
      <c r="FT55" s="22">
        <f t="shared" si="24"/>
        <v>33.238164967342762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3.3603333333333336</v>
      </c>
      <c r="FZ55" s="12">
        <f>IF('Données projet'!$A$244&gt;35,FZ54+FY55-GH54,IF(A55&lt;'Données projet'!$A$244,$FW$205^A55,IF(A55='Données projet'!$A$244,'Données projet'!$B$244,FZ54+FY55-GH54)))</f>
        <v>174.73733333333325</v>
      </c>
      <c r="GA55" s="17">
        <f>FZ55*VLOOKUP('Données projet'!$B$17,Paramètres!$A$1:$I$89,3,0)*VLOOKUP('Données projet'!$B$17,Paramètres!$A$1:$I$89,5,0)</f>
        <v>198.99087519999992</v>
      </c>
      <c r="GB55" s="13">
        <f t="shared" si="49"/>
        <v>49.522327389469048</v>
      </c>
      <c r="GC55" s="20">
        <f t="shared" si="25"/>
        <v>432.82716117665836</v>
      </c>
      <c r="GD55" s="59">
        <f t="shared" si="26"/>
        <v>689.26244064024172</v>
      </c>
      <c r="GE55" s="59">
        <f ca="1">AVERAGE(OFFSET($GD$3,0,0,'Données projet'!$E$17+1,1))-AVERAGE(OFFSET($H$3,0,0,'Données projet'!$E$17+1,1))</f>
        <v>640.05156427113661</v>
      </c>
      <c r="GF55" s="59">
        <f t="shared" si="50"/>
        <v>308.77220155372902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0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14.12857142857143</v>
      </c>
      <c r="N56" s="13">
        <f>IF('Données projet'!$A$36&gt;35,N55+M56-V55,IF(A56&lt;'Données projet'!$A$36,$K$205^A56,IF(A56='Données projet'!$A$36,'Données projet'!$B$36,N55+M56-V55)))</f>
        <v>234.47714285714287</v>
      </c>
      <c r="O56" s="13">
        <f>N56*VLOOKUP('Données projet'!$B$9,Paramètres!$A$1:$I$89,3,0)*VLOOKUP('Données projet'!$B$9,Paramètres!$A$1:$I$89,5,0)</f>
        <v>197.52354514285716</v>
      </c>
      <c r="P56" s="13">
        <f t="shared" si="33"/>
        <v>49.199523870679094</v>
      </c>
      <c r="Q56" s="20">
        <f t="shared" si="53"/>
        <v>429.70934519857565</v>
      </c>
      <c r="R56" s="59">
        <f t="shared" si="0"/>
        <v>686.78472340510893</v>
      </c>
      <c r="S56" s="59">
        <f ca="1">AVERAGE(OFFSET($R$3,0,0,'Données projet'!$E$9+1,1))-AVERAGE(OFFSET($H$3,0,0,'Données projet'!$E$9+1,1))</f>
        <v>456.35333554128226</v>
      </c>
      <c r="T56" s="59">
        <f t="shared" si="34"/>
        <v>296.4517290984877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14.084117142089035</v>
      </c>
      <c r="AA56" s="21">
        <f>EXP(-LN(2)/25)*AA55+(1-EXP(-LN(2)/25))/(LN(2)/25)*Calculateur!V56*Calculateur!X56*VLOOKUP('Données projet'!$B$9,Paramètres!$A$1:$I$89,3,0)*0.475*44/12</f>
        <v>28.080663023189409</v>
      </c>
      <c r="AB56" s="21">
        <f>EXP(-LN(2)/2)*AB55+(1-EXP(-LN(2)/2))/(LN(2)/2)*V56*Y56*VLOOKUP('Données projet'!$B$9,Paramètres!$A$1:$I$89,3,0)*0.475*44/12</f>
        <v>2.4323554172870985</v>
      </c>
      <c r="AC56" s="22">
        <f t="shared" si="3"/>
        <v>44.597135582565542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7.4</v>
      </c>
      <c r="AI56" s="13">
        <f>IF('Données projet'!$A$62&gt;35,AI55+AH56-AQ55,IF(A56&lt;'Données projet'!$A$62,$AF$205^A56,IF(A56='Données projet'!$A$62,'Données projet'!$B$62,AI55+AH56-AQ55)))</f>
        <v>264.2</v>
      </c>
      <c r="AJ56" s="13">
        <f>AI56*VLOOKUP('Données projet'!$B$10,Paramètres!$A$1:$I$89,3,0)*VLOOKUP('Données projet'!$B$10,Paramètres!$A$1:$I$89,5,0)</f>
        <v>230.80512000000002</v>
      </c>
      <c r="AK56" s="13">
        <f t="shared" si="35"/>
        <v>56.456731878408327</v>
      </c>
      <c r="AL56" s="20">
        <f t="shared" si="4"/>
        <v>500.3143920215611</v>
      </c>
      <c r="AM56" s="59">
        <f t="shared" si="5"/>
        <v>757.38977022809433</v>
      </c>
      <c r="AN56" s="59">
        <f ca="1">AVERAGE(OFFSET($AM$3,0,0,'Données projet'!$E$10+1,1))-AVERAGE(OFFSET($H$3,0,0,'Données projet'!$E$10+1,1))</f>
        <v>408.246209980743</v>
      </c>
      <c r="AO56" s="59">
        <f t="shared" si="36"/>
        <v>394.10236303013903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14.349821370169998</v>
      </c>
      <c r="AV56" s="21">
        <f>EXP(-LN(2)/25)*AV55+(1-EXP(-LN(2)/25))/(LN(2)/25)*Calculateur!AQ56*Calculateur!AS56*VLOOKUP('Données projet'!$B$10,Paramètres!$A$1:$I$89,3,0)*0.475*44/12</f>
        <v>18.117116370332834</v>
      </c>
      <c r="AW56" s="21">
        <f>EXP(-LN(2)/2)*AW55+(1-EXP(-LN(2)/2))/(LN(2)/2)*AQ56*AT56*VLOOKUP('Données projet'!$B$10,Paramètres!$A$1:$I$89,3,0)*0.475*44/12</f>
        <v>1.7901455786515841</v>
      </c>
      <c r="AX56" s="21">
        <f t="shared" si="6"/>
        <v>34.257083319154411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3.3603333333333336</v>
      </c>
      <c r="BD56" s="12">
        <f>IF('Données projet'!$A$88&gt;35,BD55+BC56-BL55,IF(A56&lt;'Données projet'!$A$88,$BA$205^A56,IF(A56='Données projet'!$A$88,'Données projet'!$B$88,BD55+BC56-BL55)))</f>
        <v>178.09766666666658</v>
      </c>
      <c r="BE56" s="13">
        <f>BD56*VLOOKUP('Données projet'!$B$11,Paramètres!$A$1:$I$89,3,0)*VLOOKUP('Données projet'!$B$11,Paramètres!$A$1:$I$89,5,0)</f>
        <v>180.59103399999992</v>
      </c>
      <c r="BF56" s="13">
        <f t="shared" si="37"/>
        <v>45.453655244392749</v>
      </c>
      <c r="BG56" s="20">
        <f t="shared" si="7"/>
        <v>393.69450043398388</v>
      </c>
      <c r="BH56" s="59">
        <f t="shared" si="8"/>
        <v>650.76987864051716</v>
      </c>
      <c r="BI56" s="59">
        <f ca="1">AVERAGE(OFFSET($BH$3,0,0,'Données projet'!$E$11+1,1))-AVERAGE(OFFSET($H$3,0,0,'Données projet'!$E$11+1,1))</f>
        <v>580.02848304986492</v>
      </c>
      <c r="BJ56" s="59">
        <f t="shared" si="38"/>
        <v>281.68891895586728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9.375</v>
      </c>
      <c r="BY56" s="12">
        <f>IF('Données projet'!$A$114&gt;35,BY55+BX56-CG55,IF(A56&lt;'Données projet'!$A$114,$BV$205^A56,IF(A56='Données projet'!$A$114,'Données projet'!$B$114,BY55+BX56-CG55)))</f>
        <v>231.37499999999989</v>
      </c>
      <c r="BZ56" s="13">
        <f>BY56*VLOOKUP('Données projet'!$B$12,Paramètres!$A$1:$I$89,3,0)*VLOOKUP('Données projet'!$B$12,Paramètres!$A$1:$I$89,5,0)</f>
        <v>180.47249999999991</v>
      </c>
      <c r="CA56" s="13">
        <f t="shared" si="39"/>
        <v>45.427292666837829</v>
      </c>
      <c r="CB56" s="20">
        <f t="shared" si="10"/>
        <v>393.44213889474241</v>
      </c>
      <c r="CC56" s="59">
        <f t="shared" si="11"/>
        <v>650.51751710127564</v>
      </c>
      <c r="CD56" s="59">
        <f ca="1">AVERAGE(OFFSET($CC$3,0,0,'Données projet'!$E$12+1,1))-AVERAGE(OFFSET($H$3,0,0,'Données projet'!$E$12+1,1))</f>
        <v>308.85018589589453</v>
      </c>
      <c r="CE56" s="59">
        <f t="shared" si="40"/>
        <v>302.59481222418219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12.286316957703223</v>
      </c>
      <c r="CL56" s="21">
        <f>EXP(-LN(2)/25)*CL55+(1-EXP(-LN(2)/25))/(LN(2)/25)*Calculateur!CG56*Calculateur!CI56*VLOOKUP('Données projet'!$B$12,Paramètres!$A$1:$I$89,3,0)*0.475*44/12</f>
        <v>13.511050108149012</v>
      </c>
      <c r="CM56" s="21">
        <f>EXP(-LN(2)/2)*CM55+(1-EXP(-LN(2)/2))/(LN(2)/2)*CG56*CJ56*VLOOKUP('Données projet'!$B$12,Paramètres!$A$1:$I$89,3,0)*0.475*44/12</f>
        <v>6.6238535982865505</v>
      </c>
      <c r="CN56" s="22">
        <f t="shared" si="12"/>
        <v>32.421220664138787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5.7692307692307683</v>
      </c>
      <c r="CT56" s="12">
        <f>IF('Données projet'!$A$140&gt;35,CT55+CS56-DB55,IF(A56&lt;'Données projet'!$A$140,$CQ$205^A56,IF(A56='Données projet'!$A$140,'Données projet'!$B$140,CT55+CS56-DB55)))</f>
        <v>206.41025641025641</v>
      </c>
      <c r="CU56" s="17">
        <f>CT56*VLOOKUP('Données projet'!$B$13,Paramètres!$A$1:$I$89,3,0)*VLOOKUP('Données projet'!$B$13,Paramètres!$A$1:$I$89,5,0)</f>
        <v>138.45999999999998</v>
      </c>
      <c r="CV56" s="13">
        <f t="shared" si="41"/>
        <v>35.943986332761526</v>
      </c>
      <c r="CW56" s="20">
        <f t="shared" si="13"/>
        <v>303.75360952955964</v>
      </c>
      <c r="CX56" s="59">
        <f t="shared" si="14"/>
        <v>560.82898773609281</v>
      </c>
      <c r="CY56" s="59">
        <f ca="1">AVERAGE(OFFSET($CX$3,0,0,'Données projet'!$E$13+1,1))-AVERAGE(OFFSET($H$3,0,0,'Données projet'!$E$13+1,1))</f>
        <v>335.73816489539837</v>
      </c>
      <c r="CZ56" s="59">
        <f t="shared" si="42"/>
        <v>254.09787950201044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7.4460007476026577</v>
      </c>
      <c r="DH56" s="21">
        <f>EXP(-LN(2)/2)*DH55+(1-EXP(-LN(2)/2))/(LN(2)/2)*DB56*DE56*VLOOKUP('Données projet'!$B$13,Paramètres!$A$1:$I$89,3,0)*0.475*44/12</f>
        <v>1.098036458353183</v>
      </c>
      <c r="DI56" s="22">
        <f t="shared" si="15"/>
        <v>8.5440372059558403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9.8828571428571443</v>
      </c>
      <c r="DO56" s="12">
        <f>IF('Données projet'!$A$166&gt;35,DO55+DN56-DW55,IF(A56&lt;'Données projet'!$A$166,$DL$205^A56,IF(A56='Données projet'!$A$166,'Données projet'!$B$166,DO55+DN56-DW55)))</f>
        <v>143.55285714285711</v>
      </c>
      <c r="DP56" s="17">
        <f>DO56*VLOOKUP('Données projet'!$B$14,Paramètres!$A$1:$I$89,3,0)*VLOOKUP('Données projet'!$B$14,Paramètres!$A$1:$I$89,5,0)</f>
        <v>138.84432342857139</v>
      </c>
      <c r="DQ56" s="13">
        <f t="shared" si="43"/>
        <v>36.032128634768192</v>
      </c>
      <c r="DR56" s="20">
        <f t="shared" si="16"/>
        <v>304.57648734364972</v>
      </c>
      <c r="DS56" s="59">
        <f t="shared" si="17"/>
        <v>561.65186555018295</v>
      </c>
      <c r="DT56" s="59">
        <f ca="1">AVERAGE(OFFSET($DS$3,0,0,'Données projet'!$E$14+1,1))-AVERAGE(OFFSET($H$3,0,0,'Données projet'!$E$14+1,1))</f>
        <v>493.03862850474161</v>
      </c>
      <c r="DU56" s="59">
        <f t="shared" si="44"/>
        <v>312.51819065560528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7.004578572566726</v>
      </c>
      <c r="EB56" s="21">
        <f>EXP(-LN(2)/25)*EB55+(1-EXP(-LN(2)/25))/(LN(2)/25)*Calculateur!DW56*Calculateur!DY56*VLOOKUP('Données projet'!$B$14,Paramètres!$A$1:$I$89,3,0)*0.475*44/12</f>
        <v>33.489610450779274</v>
      </c>
      <c r="EC56" s="21">
        <f>EXP(-LN(2)/2)*EC55+(1-EXP(-LN(2)/2))/(LN(2)/2)*DW56*DZ56*VLOOKUP('Données projet'!$B$14,Paramètres!$A$1:$I$89,3,0)*0.475*44/12</f>
        <v>3.412821407187355</v>
      </c>
      <c r="ED56" s="22">
        <f t="shared" si="18"/>
        <v>43.907010430533362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9.8828571428571443</v>
      </c>
      <c r="EJ56" s="12">
        <f>IF('Données projet'!$A$192&gt;35,EJ55+EI56-ER55,IF(A56&lt;'Données projet'!$A$192,$EG$205^A56,IF(A56='Données projet'!$A$192,'Données projet'!$B$192,EJ55+EI56-ER55)))</f>
        <v>143.55285714285711</v>
      </c>
      <c r="EK56" s="17">
        <f>EJ56*VLOOKUP('Données projet'!$B$15,Paramètres!$A$1:$I$89,3,0)*VLOOKUP('Données projet'!$B$15,Paramètres!$A$1:$I$89,5,0)</f>
        <v>154.52029542857136</v>
      </c>
      <c r="EL56" s="13">
        <f t="shared" si="45"/>
        <v>39.604057192238628</v>
      </c>
      <c r="EM56" s="20">
        <f t="shared" si="19"/>
        <v>338.09991414791068</v>
      </c>
      <c r="EN56" s="59">
        <f t="shared" si="20"/>
        <v>595.17529235444385</v>
      </c>
      <c r="EO56" s="59">
        <f ca="1">AVERAGE(OFFSET($EN$3,0,0,'Données projet'!$E$15+1,1))-AVERAGE(OFFSET($H$3,0,0,'Données projet'!$E$15+1,1))</f>
        <v>539.72194201710272</v>
      </c>
      <c r="EP56" s="59">
        <f t="shared" si="46"/>
        <v>340.76505385159362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7.7954180888242579</v>
      </c>
      <c r="EW56" s="21">
        <f>EXP(-LN(2)/25)*EW55+(1-EXP(-LN(2)/25))/(LN(2)/25)*Calculateur!ER56*Calculateur!ET56*VLOOKUP('Données projet'!$B$15,Paramètres!$A$1:$I$89,3,0)*0.475*44/12</f>
        <v>37.270695501673728</v>
      </c>
      <c r="EX56" s="21">
        <f>EXP(-LN(2)/2)*EX55+(1-EXP(-LN(2)/2))/(LN(2)/2)*ER56*EU56*VLOOKUP('Données projet'!$B$15,Paramètres!$A$1:$I$89,3,0)*0.475*44/12</f>
        <v>3.7981399531601219</v>
      </c>
      <c r="EY56" s="22">
        <f t="shared" si="21"/>
        <v>48.864253543658108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7.4</v>
      </c>
      <c r="FE56" s="12">
        <f>IF('Données projet'!$A$218&gt;35,FE55+FD56-FM55,IF(A56&lt;'Données projet'!$A$218,$FB$205^A56,IF(A56='Données projet'!$A$218,'Données projet'!$B$218,FE55+FD56-FM55)))</f>
        <v>264.2</v>
      </c>
      <c r="FF56" s="17">
        <f>FE56*VLOOKUP('Données projet'!$B$16,Paramètres!$A$1:$I$89,3,0)*VLOOKUP('Données projet'!$B$16,Paramètres!$A$1:$I$89,5,0)</f>
        <v>214.31903999999997</v>
      </c>
      <c r="FG56" s="13">
        <f t="shared" si="47"/>
        <v>52.878283414659698</v>
      </c>
      <c r="FH56" s="20">
        <f t="shared" si="22"/>
        <v>465.3686716138655</v>
      </c>
      <c r="FI56" s="59">
        <f t="shared" si="23"/>
        <v>722.44404982039873</v>
      </c>
      <c r="FJ56" s="59">
        <f ca="1">AVERAGE(OFFSET($FI$3,0,0,'Données projet'!$E$16+1,1))-AVERAGE(OFFSET($H$3,0,0,'Données projet'!$E$16+1,1))</f>
        <v>383.47860767209028</v>
      </c>
      <c r="FK56" s="59">
        <f t="shared" si="48"/>
        <v>370.49129421395628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13.324834129443566</v>
      </c>
      <c r="FR56" s="21">
        <f>EXP(-LN(2)/25)*FR55+(1-EXP(-LN(2)/25))/(LN(2)/25)*Calculateur!FM56*Calculateur!FO56*VLOOKUP('Données projet'!$B$16,Paramètres!$A$1:$I$89,3,0)*0.475*44/12</f>
        <v>16.823036629594792</v>
      </c>
      <c r="FS56" s="21">
        <f>EXP(-LN(2)/2)*FS55+(1-EXP(-LN(2)/2))/(LN(2)/2)*FM56*FP56*VLOOKUP('Données projet'!$B$16,Paramètres!$A$1:$I$89,3,0)*0.475*44/12</f>
        <v>1.662278037319328</v>
      </c>
      <c r="FT56" s="22">
        <f t="shared" si="24"/>
        <v>31.810148796357687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3.3603333333333336</v>
      </c>
      <c r="FZ56" s="12">
        <f>IF('Données projet'!$A$244&gt;35,FZ55+FY56-GH55,IF(A56&lt;'Données projet'!$A$244,$FW$205^A56,IF(A56='Données projet'!$A$244,'Données projet'!$B$244,FZ55+FY56-GH55)))</f>
        <v>178.09766666666658</v>
      </c>
      <c r="GA56" s="17">
        <f>FZ56*VLOOKUP('Données projet'!$B$17,Paramètres!$A$1:$I$89,3,0)*VLOOKUP('Données projet'!$B$17,Paramètres!$A$1:$I$89,5,0)</f>
        <v>202.8176227999999</v>
      </c>
      <c r="GB56" s="13">
        <f t="shared" si="49"/>
        <v>50.362890855317765</v>
      </c>
      <c r="GC56" s="20">
        <f t="shared" si="25"/>
        <v>440.95606128301159</v>
      </c>
      <c r="GD56" s="59">
        <f t="shared" si="26"/>
        <v>698.03143948954482</v>
      </c>
      <c r="GE56" s="59">
        <f ca="1">AVERAGE(OFFSET($GD$3,0,0,'Données projet'!$E$17+1,1))-AVERAGE(OFFSET($H$3,0,0,'Données projet'!$E$17+1,1))</f>
        <v>640.05156427113661</v>
      </c>
      <c r="GF56" s="59">
        <f t="shared" si="50"/>
        <v>308.77220155372902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0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14.12857142857143</v>
      </c>
      <c r="N57" s="13">
        <f>IF('Données projet'!$A$36&gt;35,N56+M57-V56,IF(A57&lt;'Données projet'!$A$36,$K$205^A57,IF(A57='Données projet'!$A$36,'Données projet'!$B$36,N56+M57-V56)))</f>
        <v>248.6057142857143</v>
      </c>
      <c r="O57" s="13">
        <f>N57*VLOOKUP('Données projet'!$B$9,Paramètres!$A$1:$I$89,3,0)*VLOOKUP('Données projet'!$B$9,Paramètres!$A$1:$I$89,5,0)</f>
        <v>209.42545371428574</v>
      </c>
      <c r="P57" s="13">
        <f t="shared" si="33"/>
        <v>51.810012867163444</v>
      </c>
      <c r="Q57" s="20">
        <f t="shared" si="53"/>
        <v>454.98510429602402</v>
      </c>
      <c r="R57" s="59">
        <f t="shared" si="0"/>
        <v>712.6894769633634</v>
      </c>
      <c r="S57" s="59">
        <f ca="1">AVERAGE(OFFSET($R$3,0,0,'Données projet'!$E$9+1,1))-AVERAGE(OFFSET($H$3,0,0,'Données projet'!$E$9+1,1))</f>
        <v>456.35333554128226</v>
      </c>
      <c r="T57" s="59">
        <f t="shared" si="34"/>
        <v>296.4517290984877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13.807936195395888</v>
      </c>
      <c r="AA57" s="21">
        <f>EXP(-LN(2)/25)*AA56+(1-EXP(-LN(2)/25))/(LN(2)/25)*Calculateur!V57*Calculateur!X57*VLOOKUP('Données projet'!$B$9,Paramètres!$A$1:$I$89,3,0)*0.475*44/12</f>
        <v>27.312795816122406</v>
      </c>
      <c r="AB57" s="21">
        <f>EXP(-LN(2)/2)*AB56+(1-EXP(-LN(2)/2))/(LN(2)/2)*V57*Y57*VLOOKUP('Données projet'!$B$9,Paramètres!$A$1:$I$89,3,0)*0.475*44/12</f>
        <v>1.7199350098195421</v>
      </c>
      <c r="AC57" s="22">
        <f t="shared" si="3"/>
        <v>42.840667021337836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7.4</v>
      </c>
      <c r="AI57" s="13">
        <f>IF('Données projet'!$A$62&gt;35,AI56+AH57-AQ56,IF(A57&lt;'Données projet'!$A$62,$AF$205^A57,IF(A57='Données projet'!$A$62,'Données projet'!$B$62,AI56+AH57-AQ56)))</f>
        <v>271.59999999999997</v>
      </c>
      <c r="AJ57" s="13">
        <f>AI57*VLOOKUP('Données projet'!$B$10,Paramètres!$A$1:$I$89,3,0)*VLOOKUP('Données projet'!$B$10,Paramètres!$A$1:$I$89,5,0)</f>
        <v>237.26976000000002</v>
      </c>
      <c r="AK57" s="13">
        <f t="shared" si="35"/>
        <v>57.851715465847946</v>
      </c>
      <c r="AL57" s="20">
        <f t="shared" si="4"/>
        <v>514.00323643635181</v>
      </c>
      <c r="AM57" s="59">
        <f t="shared" si="5"/>
        <v>771.70760910369108</v>
      </c>
      <c r="AN57" s="59">
        <f ca="1">AVERAGE(OFFSET($AM$3,0,0,'Données projet'!$E$10+1,1))-AVERAGE(OFFSET($H$3,0,0,'Données projet'!$E$10+1,1))</f>
        <v>408.246209980743</v>
      </c>
      <c r="AO57" s="59">
        <f t="shared" si="36"/>
        <v>394.10236303013903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14.06843012562776</v>
      </c>
      <c r="AV57" s="21">
        <f>EXP(-LN(2)/25)*AV56+(1-EXP(-LN(2)/25))/(LN(2)/25)*Calculateur!AQ57*Calculateur!AS57*VLOOKUP('Données projet'!$B$10,Paramètres!$A$1:$I$89,3,0)*0.475*44/12</f>
        <v>17.621702870448338</v>
      </c>
      <c r="AW57" s="21">
        <f>EXP(-LN(2)/2)*AW56+(1-EXP(-LN(2)/2))/(LN(2)/2)*AQ57*AT57*VLOOKUP('Données projet'!$B$10,Paramètres!$A$1:$I$89,3,0)*0.475*44/12</f>
        <v>1.2658240779756513</v>
      </c>
      <c r="AX57" s="21">
        <f t="shared" si="6"/>
        <v>32.955957074051753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3.3603333333333336</v>
      </c>
      <c r="BD57" s="12">
        <f>IF('Données projet'!$A$88&gt;35,BD56+BC57-BL56,IF(A57&lt;'Données projet'!$A$88,$BA$205^A57,IF(A57='Données projet'!$A$88,'Données projet'!$B$88,BD56+BC57-BL56)))</f>
        <v>181.45799999999991</v>
      </c>
      <c r="BE57" s="13">
        <f>BD57*VLOOKUP('Données projet'!$B$11,Paramètres!$A$1:$I$89,3,0)*VLOOKUP('Données projet'!$B$11,Paramètres!$A$1:$I$89,5,0)</f>
        <v>183.99841199999992</v>
      </c>
      <c r="BF57" s="13">
        <f t="shared" si="37"/>
        <v>46.210618509095013</v>
      </c>
      <c r="BG57" s="20">
        <f t="shared" si="7"/>
        <v>400.94739480334033</v>
      </c>
      <c r="BH57" s="59">
        <f t="shared" si="8"/>
        <v>658.65176747067972</v>
      </c>
      <c r="BI57" s="59">
        <f ca="1">AVERAGE(OFFSET($BH$3,0,0,'Données projet'!$E$11+1,1))-AVERAGE(OFFSET($H$3,0,0,'Données projet'!$E$11+1,1))</f>
        <v>580.02848304986492</v>
      </c>
      <c r="BJ57" s="59">
        <f t="shared" si="38"/>
        <v>281.68891895586728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9.375</v>
      </c>
      <c r="BY57" s="12">
        <f>IF('Données projet'!$A$114&gt;35,BY56+BX57-CG56,IF(A57&lt;'Données projet'!$A$114,$BV$205^A57,IF(A57='Données projet'!$A$114,'Données projet'!$B$114,BY56+BX57-CG56)))</f>
        <v>240.74999999999989</v>
      </c>
      <c r="BZ57" s="13">
        <f>BY57*VLOOKUP('Données projet'!$B$12,Paramètres!$A$1:$I$89,3,0)*VLOOKUP('Données projet'!$B$12,Paramètres!$A$1:$I$89,5,0)</f>
        <v>187.78499999999991</v>
      </c>
      <c r="CA57" s="13">
        <f t="shared" si="39"/>
        <v>47.049914090154054</v>
      </c>
      <c r="CB57" s="20">
        <f t="shared" si="10"/>
        <v>409.0041420403515</v>
      </c>
      <c r="CC57" s="59">
        <f t="shared" si="11"/>
        <v>666.70851470769082</v>
      </c>
      <c r="CD57" s="59">
        <f ca="1">AVERAGE(OFFSET($CC$3,0,0,'Données projet'!$E$12+1,1))-AVERAGE(OFFSET($H$3,0,0,'Données projet'!$E$12+1,1))</f>
        <v>308.85018589589453</v>
      </c>
      <c r="CE57" s="59">
        <f t="shared" si="40"/>
        <v>302.59481222418219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12.045389776076044</v>
      </c>
      <c r="CL57" s="21">
        <f>EXP(-LN(2)/25)*CL56+(1-EXP(-LN(2)/25))/(LN(2)/25)*Calculateur!CG57*Calculateur!CI57*VLOOKUP('Données projet'!$B$12,Paramètres!$A$1:$I$89,3,0)*0.475*44/12</f>
        <v>13.141589732426432</v>
      </c>
      <c r="CM57" s="21">
        <f>EXP(-LN(2)/2)*CM56+(1-EXP(-LN(2)/2))/(LN(2)/2)*CG57*CJ57*VLOOKUP('Données projet'!$B$12,Paramètres!$A$1:$I$89,3,0)*0.475*44/12</f>
        <v>4.6837717969353339</v>
      </c>
      <c r="CN57" s="22">
        <f t="shared" si="12"/>
        <v>29.870751305437807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5.7692307692307683</v>
      </c>
      <c r="CT57" s="12">
        <f>IF('Données projet'!$A$140&gt;35,CT56+CS57-DB56,IF(A57&lt;'Données projet'!$A$140,$CQ$205^A57,IF(A57='Données projet'!$A$140,'Données projet'!$B$140,CT56+CS57-DB56)))</f>
        <v>212.17948717948718</v>
      </c>
      <c r="CU57" s="17">
        <f>CT57*VLOOKUP('Données projet'!$B$13,Paramètres!$A$1:$I$89,3,0)*VLOOKUP('Données projet'!$B$13,Paramètres!$A$1:$I$89,5,0)</f>
        <v>142.33000000000001</v>
      </c>
      <c r="CV57" s="13">
        <f t="shared" si="41"/>
        <v>36.830261932722308</v>
      </c>
      <c r="CW57" s="20">
        <f t="shared" si="13"/>
        <v>312.03745619949137</v>
      </c>
      <c r="CX57" s="59">
        <f t="shared" si="14"/>
        <v>569.7418288668307</v>
      </c>
      <c r="CY57" s="59">
        <f ca="1">AVERAGE(OFFSET($CX$3,0,0,'Données projet'!$E$13+1,1))-AVERAGE(OFFSET($H$3,0,0,'Données projet'!$E$13+1,1))</f>
        <v>335.73816489539837</v>
      </c>
      <c r="CZ57" s="59">
        <f t="shared" si="42"/>
        <v>254.09787950201044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7.2423894655913017</v>
      </c>
      <c r="DH57" s="21">
        <f>EXP(-LN(2)/2)*DH56+(1-EXP(-LN(2)/2))/(LN(2)/2)*DB57*DE57*VLOOKUP('Données projet'!$B$13,Paramètres!$A$1:$I$89,3,0)*0.475*44/12</f>
        <v>0.77642902569159578</v>
      </c>
      <c r="DI57" s="22">
        <f t="shared" si="15"/>
        <v>8.0188184912828966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9.8828571428571443</v>
      </c>
      <c r="DO57" s="12">
        <f>IF('Données projet'!$A$166&gt;35,DO56+DN57-DW56,IF(A57&lt;'Données projet'!$A$166,$DL$205^A57,IF(A57='Données projet'!$A$166,'Données projet'!$B$166,DO56+DN57-DW56)))</f>
        <v>153.43571428571425</v>
      </c>
      <c r="DP57" s="17">
        <f>DO57*VLOOKUP('Données projet'!$B$14,Paramètres!$A$1:$I$89,3,0)*VLOOKUP('Données projet'!$B$14,Paramètres!$A$1:$I$89,5,0)</f>
        <v>148.40302285714284</v>
      </c>
      <c r="DQ57" s="13">
        <f t="shared" si="43"/>
        <v>38.215441064290793</v>
      </c>
      <c r="DR57" s="20">
        <f t="shared" si="16"/>
        <v>325.0271579964969</v>
      </c>
      <c r="DS57" s="59">
        <f t="shared" si="17"/>
        <v>582.73153066383622</v>
      </c>
      <c r="DT57" s="59">
        <f ca="1">AVERAGE(OFFSET($DS$3,0,0,'Données projet'!$E$14+1,1))-AVERAGE(OFFSET($H$3,0,0,'Données projet'!$E$14+1,1))</f>
        <v>493.03862850474161</v>
      </c>
      <c r="DU57" s="59">
        <f t="shared" si="44"/>
        <v>312.51819065560528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6.8672230591297598</v>
      </c>
      <c r="EB57" s="21">
        <f>EXP(-LN(2)/25)*EB56+(1-EXP(-LN(2)/25))/(LN(2)/25)*Calculateur!DW57*Calculateur!DY57*VLOOKUP('Données projet'!$B$14,Paramètres!$A$1:$I$89,3,0)*0.475*44/12</f>
        <v>32.57383529186064</v>
      </c>
      <c r="EC57" s="21">
        <f>EXP(-LN(2)/2)*EC56+(1-EXP(-LN(2)/2))/(LN(2)/2)*DW57*DZ57*VLOOKUP('Données projet'!$B$14,Paramètres!$A$1:$I$89,3,0)*0.475*44/12</f>
        <v>2.4132291600007942</v>
      </c>
      <c r="ED57" s="22">
        <f t="shared" si="18"/>
        <v>41.854287510991199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9.8828571428571443</v>
      </c>
      <c r="EJ57" s="12">
        <f>IF('Données projet'!$A$192&gt;35,EJ56+EI57-ER56,IF(A57&lt;'Données projet'!$A$192,$EG$205^A57,IF(A57='Données projet'!$A$192,'Données projet'!$B$192,EJ56+EI57-ER56)))</f>
        <v>153.43571428571425</v>
      </c>
      <c r="EK57" s="17">
        <f>EJ57*VLOOKUP('Données projet'!$B$15,Paramètres!$A$1:$I$89,3,0)*VLOOKUP('Données projet'!$B$15,Paramètres!$A$1:$I$89,5,0)</f>
        <v>165.15820285714281</v>
      </c>
      <c r="EL57" s="13">
        <f t="shared" si="45"/>
        <v>42.003805239427415</v>
      </c>
      <c r="EM57" s="20">
        <f t="shared" si="19"/>
        <v>360.80716410152644</v>
      </c>
      <c r="EN57" s="59">
        <f t="shared" si="20"/>
        <v>618.51153676886577</v>
      </c>
      <c r="EO57" s="59">
        <f ca="1">AVERAGE(OFFSET($EN$3,0,0,'Données projet'!$E$15+1,1))-AVERAGE(OFFSET($H$3,0,0,'Données projet'!$E$15+1,1))</f>
        <v>539.72194201710272</v>
      </c>
      <c r="EP57" s="59">
        <f t="shared" si="46"/>
        <v>340.76505385159362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7.6425546948379575</v>
      </c>
      <c r="EW57" s="21">
        <f>EXP(-LN(2)/25)*EW56+(1-EXP(-LN(2)/25))/(LN(2)/25)*Calculateur!ER57*Calculateur!ET57*VLOOKUP('Données projet'!$B$15,Paramètres!$A$1:$I$89,3,0)*0.475*44/12</f>
        <v>36.251526373199766</v>
      </c>
      <c r="EX57" s="21">
        <f>EXP(-LN(2)/2)*EX56+(1-EXP(-LN(2)/2))/(LN(2)/2)*ER57*EU57*VLOOKUP('Données projet'!$B$15,Paramètres!$A$1:$I$89,3,0)*0.475*44/12</f>
        <v>2.6856905167750784</v>
      </c>
      <c r="EY57" s="22">
        <f t="shared" si="21"/>
        <v>46.579771584812796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7.4</v>
      </c>
      <c r="FE57" s="12">
        <f>IF('Données projet'!$A$218&gt;35,FE56+FD57-FM56,IF(A57&lt;'Données projet'!$A$218,$FB$205^A57,IF(A57='Données projet'!$A$218,'Données projet'!$B$218,FE56+FD57-FM56)))</f>
        <v>271.59999999999997</v>
      </c>
      <c r="FF57" s="17">
        <f>FE57*VLOOKUP('Données projet'!$B$16,Paramètres!$A$1:$I$89,3,0)*VLOOKUP('Données projet'!$B$16,Paramètres!$A$1:$I$89,5,0)</f>
        <v>220.32192000000001</v>
      </c>
      <c r="FG57" s="13">
        <f t="shared" si="47"/>
        <v>54.18484748666976</v>
      </c>
      <c r="FH57" s="20">
        <f t="shared" si="22"/>
        <v>478.09928670594991</v>
      </c>
      <c r="FI57" s="59">
        <f t="shared" si="23"/>
        <v>735.80365937328929</v>
      </c>
      <c r="FJ57" s="59">
        <f ca="1">AVERAGE(OFFSET($FI$3,0,0,'Données projet'!$E$16+1,1))-AVERAGE(OFFSET($H$3,0,0,'Données projet'!$E$16+1,1))</f>
        <v>383.47860767209028</v>
      </c>
      <c r="FK57" s="59">
        <f t="shared" si="48"/>
        <v>370.49129421395628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13.063542259511488</v>
      </c>
      <c r="FR57" s="21">
        <f>EXP(-LN(2)/25)*FR56+(1-EXP(-LN(2)/25))/(LN(2)/25)*Calculateur!FM57*Calculateur!FO57*VLOOKUP('Données projet'!$B$16,Paramètres!$A$1:$I$89,3,0)*0.475*44/12</f>
        <v>16.363009808273475</v>
      </c>
      <c r="FS57" s="21">
        <f>EXP(-LN(2)/2)*FS56+(1-EXP(-LN(2)/2))/(LN(2)/2)*FM57*FP57*VLOOKUP('Données projet'!$B$16,Paramètres!$A$1:$I$89,3,0)*0.475*44/12</f>
        <v>1.1754080724059619</v>
      </c>
      <c r="FT57" s="22">
        <f t="shared" si="24"/>
        <v>30.601960140190922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3.3603333333333336</v>
      </c>
      <c r="FZ57" s="12">
        <f>IF('Données projet'!$A$244&gt;35,FZ56+FY57-GH56,IF(A57&lt;'Données projet'!$A$244,$FW$205^A57,IF(A57='Données projet'!$A$244,'Données projet'!$B$244,FZ56+FY57-GH56)))</f>
        <v>181.45799999999991</v>
      </c>
      <c r="GA57" s="17">
        <f>FZ57*VLOOKUP('Données projet'!$B$17,Paramètres!$A$1:$I$89,3,0)*VLOOKUP('Données projet'!$B$17,Paramètres!$A$1:$I$89,5,0)</f>
        <v>206.6443703999999</v>
      </c>
      <c r="GB57" s="13">
        <f t="shared" si="49"/>
        <v>51.201610163516591</v>
      </c>
      <c r="GC57" s="20">
        <f t="shared" si="25"/>
        <v>449.08174948145785</v>
      </c>
      <c r="GD57" s="59">
        <f t="shared" si="26"/>
        <v>706.78612214879718</v>
      </c>
      <c r="GE57" s="59">
        <f ca="1">AVERAGE(OFFSET($GD$3,0,0,'Données projet'!$E$17+1,1))-AVERAGE(OFFSET($H$3,0,0,'Données projet'!$E$17+1,1))</f>
        <v>640.05156427113661</v>
      </c>
      <c r="GF57" s="59">
        <f t="shared" si="50"/>
        <v>308.77220155372902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0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14.12857142857143</v>
      </c>
      <c r="N58" s="13">
        <f>IF('Données projet'!$A$36&gt;35,N57+M58-V57,IF(A58&lt;'Données projet'!$A$36,$K$205^A58,IF(A58='Données projet'!$A$36,'Données projet'!$B$36,N57+M58-V57)))</f>
        <v>262.7342857142857</v>
      </c>
      <c r="O58" s="13">
        <f>N58*VLOOKUP('Données projet'!$B$9,Paramètres!$A$1:$I$89,3,0)*VLOOKUP('Données projet'!$B$9,Paramètres!$A$1:$I$89,5,0)</f>
        <v>221.32736228571429</v>
      </c>
      <c r="P58" s="13">
        <f t="shared" si="33"/>
        <v>54.403280277320995</v>
      </c>
      <c r="Q58" s="20">
        <f t="shared" si="53"/>
        <v>480.23086913061974</v>
      </c>
      <c r="R58" s="59">
        <f t="shared" si="0"/>
        <v>738.55332461109106</v>
      </c>
      <c r="S58" s="59">
        <f ca="1">AVERAGE(OFFSET($R$3,0,0,'Données projet'!$E$9+1,1))-AVERAGE(OFFSET($H$3,0,0,'Données projet'!$E$9+1,1))</f>
        <v>456.35333554128226</v>
      </c>
      <c r="T58" s="59">
        <f t="shared" si="34"/>
        <v>296.4517290984877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13.537170988613649</v>
      </c>
      <c r="AA58" s="21">
        <f>EXP(-LN(2)/25)*AA57+(1-EXP(-LN(2)/25))/(LN(2)/25)*Calculateur!V58*Calculateur!X58*VLOOKUP('Données projet'!$B$9,Paramètres!$A$1:$I$89,3,0)*0.475*44/12</f>
        <v>26.565925978213031</v>
      </c>
      <c r="AB58" s="21">
        <f>EXP(-LN(2)/2)*AB57+(1-EXP(-LN(2)/2))/(LN(2)/2)*V58*Y58*VLOOKUP('Données projet'!$B$9,Paramètres!$A$1:$I$89,3,0)*0.475*44/12</f>
        <v>1.2161777086435495</v>
      </c>
      <c r="AC58" s="22">
        <f t="shared" si="3"/>
        <v>41.319274675470233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279</v>
      </c>
      <c r="AG58" s="12">
        <f>VLOOKUP(A58,'Données projet'!$A$61:$I$81,9,0)</f>
        <v>7.4</v>
      </c>
      <c r="AH58" s="12">
        <f t="array" ref="AH58">INDEX(AG:AG,MIN(IF(ISNUMBER(AG58:AG254),ROW(AG58:AG254),"")))</f>
        <v>7.4</v>
      </c>
      <c r="AI58" s="13">
        <f>IF('Données projet'!$A$62&gt;35,AI57+AH58-AQ57,IF(A58&lt;'Données projet'!$A$62,$AF$205^A58,IF(A58='Données projet'!$A$62,'Données projet'!$B$62,AI57+AH58-AQ57)))</f>
        <v>278.99999999999994</v>
      </c>
      <c r="AJ58" s="13">
        <f>AI58*VLOOKUP('Données projet'!$B$10,Paramètres!$A$1:$I$89,3,0)*VLOOKUP('Données projet'!$B$10,Paramètres!$A$1:$I$89,5,0)</f>
        <v>243.73439999999997</v>
      </c>
      <c r="AK58" s="13">
        <f t="shared" si="35"/>
        <v>59.242281392848817</v>
      </c>
      <c r="AL58" s="20">
        <f t="shared" si="4"/>
        <v>527.68438675921152</v>
      </c>
      <c r="AM58" s="59">
        <f t="shared" si="5"/>
        <v>786.0068422396829</v>
      </c>
      <c r="AN58" s="59">
        <f ca="1">AVERAGE(OFFSET($AM$3,0,0,'Données projet'!$E$10+1,1))-AVERAGE(OFFSET($H$3,0,0,'Données projet'!$E$10+1,1))</f>
        <v>408.246209980743</v>
      </c>
      <c r="AO58" s="59">
        <f t="shared" si="36"/>
        <v>394.10236303013903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16</v>
      </c>
      <c r="AR58" s="16">
        <f>IF(ISNA(VLOOKUP(A58,'Données projet'!$A$61:$I$81,5,0)),0%,VLOOKUP(A58,'Données projet'!$A$61:$I$81,5,0)*VLOOKUP('Données projet'!$B$10,Paramètres!$A$1:$I$89,7,0))</f>
        <v>0.13250000000000001</v>
      </c>
      <c r="AS58" s="16">
        <f>IF(ISNA(VLOOKUP(A58,'Données projet'!$A$61:$I$81,6,0)),0%,VLOOKUP(A58,'Données projet'!$A$61:$I$81,6,0)*VLOOKUP('Données projet'!$B$10,Paramètres!$A$1:$I$89,7,0))</f>
        <v>0.13250000000000001</v>
      </c>
      <c r="AT58" s="16">
        <f>IF(ISNA(VLOOKUP(A58,'Données projet'!$A$61:$I$81,7,0)),0%,VLOOKUP(A58,'Données projet'!$A$61:$I$81,7,0))</f>
        <v>0.25</v>
      </c>
      <c r="AU58" s="21">
        <f>EXP(-LN(2)/35)*AU57+(1-EXP(-LN(2)/35))/(LN(2)/35)*AQ58*AR58*VLOOKUP('Données projet'!$B$10,Paramètres!$A$1:$I$89,3,0)*0.475*44/12</f>
        <v>15.839923309706451</v>
      </c>
      <c r="AV58" s="21">
        <f>EXP(-LN(2)/25)*AV57+(1-EXP(-LN(2)/25))/(LN(2)/25)*Calculateur!AQ58*Calculateur!AS58*VLOOKUP('Données projet'!$B$10,Paramètres!$A$1:$I$89,3,0)*0.475*44/12</f>
        <v>19.179141734629059</v>
      </c>
      <c r="AW58" s="21">
        <f>EXP(-LN(2)/2)*AW57+(1-EXP(-LN(2)/2))/(LN(2)/2)*AQ58*AT58*VLOOKUP('Données projet'!$B$10,Paramètres!$A$1:$I$89,3,0)*0.475*44/12</f>
        <v>4.1921332397228612</v>
      </c>
      <c r="AX58" s="21">
        <f t="shared" si="6"/>
        <v>39.211198284058376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3.3603333333333336</v>
      </c>
      <c r="BD58" s="12">
        <f>IF('Données projet'!$A$88&gt;35,BD57+BC58-BL57,IF(A58&lt;'Données projet'!$A$88,$BA$205^A58,IF(A58='Données projet'!$A$88,'Données projet'!$B$88,BD57+BC58-BL57)))</f>
        <v>184.81833333333324</v>
      </c>
      <c r="BE58" s="13">
        <f>BD58*VLOOKUP('Données projet'!$B$11,Paramètres!$A$1:$I$89,3,0)*VLOOKUP('Données projet'!$B$11,Paramètres!$A$1:$I$89,5,0)</f>
        <v>187.40578999999991</v>
      </c>
      <c r="BF58" s="13">
        <f t="shared" si="37"/>
        <v>46.96595175625901</v>
      </c>
      <c r="BG58" s="20">
        <f t="shared" si="7"/>
        <v>408.19745022548432</v>
      </c>
      <c r="BH58" s="59">
        <f t="shared" si="8"/>
        <v>666.51990570595569</v>
      </c>
      <c r="BI58" s="59">
        <f ca="1">AVERAGE(OFFSET($BH$3,0,0,'Données projet'!$E$11+1,1))-AVERAGE(OFFSET($H$3,0,0,'Données projet'!$E$11+1,1))</f>
        <v>580.02848304986492</v>
      </c>
      <c r="BJ58" s="59">
        <f t="shared" si="38"/>
        <v>281.68891895586728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9.375</v>
      </c>
      <c r="BY58" s="12">
        <f>IF('Données projet'!$A$114&gt;35,BY57+BX58-CG57,IF(A58&lt;'Données projet'!$A$114,$BV$205^A58,IF(A58='Données projet'!$A$114,'Données projet'!$B$114,BY57+BX58-CG57)))</f>
        <v>250.12499999999989</v>
      </c>
      <c r="BZ58" s="13">
        <f>BY58*VLOOKUP('Données projet'!$B$12,Paramètres!$A$1:$I$89,3,0)*VLOOKUP('Données projet'!$B$12,Paramètres!$A$1:$I$89,5,0)</f>
        <v>195.09749999999991</v>
      </c>
      <c r="CA58" s="13">
        <f t="shared" si="39"/>
        <v>48.66519532492579</v>
      </c>
      <c r="CB58" s="20">
        <f t="shared" si="10"/>
        <v>424.55336102424553</v>
      </c>
      <c r="CC58" s="59">
        <f t="shared" si="11"/>
        <v>682.87581650471691</v>
      </c>
      <c r="CD58" s="59">
        <f ca="1">AVERAGE(OFFSET($CC$3,0,0,'Données projet'!$E$12+1,1))-AVERAGE(OFFSET($H$3,0,0,'Données projet'!$E$12+1,1))</f>
        <v>308.85018589589453</v>
      </c>
      <c r="CE58" s="59">
        <f t="shared" si="40"/>
        <v>302.59481222418219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11.809187029529504</v>
      </c>
      <c r="CL58" s="21">
        <f>EXP(-LN(2)/25)*CL57+(1-EXP(-LN(2)/25))/(LN(2)/25)*Calculateur!CG58*Calculateur!CI58*VLOOKUP('Données projet'!$B$12,Paramètres!$A$1:$I$89,3,0)*0.475*44/12</f>
        <v>12.782232270107063</v>
      </c>
      <c r="CM58" s="21">
        <f>EXP(-LN(2)/2)*CM57+(1-EXP(-LN(2)/2))/(LN(2)/2)*CG58*CJ58*VLOOKUP('Données projet'!$B$12,Paramètres!$A$1:$I$89,3,0)*0.475*44/12</f>
        <v>3.3119267991432757</v>
      </c>
      <c r="CN58" s="22">
        <f t="shared" si="12"/>
        <v>27.903346098779842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217.94871794871793</v>
      </c>
      <c r="CR58" s="12">
        <f>VLOOKUP(A58,'Données projet'!$A$139:$I$159,9,0)</f>
        <v>5.7692307692307683</v>
      </c>
      <c r="CS58" s="12">
        <f t="array" ref="CS58">INDEX(CR:CR,MIN(IF(ISNUMBER(CR58:CR254),ROW(CR58:CR254),"")))</f>
        <v>5.7692307692307683</v>
      </c>
      <c r="CT58" s="12">
        <f>IF('Données projet'!$A$140&gt;35,CT57+CS58-DB57,IF(A58&lt;'Données projet'!$A$140,$CQ$205^A58,IF(A58='Données projet'!$A$140,'Données projet'!$B$140,CT57+CS58-DB57)))</f>
        <v>217.94871794871796</v>
      </c>
      <c r="CU58" s="17">
        <f>CT58*VLOOKUP('Données projet'!$B$13,Paramètres!$A$1:$I$89,3,0)*VLOOKUP('Données projet'!$B$13,Paramètres!$A$1:$I$89,5,0)</f>
        <v>146.19999999999999</v>
      </c>
      <c r="CV58" s="13">
        <f t="shared" si="41"/>
        <v>37.713736580072478</v>
      </c>
      <c r="CW58" s="20">
        <f t="shared" si="13"/>
        <v>320.31642454362617</v>
      </c>
      <c r="CX58" s="59">
        <f t="shared" si="14"/>
        <v>578.63888002409749</v>
      </c>
      <c r="CY58" s="59">
        <f ca="1">AVERAGE(OFFSET($CX$3,0,0,'Données projet'!$E$13+1,1))-AVERAGE(OFFSET($H$3,0,0,'Données projet'!$E$13+1,1))</f>
        <v>335.73816489539837</v>
      </c>
      <c r="CZ58" s="59">
        <f t="shared" si="42"/>
        <v>254.09787950201044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15.384615384615383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0.13250000000000001</v>
      </c>
      <c r="DE58" s="16">
        <f>IF(ISNA(VLOOKUP(A58,'Données projet'!$A$139:$I$159,7,0)),0%,VLOOKUP(A58,'Données projet'!$A$139:$I$159,7,0))</f>
        <v>0.25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8.5500143170794196</v>
      </c>
      <c r="DH58" s="21">
        <f>EXP(-LN(2)/2)*DH57+(1-EXP(-LN(2)/2))/(LN(2)/2)*DB58*DE58*VLOOKUP('Données projet'!$B$13,Paramètres!$A$1:$I$89,3,0)*0.475*44/12</f>
        <v>2.9833176688584926</v>
      </c>
      <c r="DI58" s="22">
        <f t="shared" si="15"/>
        <v>11.533331985937913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9.8828571428571443</v>
      </c>
      <c r="DO58" s="12">
        <f>IF('Données projet'!$A$166&gt;35,DO57+DN58-DW57,IF(A58&lt;'Données projet'!$A$166,$DL$205^A58,IF(A58='Données projet'!$A$166,'Données projet'!$B$166,DO57+DN58-DW57)))</f>
        <v>163.3185714285714</v>
      </c>
      <c r="DP58" s="17">
        <f>DO58*VLOOKUP('Données projet'!$B$14,Paramètres!$A$1:$I$89,3,0)*VLOOKUP('Données projet'!$B$14,Paramètres!$A$1:$I$89,5,0)</f>
        <v>157.96172228571425</v>
      </c>
      <c r="DQ58" s="13">
        <f t="shared" si="43"/>
        <v>40.382433690350695</v>
      </c>
      <c r="DR58" s="20">
        <f t="shared" si="16"/>
        <v>345.44940499164642</v>
      </c>
      <c r="DS58" s="59">
        <f t="shared" si="17"/>
        <v>603.77186047211785</v>
      </c>
      <c r="DT58" s="59">
        <f ca="1">AVERAGE(OFFSET($DS$3,0,0,'Données projet'!$E$14+1,1))-AVERAGE(OFFSET($H$3,0,0,'Données projet'!$E$14+1,1))</f>
        <v>493.03862850474161</v>
      </c>
      <c r="DU58" s="59">
        <f t="shared" si="44"/>
        <v>312.51819065560528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6.7325610035327026</v>
      </c>
      <c r="EB58" s="21">
        <f>EXP(-LN(2)/25)*EB57+(1-EXP(-LN(2)/25))/(LN(2)/25)*Calculateur!DW58*Calculateur!DY58*VLOOKUP('Données projet'!$B$14,Paramètres!$A$1:$I$89,3,0)*0.475*44/12</f>
        <v>31.683102052821162</v>
      </c>
      <c r="EC58" s="21">
        <f>EXP(-LN(2)/2)*EC57+(1-EXP(-LN(2)/2))/(LN(2)/2)*DW58*DZ58*VLOOKUP('Données projet'!$B$14,Paramètres!$A$1:$I$89,3,0)*0.475*44/12</f>
        <v>1.7064107035936775</v>
      </c>
      <c r="ED58" s="22">
        <f t="shared" si="18"/>
        <v>40.12207375994754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9.8828571428571443</v>
      </c>
      <c r="EJ58" s="12">
        <f>IF('Données projet'!$A$192&gt;35,EJ57+EI58-ER57,IF(A58&lt;'Données projet'!$A$192,$EG$205^A58,IF(A58='Données projet'!$A$192,'Données projet'!$B$192,EJ57+EI58-ER57)))</f>
        <v>163.3185714285714</v>
      </c>
      <c r="EK58" s="17">
        <f>EJ58*VLOOKUP('Données projet'!$B$15,Paramètres!$A$1:$I$89,3,0)*VLOOKUP('Données projet'!$B$15,Paramètres!$A$1:$I$89,5,0)</f>
        <v>175.79611028571426</v>
      </c>
      <c r="EL58" s="13">
        <f t="shared" si="45"/>
        <v>44.385615672209468</v>
      </c>
      <c r="EM58" s="20">
        <f t="shared" si="19"/>
        <v>383.48317271005044</v>
      </c>
      <c r="EN58" s="59">
        <f t="shared" si="20"/>
        <v>641.80562819052182</v>
      </c>
      <c r="EO58" s="59">
        <f ca="1">AVERAGE(OFFSET($EN$3,0,0,'Données projet'!$E$15+1,1))-AVERAGE(OFFSET($H$3,0,0,'Données projet'!$E$15+1,1))</f>
        <v>539.72194201710272</v>
      </c>
      <c r="EP58" s="59">
        <f t="shared" si="46"/>
        <v>340.76505385159362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7.492688858770264</v>
      </c>
      <c r="EW58" s="21">
        <f>EXP(-LN(2)/25)*EW57+(1-EXP(-LN(2)/25))/(LN(2)/25)*Calculateur!ER58*Calculateur!ET58*VLOOKUP('Données projet'!$B$15,Paramètres!$A$1:$I$89,3,0)*0.475*44/12</f>
        <v>35.2602264781397</v>
      </c>
      <c r="EX58" s="21">
        <f>EXP(-LN(2)/2)*EX57+(1-EXP(-LN(2)/2))/(LN(2)/2)*ER58*EU58*VLOOKUP('Données projet'!$B$15,Paramètres!$A$1:$I$89,3,0)*0.475*44/12</f>
        <v>1.8990699765800612</v>
      </c>
      <c r="EY58" s="22">
        <f t="shared" si="21"/>
        <v>44.651985313490023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279</v>
      </c>
      <c r="FC58" s="12">
        <f>VLOOKUP(A58,'Données projet'!$A$217:$I$237,9,0)</f>
        <v>7.4</v>
      </c>
      <c r="FD58" s="12">
        <f t="array" ref="FD58">INDEX(FC:FC,MIN(IF(ISNUMBER(FC58:FC254),ROW(FC58:FC254),"")))</f>
        <v>7.4</v>
      </c>
      <c r="FE58" s="12">
        <f>IF('Données projet'!$A$218&gt;35,FE57+FD58-FM57,IF(A58&lt;'Données projet'!$A$218,$FB$205^A58,IF(A58='Données projet'!$A$218,'Données projet'!$B$218,FE57+FD58-FM57)))</f>
        <v>278.99999999999994</v>
      </c>
      <c r="FF58" s="17">
        <f>FE58*VLOOKUP('Données projet'!$B$16,Paramètres!$A$1:$I$89,3,0)*VLOOKUP('Données projet'!$B$16,Paramètres!$A$1:$I$89,5,0)</f>
        <v>226.32479999999998</v>
      </c>
      <c r="FG58" s="13">
        <f t="shared" si="47"/>
        <v>55.48727390683667</v>
      </c>
      <c r="FH58" s="20">
        <f t="shared" si="22"/>
        <v>490.82269538774045</v>
      </c>
      <c r="FI58" s="59">
        <f t="shared" si="23"/>
        <v>749.14515086821189</v>
      </c>
      <c r="FJ58" s="59">
        <f ca="1">AVERAGE(OFFSET($FI$3,0,0,'Données projet'!$E$16+1,1))-AVERAGE(OFFSET($H$3,0,0,'Données projet'!$E$16+1,1))</f>
        <v>383.47860767209028</v>
      </c>
      <c r="FK58" s="59">
        <f t="shared" si="48"/>
        <v>370.49129421395628</v>
      </c>
      <c r="FL58" s="15">
        <f>IF(ISNA(VLOOKUP(A58,'Données projet'!$A$217:$I$237,3,0)),0,VLOOKUP(A58,'Données projet'!$A$217:$I$237,3,0))</f>
        <v>9</v>
      </c>
      <c r="FM58" s="15">
        <f>IF(ISNA(VLOOKUP(A58,'Données projet'!$A$217:$I$237,4,0)),0,VLOOKUP(A58,'Données projet'!$A$217:$I$237,4,0))</f>
        <v>16</v>
      </c>
      <c r="FN58" s="16">
        <f>IF(ISNA(VLOOKUP(A58,'Données projet'!$A$217:$I$237,5,0)),0%,VLOOKUP(A58,'Données projet'!$A$217:$I$237,5,0)*VLOOKUP('Données projet'!$B$16,Paramètres!$A$1:$I$89,7,0))</f>
        <v>0.13250000000000001</v>
      </c>
      <c r="FO58" s="16">
        <f>IF(ISNA(VLOOKUP(A58,'Données projet'!$A$217:$I$237,6,0)),0%,VLOOKUP(A58,'Données projet'!$A$217:$I$237,6,0)*VLOOKUP('Données projet'!$B$16,Paramètres!$A$1:$I$89,7,0))</f>
        <v>0.13250000000000001</v>
      </c>
      <c r="FP58" s="16">
        <f>IF(ISNA(VLOOKUP(A58,'Données projet'!$A$217:$I$237,7,0)),0%,VLOOKUP(A58,'Données projet'!$A$217:$I$237,7,0))</f>
        <v>0.25</v>
      </c>
      <c r="FQ58" s="21">
        <f>EXP(-LN(2)/35)*FQ57+(1-EXP(-LN(2)/35))/(LN(2)/35)*FM58*FN58*VLOOKUP('Données projet'!$B$16,Paramètres!$A$1:$I$89,3,0)*0.475*44/12</f>
        <v>14.708500216155988</v>
      </c>
      <c r="FR58" s="21">
        <f>EXP(-LN(2)/25)*FR57+(1-EXP(-LN(2)/25))/(LN(2)/25)*Calculateur!FM58*Calculateur!FO58*VLOOKUP('Données projet'!$B$16,Paramètres!$A$1:$I$89,3,0)*0.475*44/12</f>
        <v>17.809203039298428</v>
      </c>
      <c r="FS58" s="21">
        <f>EXP(-LN(2)/2)*FS57+(1-EXP(-LN(2)/2))/(LN(2)/2)*FM58*FP58*VLOOKUP('Données projet'!$B$16,Paramètres!$A$1:$I$89,3,0)*0.475*44/12</f>
        <v>3.8926951511712282</v>
      </c>
      <c r="FT58" s="22">
        <f t="shared" si="24"/>
        <v>36.410398406625646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3.3603333333333336</v>
      </c>
      <c r="FZ58" s="12">
        <f>IF('Données projet'!$A$244&gt;35,FZ57+FY58-GH57,IF(A58&lt;'Données projet'!$A$244,$FW$205^A58,IF(A58='Données projet'!$A$244,'Données projet'!$B$244,FZ57+FY58-GH57)))</f>
        <v>184.81833333333324</v>
      </c>
      <c r="GA58" s="17">
        <f>FZ58*VLOOKUP('Données projet'!$B$17,Paramètres!$A$1:$I$89,3,0)*VLOOKUP('Données projet'!$B$17,Paramètres!$A$1:$I$89,5,0)</f>
        <v>210.4711179999999</v>
      </c>
      <c r="GB58" s="13">
        <f t="shared" si="49"/>
        <v>52.038523403646074</v>
      </c>
      <c r="GC58" s="20">
        <f t="shared" si="25"/>
        <v>457.20429211135001</v>
      </c>
      <c r="GD58" s="59">
        <f t="shared" si="26"/>
        <v>715.52674759182139</v>
      </c>
      <c r="GE58" s="59">
        <f ca="1">AVERAGE(OFFSET($GD$3,0,0,'Données projet'!$E$17+1,1))-AVERAGE(OFFSET($H$3,0,0,'Données projet'!$E$17+1,1))</f>
        <v>640.05156427113661</v>
      </c>
      <c r="GF58" s="59">
        <f t="shared" si="50"/>
        <v>308.77220155372902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0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14.12857142857143</v>
      </c>
      <c r="N59" s="13">
        <f>IF('Données projet'!$A$36&gt;35,N58+M59-V58,IF(A59&lt;'Données projet'!$A$36,$K$205^A59,IF(A59='Données projet'!$A$36,'Données projet'!$B$36,N58+M59-V58)))</f>
        <v>276.86285714285714</v>
      </c>
      <c r="O59" s="13">
        <f>N59*VLOOKUP('Données projet'!$B$9,Paramètres!$A$1:$I$89,3,0)*VLOOKUP('Données projet'!$B$9,Paramètres!$A$1:$I$89,5,0)</f>
        <v>233.22927085714286</v>
      </c>
      <c r="P59" s="13">
        <f t="shared" si="33"/>
        <v>56.980357782875821</v>
      </c>
      <c r="Q59" s="20">
        <f t="shared" si="53"/>
        <v>505.44843654803253</v>
      </c>
      <c r="R59" s="59">
        <f t="shared" si="0"/>
        <v>764.37825248665422</v>
      </c>
      <c r="S59" s="59">
        <f ca="1">AVERAGE(OFFSET($R$3,0,0,'Données projet'!$E$9+1,1))-AVERAGE(OFFSET($H$3,0,0,'Données projet'!$E$9+1,1))</f>
        <v>456.35333554128226</v>
      </c>
      <c r="T59" s="59">
        <f t="shared" si="34"/>
        <v>296.4517290984877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13.271715322385942</v>
      </c>
      <c r="AA59" s="21">
        <f>EXP(-LN(2)/25)*AA58+(1-EXP(-LN(2)/25))/(LN(2)/25)*Calculateur!V59*Calculateur!X59*VLOOKUP('Données projet'!$B$9,Paramètres!$A$1:$I$89,3,0)*0.475*44/12</f>
        <v>25.839479335297465</v>
      </c>
      <c r="AB59" s="21">
        <f>EXP(-LN(2)/2)*AB58+(1-EXP(-LN(2)/2))/(LN(2)/2)*V59*Y59*VLOOKUP('Données projet'!$B$9,Paramètres!$A$1:$I$89,3,0)*0.475*44/12</f>
        <v>0.85996750490977114</v>
      </c>
      <c r="AC59" s="22">
        <f t="shared" si="3"/>
        <v>39.971162162593174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6.2</v>
      </c>
      <c r="AI59" s="13">
        <f>IF('Données projet'!$A$62&gt;35,AI58+AH59-AQ58,IF(A59&lt;'Données projet'!$A$62,$AF$205^A59,IF(A59='Données projet'!$A$62,'Données projet'!$B$62,AI58+AH59-AQ58)))</f>
        <v>269.19999999999993</v>
      </c>
      <c r="AJ59" s="13">
        <f>AI59*VLOOKUP('Données projet'!$B$10,Paramètres!$A$1:$I$89,3,0)*VLOOKUP('Données projet'!$B$10,Paramètres!$A$1:$I$89,5,0)</f>
        <v>235.17311999999998</v>
      </c>
      <c r="AK59" s="13">
        <f t="shared" si="35"/>
        <v>57.399778925799218</v>
      </c>
      <c r="AL59" s="20">
        <f t="shared" si="4"/>
        <v>509.56446562910031</v>
      </c>
      <c r="AM59" s="59">
        <f t="shared" si="5"/>
        <v>768.49428156772206</v>
      </c>
      <c r="AN59" s="59">
        <f ca="1">AVERAGE(OFFSET($AM$3,0,0,'Données projet'!$E$10+1,1))-AVERAGE(OFFSET($H$3,0,0,'Données projet'!$E$10+1,1))</f>
        <v>408.246209980743</v>
      </c>
      <c r="AO59" s="59">
        <f t="shared" si="36"/>
        <v>394.10236303013903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15.529312075002343</v>
      </c>
      <c r="AV59" s="21">
        <f>EXP(-LN(2)/25)*AV58+(1-EXP(-LN(2)/25))/(LN(2)/25)*Calculateur!AQ59*Calculateur!AS59*VLOOKUP('Données projet'!$B$10,Paramètres!$A$1:$I$89,3,0)*0.475*44/12</f>
        <v>18.654687095308397</v>
      </c>
      <c r="AW59" s="21">
        <f>EXP(-LN(2)/2)*AW58+(1-EXP(-LN(2)/2))/(LN(2)/2)*AQ59*AT59*VLOOKUP('Données projet'!$B$10,Paramètres!$A$1:$I$89,3,0)*0.475*44/12</f>
        <v>2.9642858414455659</v>
      </c>
      <c r="AX59" s="21">
        <f t="shared" si="6"/>
        <v>37.148285011756307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3.3603333333333336</v>
      </c>
      <c r="BD59" s="12">
        <f>IF('Données projet'!$A$88&gt;35,BD58+BC59-BL58,IF(A59&lt;'Données projet'!$A$88,$BA$205^A59,IF(A59='Données projet'!$A$88,'Données projet'!$B$88,BD58+BC59-BL58)))</f>
        <v>188.17866666666657</v>
      </c>
      <c r="BE59" s="13">
        <f>BD59*VLOOKUP('Données projet'!$B$11,Paramètres!$A$1:$I$89,3,0)*VLOOKUP('Données projet'!$B$11,Paramètres!$A$1:$I$89,5,0)</f>
        <v>190.81316799999991</v>
      </c>
      <c r="BF59" s="13">
        <f t="shared" si="37"/>
        <v>47.719688040962872</v>
      </c>
      <c r="BG59" s="20">
        <f t="shared" si="7"/>
        <v>415.44472427134343</v>
      </c>
      <c r="BH59" s="59">
        <f t="shared" si="8"/>
        <v>674.37454020996518</v>
      </c>
      <c r="BI59" s="59">
        <f ca="1">AVERAGE(OFFSET($BH$3,0,0,'Données projet'!$E$11+1,1))-AVERAGE(OFFSET($H$3,0,0,'Données projet'!$E$11+1,1))</f>
        <v>580.02848304986492</v>
      </c>
      <c r="BJ59" s="59">
        <f t="shared" si="38"/>
        <v>281.68891895586728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9.375</v>
      </c>
      <c r="BY59" s="12">
        <f>IF('Données projet'!$A$114&gt;35,BY58+BX59-CG58,IF(A59&lt;'Données projet'!$A$114,$BV$205^A59,IF(A59='Données projet'!$A$114,'Données projet'!$B$114,BY58+BX59-CG58)))</f>
        <v>259.49999999999989</v>
      </c>
      <c r="BZ59" s="13">
        <f>BY59*VLOOKUP('Données projet'!$B$12,Paramètres!$A$1:$I$89,3,0)*VLOOKUP('Données projet'!$B$12,Paramètres!$A$1:$I$89,5,0)</f>
        <v>202.40999999999991</v>
      </c>
      <c r="CA59" s="13">
        <f t="shared" si="39"/>
        <v>50.273442991661817</v>
      </c>
      <c r="CB59" s="20">
        <f t="shared" si="10"/>
        <v>440.09032987714414</v>
      </c>
      <c r="CC59" s="59">
        <f t="shared" si="11"/>
        <v>699.02014581576589</v>
      </c>
      <c r="CD59" s="59">
        <f ca="1">AVERAGE(OFFSET($CC$3,0,0,'Données projet'!$E$12+1,1))-AVERAGE(OFFSET($H$3,0,0,'Données projet'!$E$12+1,1))</f>
        <v>308.85018589589453</v>
      </c>
      <c r="CE59" s="59">
        <f t="shared" si="40"/>
        <v>302.59481222418219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11.577616074773292</v>
      </c>
      <c r="CL59" s="21">
        <f>EXP(-LN(2)/25)*CL58+(1-EXP(-LN(2)/25))/(LN(2)/25)*Calculateur!CG59*Calculateur!CI59*VLOOKUP('Données projet'!$B$12,Paramètres!$A$1:$I$89,3,0)*0.475*44/12</f>
        <v>12.432701456492603</v>
      </c>
      <c r="CM59" s="21">
        <f>EXP(-LN(2)/2)*CM58+(1-EXP(-LN(2)/2))/(LN(2)/2)*CG59*CJ59*VLOOKUP('Données projet'!$B$12,Paramètres!$A$1:$I$89,3,0)*0.475*44/12</f>
        <v>2.3418858984676669</v>
      </c>
      <c r="CN59" s="22">
        <f t="shared" si="12"/>
        <v>26.352203429733564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5.3846153846153868</v>
      </c>
      <c r="CT59" s="12">
        <f>IF('Données projet'!$A$140&gt;35,CT58+CS59-DB58,IF(A59&lt;'Données projet'!$A$140,$CQ$205^A59,IF(A59='Données projet'!$A$140,'Données projet'!$B$140,CT58+CS59-DB58)))</f>
        <v>207.94871794871796</v>
      </c>
      <c r="CU59" s="17">
        <f>CT59*VLOOKUP('Données projet'!$B$13,Paramètres!$A$1:$I$89,3,0)*VLOOKUP('Données projet'!$B$13,Paramètres!$A$1:$I$89,5,0)</f>
        <v>139.49200000000002</v>
      </c>
      <c r="CV59" s="13">
        <f t="shared" si="41"/>
        <v>36.180605218782823</v>
      </c>
      <c r="CW59" s="20">
        <f t="shared" si="13"/>
        <v>305.96312075604675</v>
      </c>
      <c r="CX59" s="59">
        <f t="shared" si="14"/>
        <v>564.89293669466849</v>
      </c>
      <c r="CY59" s="59">
        <f ca="1">AVERAGE(OFFSET($CX$3,0,0,'Données projet'!$E$13+1,1))-AVERAGE(OFFSET($H$3,0,0,'Données projet'!$E$13+1,1))</f>
        <v>335.73816489539837</v>
      </c>
      <c r="CZ59" s="59">
        <f t="shared" si="42"/>
        <v>254.09787950201044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8.3162137259531708</v>
      </c>
      <c r="DH59" s="21">
        <f>EXP(-LN(2)/2)*DH58+(1-EXP(-LN(2)/2))/(LN(2)/2)*DB59*DE59*VLOOKUP('Données projet'!$B$13,Paramètres!$A$1:$I$89,3,0)*0.475*44/12</f>
        <v>2.1095241540834833</v>
      </c>
      <c r="DI59" s="22">
        <f t="shared" si="15"/>
        <v>10.425737880036653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9.8828571428571443</v>
      </c>
      <c r="DO59" s="12">
        <f>IF('Données projet'!$A$166&gt;35,DO58+DN59-DW58,IF(A59&lt;'Données projet'!$A$166,$DL$205^A59,IF(A59='Données projet'!$A$166,'Données projet'!$B$166,DO58+DN59-DW58)))</f>
        <v>173.20142857142855</v>
      </c>
      <c r="DP59" s="17">
        <f>DO59*VLOOKUP('Données projet'!$B$14,Paramètres!$A$1:$I$89,3,0)*VLOOKUP('Données projet'!$B$14,Paramètres!$A$1:$I$89,5,0)</f>
        <v>167.5204217142857</v>
      </c>
      <c r="DQ59" s="13">
        <f t="shared" si="43"/>
        <v>42.534206529661049</v>
      </c>
      <c r="DR59" s="20">
        <f t="shared" si="16"/>
        <v>365.84514419154061</v>
      </c>
      <c r="DS59" s="59">
        <f t="shared" si="17"/>
        <v>624.7749601301623</v>
      </c>
      <c r="DT59" s="59">
        <f ca="1">AVERAGE(OFFSET($DS$3,0,0,'Données projet'!$E$14+1,1))-AVERAGE(OFFSET($H$3,0,0,'Données projet'!$E$14+1,1))</f>
        <v>493.03862850474161</v>
      </c>
      <c r="DU59" s="59">
        <f t="shared" si="44"/>
        <v>312.51819065560528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6.6005395887101592</v>
      </c>
      <c r="EB59" s="21">
        <f>EXP(-LN(2)/25)*EB58+(1-EXP(-LN(2)/25))/(LN(2)/25)*Calculateur!DW59*Calculateur!DY59*VLOOKUP('Données projet'!$B$14,Paramètres!$A$1:$I$89,3,0)*0.475*44/12</f>
        <v>30.816725961044842</v>
      </c>
      <c r="EC59" s="21">
        <f>EXP(-LN(2)/2)*EC58+(1-EXP(-LN(2)/2))/(LN(2)/2)*DW59*DZ59*VLOOKUP('Données projet'!$B$14,Paramètres!$A$1:$I$89,3,0)*0.475*44/12</f>
        <v>1.2066145800003971</v>
      </c>
      <c r="ED59" s="22">
        <f t="shared" si="18"/>
        <v>38.623880129755399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9.8828571428571443</v>
      </c>
      <c r="EJ59" s="12">
        <f>IF('Données projet'!$A$192&gt;35,EJ58+EI59-ER58,IF(A59&lt;'Données projet'!$A$192,$EG$205^A59,IF(A59='Données projet'!$A$192,'Données projet'!$B$192,EJ58+EI59-ER58)))</f>
        <v>173.20142857142855</v>
      </c>
      <c r="EK59" s="17">
        <f>EJ59*VLOOKUP('Données projet'!$B$15,Paramètres!$A$1:$I$89,3,0)*VLOOKUP('Données projet'!$B$15,Paramètres!$A$1:$I$89,5,0)</f>
        <v>186.43401771428569</v>
      </c>
      <c r="EL59" s="13">
        <f t="shared" si="45"/>
        <v>46.750697553897737</v>
      </c>
      <c r="EM59" s="20">
        <f t="shared" si="19"/>
        <v>406.13004575875283</v>
      </c>
      <c r="EN59" s="59">
        <f t="shared" si="20"/>
        <v>665.05986169737457</v>
      </c>
      <c r="EO59" s="59">
        <f ca="1">AVERAGE(OFFSET($EN$3,0,0,'Données projet'!$E$15+1,1))-AVERAGE(OFFSET($H$3,0,0,'Données projet'!$E$15+1,1))</f>
        <v>539.72194201710272</v>
      </c>
      <c r="EP59" s="59">
        <f t="shared" si="46"/>
        <v>340.76505385159362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7.3457618003387246</v>
      </c>
      <c r="EW59" s="21">
        <f>EXP(-LN(2)/25)*EW58+(1-EXP(-LN(2)/25))/(LN(2)/25)*Calculateur!ER59*Calculateur!ET59*VLOOKUP('Données projet'!$B$15,Paramètres!$A$1:$I$89,3,0)*0.475*44/12</f>
        <v>34.29603373084025</v>
      </c>
      <c r="EX59" s="21">
        <f>EXP(-LN(2)/2)*EX58+(1-EXP(-LN(2)/2))/(LN(2)/2)*ER59*EU59*VLOOKUP('Données projet'!$B$15,Paramètres!$A$1:$I$89,3,0)*0.475*44/12</f>
        <v>1.3428452583875394</v>
      </c>
      <c r="EY59" s="22">
        <f t="shared" si="21"/>
        <v>42.984640789566512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6.2</v>
      </c>
      <c r="FE59" s="12">
        <f>IF('Données projet'!$A$218&gt;35,FE58+FD59-FM58,IF(A59&lt;'Données projet'!$A$218,$FB$205^A59,IF(A59='Données projet'!$A$218,'Données projet'!$B$218,FE58+FD59-FM58)))</f>
        <v>269.19999999999993</v>
      </c>
      <c r="FF59" s="17">
        <f>FE59*VLOOKUP('Données projet'!$B$16,Paramètres!$A$1:$I$89,3,0)*VLOOKUP('Données projet'!$B$16,Paramètres!$A$1:$I$89,5,0)</f>
        <v>218.37503999999998</v>
      </c>
      <c r="FG59" s="13">
        <f t="shared" si="47"/>
        <v>53.761556452013281</v>
      </c>
      <c r="FH59" s="20">
        <f t="shared" si="22"/>
        <v>473.97123882058969</v>
      </c>
      <c r="FI59" s="59">
        <f t="shared" si="23"/>
        <v>732.90105475921143</v>
      </c>
      <c r="FJ59" s="59">
        <f ca="1">AVERAGE(OFFSET($FI$3,0,0,'Données projet'!$E$16+1,1))-AVERAGE(OFFSET($H$3,0,0,'Données projet'!$E$16+1,1))</f>
        <v>383.47860767209028</v>
      </c>
      <c r="FK59" s="59">
        <f t="shared" si="48"/>
        <v>370.49129421395628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14.420075498216459</v>
      </c>
      <c r="FR59" s="21">
        <f>EXP(-LN(2)/25)*FR58+(1-EXP(-LN(2)/25))/(LN(2)/25)*Calculateur!FM59*Calculateur!FO59*VLOOKUP('Données projet'!$B$16,Paramètres!$A$1:$I$89,3,0)*0.475*44/12</f>
        <v>17.322209445643526</v>
      </c>
      <c r="FS59" s="21">
        <f>EXP(-LN(2)/2)*FS58+(1-EXP(-LN(2)/2))/(LN(2)/2)*FM59*FP59*VLOOKUP('Données projet'!$B$16,Paramètres!$A$1:$I$89,3,0)*0.475*44/12</f>
        <v>2.7525511384851682</v>
      </c>
      <c r="FT59" s="22">
        <f t="shared" si="24"/>
        <v>34.494836082345152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3.3603333333333336</v>
      </c>
      <c r="FZ59" s="12">
        <f>IF('Données projet'!$A$244&gt;35,FZ58+FY59-GH58,IF(A59&lt;'Données projet'!$A$244,$FW$205^A59,IF(A59='Données projet'!$A$244,'Données projet'!$B$244,FZ58+FY59-GH58)))</f>
        <v>188.17866666666657</v>
      </c>
      <c r="GA59" s="17">
        <f>FZ59*VLOOKUP('Données projet'!$B$17,Paramètres!$A$1:$I$89,3,0)*VLOOKUP('Données projet'!$B$17,Paramètres!$A$1:$I$89,5,0)</f>
        <v>214.29786559999988</v>
      </c>
      <c r="GB59" s="13">
        <f t="shared" si="49"/>
        <v>52.873667200907974</v>
      </c>
      <c r="GC59" s="20">
        <f t="shared" si="25"/>
        <v>465.32375296158119</v>
      </c>
      <c r="GD59" s="59">
        <f t="shared" si="26"/>
        <v>724.25356890020294</v>
      </c>
      <c r="GE59" s="59">
        <f ca="1">AVERAGE(OFFSET($GD$3,0,0,'Données projet'!$E$17+1,1))-AVERAGE(OFFSET($H$3,0,0,'Données projet'!$E$17+1,1))</f>
        <v>640.05156427113661</v>
      </c>
      <c r="GF59" s="59">
        <f t="shared" si="50"/>
        <v>308.77220155372902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0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14.12857142857143</v>
      </c>
      <c r="N60" s="13">
        <f>IF('Données projet'!$A$36&gt;35,N59+M60-V59,IF(A60&lt;'Données projet'!$A$36,$K$205^A60,IF(A60='Données projet'!$A$36,'Données projet'!$B$36,N59+M60-V59)))</f>
        <v>290.99142857142857</v>
      </c>
      <c r="O60" s="13">
        <f>N60*VLOOKUP('Données projet'!$B$9,Paramètres!$A$1:$I$89,3,0)*VLOOKUP('Données projet'!$B$9,Paramètres!$A$1:$I$89,5,0)</f>
        <v>245.13117942857144</v>
      </c>
      <c r="P60" s="13">
        <f t="shared" si="33"/>
        <v>59.542165822606094</v>
      </c>
      <c r="Q60" s="20">
        <f t="shared" si="53"/>
        <v>530.63940964580081</v>
      </c>
      <c r="R60" s="59">
        <f t="shared" si="0"/>
        <v>790.16604969647847</v>
      </c>
      <c r="S60" s="59">
        <f ca="1">AVERAGE(OFFSET($R$3,0,0,'Données projet'!$E$9+1,1))-AVERAGE(OFFSET($H$3,0,0,'Données projet'!$E$9+1,1))</f>
        <v>456.35333554128226</v>
      </c>
      <c r="T60" s="59">
        <f t="shared" si="34"/>
        <v>296.4517290984877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13.011465079860992</v>
      </c>
      <c r="AA60" s="21">
        <f>EXP(-LN(2)/25)*AA59+(1-EXP(-LN(2)/25))/(LN(2)/25)*Calculateur!V60*Calculateur!X60*VLOOKUP('Données projet'!$B$9,Paramètres!$A$1:$I$89,3,0)*0.475*44/12</f>
        <v>25.132897414034595</v>
      </c>
      <c r="AB60" s="21">
        <f>EXP(-LN(2)/2)*AB59+(1-EXP(-LN(2)/2))/(LN(2)/2)*V60*Y60*VLOOKUP('Données projet'!$B$9,Paramètres!$A$1:$I$89,3,0)*0.475*44/12</f>
        <v>0.60808885432177484</v>
      </c>
      <c r="AC60" s="22">
        <f t="shared" si="3"/>
        <v>38.752451348217363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6.2</v>
      </c>
      <c r="AI60" s="13">
        <f>IF('Données projet'!$A$62&gt;35,AI59+AH60-AQ59,IF(A60&lt;'Données projet'!$A$62,$AF$205^A60,IF(A60='Données projet'!$A$62,'Données projet'!$B$62,AI59+AH60-AQ59)))</f>
        <v>275.39999999999992</v>
      </c>
      <c r="AJ60" s="13">
        <f>AI60*VLOOKUP('Données projet'!$B$10,Paramètres!$A$1:$I$89,3,0)*VLOOKUP('Données projet'!$B$10,Paramètres!$A$1:$I$89,5,0)</f>
        <v>240.58943999999994</v>
      </c>
      <c r="AK60" s="13">
        <f t="shared" si="35"/>
        <v>58.56633325847811</v>
      </c>
      <c r="AL60" s="20">
        <f t="shared" si="4"/>
        <v>521.02963842518261</v>
      </c>
      <c r="AM60" s="59">
        <f t="shared" si="5"/>
        <v>780.55627847586038</v>
      </c>
      <c r="AN60" s="59">
        <f ca="1">AVERAGE(OFFSET($AM$3,0,0,'Données projet'!$E$10+1,1))-AVERAGE(OFFSET($H$3,0,0,'Données projet'!$E$10+1,1))</f>
        <v>408.246209980743</v>
      </c>
      <c r="AO60" s="59">
        <f t="shared" si="36"/>
        <v>394.10236303013903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15.224791737156636</v>
      </c>
      <c r="AV60" s="21">
        <f>EXP(-LN(2)/25)*AV59+(1-EXP(-LN(2)/25))/(LN(2)/25)*Calculateur!AQ60*Calculateur!AS60*VLOOKUP('Données projet'!$B$10,Paramètres!$A$1:$I$89,3,0)*0.475*44/12</f>
        <v>18.144573695679831</v>
      </c>
      <c r="AW60" s="21">
        <f>EXP(-LN(2)/2)*AW59+(1-EXP(-LN(2)/2))/(LN(2)/2)*AQ60*AT60*VLOOKUP('Données projet'!$B$10,Paramètres!$A$1:$I$89,3,0)*0.475*44/12</f>
        <v>2.0960666198614311</v>
      </c>
      <c r="AX60" s="21">
        <f t="shared" si="6"/>
        <v>35.465432052697899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3.3603333333333336</v>
      </c>
      <c r="BD60" s="12">
        <f>IF('Données projet'!$A$88&gt;35,BD59+BC60-BL59,IF(A60&lt;'Données projet'!$A$88,$BA$205^A60,IF(A60='Données projet'!$A$88,'Données projet'!$B$88,BD59+BC60-BL59)))</f>
        <v>191.5389999999999</v>
      </c>
      <c r="BE60" s="13">
        <f>BD60*VLOOKUP('Données projet'!$B$11,Paramètres!$A$1:$I$89,3,0)*VLOOKUP('Données projet'!$B$11,Paramètres!$A$1:$I$89,5,0)</f>
        <v>194.22054599999993</v>
      </c>
      <c r="BF60" s="13">
        <f t="shared" si="37"/>
        <v>48.471859170137883</v>
      </c>
      <c r="BG60" s="20">
        <f t="shared" si="7"/>
        <v>422.68927233798996</v>
      </c>
      <c r="BH60" s="59">
        <f t="shared" si="8"/>
        <v>682.21591238866768</v>
      </c>
      <c r="BI60" s="59">
        <f ca="1">AVERAGE(OFFSET($BH$3,0,0,'Données projet'!$E$11+1,1))-AVERAGE(OFFSET($H$3,0,0,'Données projet'!$E$11+1,1))</f>
        <v>580.02848304986492</v>
      </c>
      <c r="BJ60" s="59">
        <f t="shared" si="38"/>
        <v>281.68891895586728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9.375</v>
      </c>
      <c r="BY60" s="12">
        <f>IF('Données projet'!$A$114&gt;35,BY59+BX60-CG59,IF(A60&lt;'Données projet'!$A$114,$BV$205^A60,IF(A60='Données projet'!$A$114,'Données projet'!$B$114,BY59+BX60-CG59)))</f>
        <v>268.87499999999989</v>
      </c>
      <c r="BZ60" s="13">
        <f>BY60*VLOOKUP('Données projet'!$B$12,Paramètres!$A$1:$I$89,3,0)*VLOOKUP('Données projet'!$B$12,Paramètres!$A$1:$I$89,5,0)</f>
        <v>209.72249999999991</v>
      </c>
      <c r="CA60" s="13">
        <f t="shared" si="39"/>
        <v>51.874940300502246</v>
      </c>
      <c r="CB60" s="20">
        <f t="shared" si="10"/>
        <v>455.61554185670792</v>
      </c>
      <c r="CC60" s="59">
        <f t="shared" si="11"/>
        <v>715.14218190738563</v>
      </c>
      <c r="CD60" s="59">
        <f ca="1">AVERAGE(OFFSET($CC$3,0,0,'Données projet'!$E$12+1,1))-AVERAGE(OFFSET($H$3,0,0,'Données projet'!$E$12+1,1))</f>
        <v>308.85018589589453</v>
      </c>
      <c r="CE60" s="59">
        <f t="shared" si="40"/>
        <v>302.59481222418219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11.350586085195514</v>
      </c>
      <c r="CL60" s="21">
        <f>EXP(-LN(2)/25)*CL59+(1-EXP(-LN(2)/25))/(LN(2)/25)*Calculateur!CG60*Calculateur!CI60*VLOOKUP('Données projet'!$B$12,Paramètres!$A$1:$I$89,3,0)*0.475*44/12</f>
        <v>12.092728581357459</v>
      </c>
      <c r="CM60" s="21">
        <f>EXP(-LN(2)/2)*CM59+(1-EXP(-LN(2)/2))/(LN(2)/2)*CG60*CJ60*VLOOKUP('Données projet'!$B$12,Paramètres!$A$1:$I$89,3,0)*0.475*44/12</f>
        <v>1.6559633995716379</v>
      </c>
      <c r="CN60" s="22">
        <f t="shared" si="12"/>
        <v>25.099278066124612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5.3846153846153868</v>
      </c>
      <c r="CT60" s="12">
        <f>IF('Données projet'!$A$140&gt;35,CT59+CS60-DB59,IF(A60&lt;'Données projet'!$A$140,$CQ$205^A60,IF(A60='Données projet'!$A$140,'Données projet'!$B$140,CT59+CS60-DB59)))</f>
        <v>213.33333333333334</v>
      </c>
      <c r="CU60" s="17">
        <f>CT60*VLOOKUP('Données projet'!$B$13,Paramètres!$A$1:$I$89,3,0)*VLOOKUP('Données projet'!$B$13,Paramètres!$A$1:$I$89,5,0)</f>
        <v>143.10400000000001</v>
      </c>
      <c r="CV60" s="13">
        <f t="shared" si="41"/>
        <v>37.007178225178052</v>
      </c>
      <c r="CW60" s="20">
        <f t="shared" si="13"/>
        <v>313.69363540885178</v>
      </c>
      <c r="CX60" s="59">
        <f t="shared" si="14"/>
        <v>573.22027545952949</v>
      </c>
      <c r="CY60" s="59">
        <f ca="1">AVERAGE(OFFSET($CX$3,0,0,'Données projet'!$E$13+1,1))-AVERAGE(OFFSET($H$3,0,0,'Données projet'!$E$13+1,1))</f>
        <v>335.73816489539837</v>
      </c>
      <c r="CZ60" s="59">
        <f t="shared" si="42"/>
        <v>254.09787950201044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8.0888064242863091</v>
      </c>
      <c r="DH60" s="21">
        <f>EXP(-LN(2)/2)*DH59+(1-EXP(-LN(2)/2))/(LN(2)/2)*DB60*DE60*VLOOKUP('Données projet'!$B$13,Paramètres!$A$1:$I$89,3,0)*0.475*44/12</f>
        <v>1.4916588344292465</v>
      </c>
      <c r="DI60" s="22">
        <f t="shared" si="15"/>
        <v>9.5804652587155559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9.8828571428571443</v>
      </c>
      <c r="DO60" s="12">
        <f>IF('Données projet'!$A$166&gt;35,DO59+DN60-DW59,IF(A60&lt;'Données projet'!$A$166,$DL$205^A60,IF(A60='Données projet'!$A$166,'Données projet'!$B$166,DO59+DN60-DW59)))</f>
        <v>183.0842857142857</v>
      </c>
      <c r="DP60" s="17">
        <f>DO60*VLOOKUP('Données projet'!$B$14,Paramètres!$A$1:$I$89,3,0)*VLOOKUP('Données projet'!$B$14,Paramètres!$A$1:$I$89,5,0)</f>
        <v>177.07912114285713</v>
      </c>
      <c r="DQ60" s="13">
        <f t="shared" si="43"/>
        <v>44.671726974753369</v>
      </c>
      <c r="DR60" s="20">
        <f t="shared" si="16"/>
        <v>386.21606047150499</v>
      </c>
      <c r="DS60" s="59">
        <f t="shared" si="17"/>
        <v>645.74270052218276</v>
      </c>
      <c r="DT60" s="59">
        <f ca="1">AVERAGE(OFFSET($DS$3,0,0,'Données projet'!$E$14+1,1))-AVERAGE(OFFSET($H$3,0,0,'Données projet'!$E$14+1,1))</f>
        <v>493.03862850474161</v>
      </c>
      <c r="DU60" s="59">
        <f t="shared" si="44"/>
        <v>312.51819065560528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6.4711070333071747</v>
      </c>
      <c r="EB60" s="21">
        <f>EXP(-LN(2)/25)*EB59+(1-EXP(-LN(2)/25))/(LN(2)/25)*Calculateur!DW60*Calculateur!DY60*VLOOKUP('Données projet'!$B$14,Paramètres!$A$1:$I$89,3,0)*0.475*44/12</f>
        <v>29.974040969058883</v>
      </c>
      <c r="EC60" s="21">
        <f>EXP(-LN(2)/2)*EC59+(1-EXP(-LN(2)/2))/(LN(2)/2)*DW60*DZ60*VLOOKUP('Données projet'!$B$14,Paramètres!$A$1:$I$89,3,0)*0.475*44/12</f>
        <v>0.85320535179683876</v>
      </c>
      <c r="ED60" s="22">
        <f t="shared" si="18"/>
        <v>37.298353354162899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9.8828571428571443</v>
      </c>
      <c r="EJ60" s="12">
        <f>IF('Données projet'!$A$192&gt;35,EJ59+EI60-ER59,IF(A60&lt;'Données projet'!$A$192,$EG$205^A60,IF(A60='Données projet'!$A$192,'Données projet'!$B$192,EJ59+EI60-ER59)))</f>
        <v>183.0842857142857</v>
      </c>
      <c r="EK60" s="17">
        <f>EJ60*VLOOKUP('Données projet'!$B$15,Paramètres!$A$1:$I$89,3,0)*VLOOKUP('Données projet'!$B$15,Paramètres!$A$1:$I$89,5,0)</f>
        <v>197.07192514285711</v>
      </c>
      <c r="EL60" s="13">
        <f t="shared" si="45"/>
        <v>49.100114176354296</v>
      </c>
      <c r="EM60" s="20">
        <f t="shared" si="19"/>
        <v>428.74963514762658</v>
      </c>
      <c r="EN60" s="59">
        <f t="shared" si="20"/>
        <v>688.27627519830435</v>
      </c>
      <c r="EO60" s="59">
        <f ca="1">AVERAGE(OFFSET($EN$3,0,0,'Données projet'!$E$15+1,1))-AVERAGE(OFFSET($H$3,0,0,'Données projet'!$E$15+1,1))</f>
        <v>539.72194201710272</v>
      </c>
      <c r="EP60" s="59">
        <f t="shared" si="46"/>
        <v>340.76505385159362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7.2017158919063702</v>
      </c>
      <c r="EW60" s="21">
        <f>EXP(-LN(2)/25)*EW59+(1-EXP(-LN(2)/25))/(LN(2)/25)*Calculateur!ER60*Calculateur!ET60*VLOOKUP('Données projet'!$B$15,Paramètres!$A$1:$I$89,3,0)*0.475*44/12</f>
        <v>33.358206884920392</v>
      </c>
      <c r="EX60" s="21">
        <f>EXP(-LN(2)/2)*EX59+(1-EXP(-LN(2)/2))/(LN(2)/2)*ER60*EU60*VLOOKUP('Données projet'!$B$15,Paramètres!$A$1:$I$89,3,0)*0.475*44/12</f>
        <v>0.9495349882900308</v>
      </c>
      <c r="EY60" s="22">
        <f t="shared" si="21"/>
        <v>41.509457765116792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6.2</v>
      </c>
      <c r="FE60" s="12">
        <f>IF('Données projet'!$A$218&gt;35,FE59+FD60-FM59,IF(A60&lt;'Données projet'!$A$218,$FB$205^A60,IF(A60='Données projet'!$A$218,'Données projet'!$B$218,FE59+FD60-FM59)))</f>
        <v>275.39999999999992</v>
      </c>
      <c r="FF60" s="17">
        <f>FE60*VLOOKUP('Données projet'!$B$16,Paramètres!$A$1:$I$89,3,0)*VLOOKUP('Données projet'!$B$16,Paramètres!$A$1:$I$89,5,0)</f>
        <v>223.40447999999995</v>
      </c>
      <c r="FG60" s="13">
        <f t="shared" si="47"/>
        <v>54.854170008795911</v>
      </c>
      <c r="FH60" s="20">
        <f t="shared" si="22"/>
        <v>484.63381543198619</v>
      </c>
      <c r="FI60" s="59">
        <f t="shared" si="23"/>
        <v>744.16045548266391</v>
      </c>
      <c r="FJ60" s="59">
        <f ca="1">AVERAGE(OFFSET($FI$3,0,0,'Données projet'!$E$16+1,1))-AVERAGE(OFFSET($H$3,0,0,'Données projet'!$E$16+1,1))</f>
        <v>383.47860767209028</v>
      </c>
      <c r="FK60" s="59">
        <f t="shared" si="48"/>
        <v>370.49129421395628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14.137306613074017</v>
      </c>
      <c r="FR60" s="21">
        <f>EXP(-LN(2)/25)*FR59+(1-EXP(-LN(2)/25))/(LN(2)/25)*Calculateur!FM60*Calculateur!FO60*VLOOKUP('Données projet'!$B$16,Paramètres!$A$1:$I$89,3,0)*0.475*44/12</f>
        <v>16.848532717417001</v>
      </c>
      <c r="FS60" s="21">
        <f>EXP(-LN(2)/2)*FS59+(1-EXP(-LN(2)/2))/(LN(2)/2)*FM60*FP60*VLOOKUP('Données projet'!$B$16,Paramètres!$A$1:$I$89,3,0)*0.475*44/12</f>
        <v>1.9463475755856143</v>
      </c>
      <c r="FT60" s="22">
        <f t="shared" si="24"/>
        <v>32.93218690607663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3.3603333333333336</v>
      </c>
      <c r="FZ60" s="12">
        <f>IF('Données projet'!$A$244&gt;35,FZ59+FY60-GH59,IF(A60&lt;'Données projet'!$A$244,$FW$205^A60,IF(A60='Données projet'!$A$244,'Données projet'!$B$244,FZ59+FY60-GH59)))</f>
        <v>191.5389999999999</v>
      </c>
      <c r="GA60" s="17">
        <f>FZ60*VLOOKUP('Données projet'!$B$17,Paramètres!$A$1:$I$89,3,0)*VLOOKUP('Données projet'!$B$17,Paramètres!$A$1:$I$89,5,0)</f>
        <v>218.12461319999989</v>
      </c>
      <c r="GB60" s="13">
        <f t="shared" si="49"/>
        <v>53.707076797550549</v>
      </c>
      <c r="GC60" s="20">
        <f t="shared" si="25"/>
        <v>473.44019341240033</v>
      </c>
      <c r="GD60" s="59">
        <f t="shared" si="26"/>
        <v>732.96683346307805</v>
      </c>
      <c r="GE60" s="59">
        <f ca="1">AVERAGE(OFFSET($GD$3,0,0,'Données projet'!$E$17+1,1))-AVERAGE(OFFSET($H$3,0,0,'Données projet'!$E$17+1,1))</f>
        <v>640.05156427113661</v>
      </c>
      <c r="GF60" s="59">
        <f t="shared" si="50"/>
        <v>308.77220155372902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0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305.12</v>
      </c>
      <c r="L61" s="12">
        <f>VLOOKUP(A61,'Données projet'!$A$35:$I$55,9,0)</f>
        <v>14.12857142857143</v>
      </c>
      <c r="M61" s="12">
        <f t="array" ref="M61">INDEX(L:L,MIN(IF(ISNUMBER(L61:L257),ROW(L61:L257),"")))</f>
        <v>14.12857142857143</v>
      </c>
      <c r="N61" s="13">
        <f>IF('Données projet'!$A$36&gt;35,N60+M61-V60,IF(A61&lt;'Données projet'!$A$36,$K$205^A61,IF(A61='Données projet'!$A$36,'Données projet'!$B$36,N60+M61-V60)))</f>
        <v>305.12</v>
      </c>
      <c r="O61" s="13">
        <f>N61*VLOOKUP('Données projet'!$B$9,Paramètres!$A$1:$I$89,3,0)*VLOOKUP('Données projet'!$B$9,Paramètres!$A$1:$I$89,5,0)</f>
        <v>257.03308800000002</v>
      </c>
      <c r="P61" s="13">
        <f t="shared" si="33"/>
        <v>62.08953040488894</v>
      </c>
      <c r="Q61" s="20">
        <f t="shared" si="53"/>
        <v>555.8052270551816</v>
      </c>
      <c r="R61" s="59">
        <f t="shared" si="0"/>
        <v>815.91833765387003</v>
      </c>
      <c r="S61" s="59">
        <f ca="1">AVERAGE(OFFSET($R$3,0,0,'Données projet'!$E$9+1,1))-AVERAGE(OFFSET($H$3,0,0,'Données projet'!$E$9+1,1))</f>
        <v>456.35333554128226</v>
      </c>
      <c r="T61" s="59">
        <f t="shared" si="34"/>
        <v>296.4517290984877</v>
      </c>
      <c r="U61" s="15">
        <f>IF(ISNA(VLOOKUP(A61,'Données projet'!$A$35:$I$55,3,0)),0,VLOOKUP(A61,'Données projet'!$A$35:$I$55,3,0))</f>
        <v>5</v>
      </c>
      <c r="V61" s="15">
        <f>IF(ISNA(VLOOKUP(A61,'Données projet'!$A$35:$I$55,4,0)),0,VLOOKUP(A61,'Données projet'!$A$35:$I$55,4,0))</f>
        <v>53.97</v>
      </c>
      <c r="W61" s="16">
        <f>IF(ISNA(VLOOKUP(A61,'Données projet'!$A$35:$I$55,5,0)),0%,VLOOKUP(A61,'Données projet'!$A$35:$I$55,5,0)*VLOOKUP('Données projet'!$B$9,Paramètres!$A$1:$I$89,7,0))</f>
        <v>0.15049999999999999</v>
      </c>
      <c r="X61" s="16">
        <f>IF(ISNA(VLOOKUP(A61,'Données projet'!$A$35:$I$55,6,0)),0%,VLOOKUP(A61,'Données projet'!$A$35:$I$55,6,0)*VLOOKUP('Données projet'!$B$9,Paramètres!$A$1:$I$89,7,0))</f>
        <v>8.6000000000000007E-2</v>
      </c>
      <c r="Y61" s="16">
        <f>IF(ISNA(VLOOKUP(A61,'Données projet'!$A$35:$I$55,7,0)),0%,VLOOKUP(A61,'Données projet'!$A$35:$I$55,7,0))</f>
        <v>0.1</v>
      </c>
      <c r="Z61" s="21">
        <f>EXP(-LN(2)/35)*Z60+(1-EXP(-LN(2)/35))/(LN(2)/35)*V61*W61*VLOOKUP('Données projet'!$B$9,Paramètres!$A$1:$I$89,3,0)*0.475*44/12</f>
        <v>20.320368109225246</v>
      </c>
      <c r="AA61" s="21">
        <f>EXP(-LN(2)/25)*AA60+(1-EXP(-LN(2)/25))/(LN(2)/25)*Calculateur!V61*Calculateur!X61*VLOOKUP('Données projet'!$B$9,Paramètres!$A$1:$I$89,3,0)*0.475*44/12</f>
        <v>28.750932656390745</v>
      </c>
      <c r="AB61" s="21">
        <f>EXP(-LN(2)/2)*AB60+(1-EXP(-LN(2)/2))/(LN(2)/2)*V61*Y61*VLOOKUP('Données projet'!$B$9,Paramètres!$A$1:$I$89,3,0)*0.475*44/12</f>
        <v>4.7196654646996219</v>
      </c>
      <c r="AC61" s="22">
        <f t="shared" si="3"/>
        <v>53.790966230315611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6.2</v>
      </c>
      <c r="AI61" s="13">
        <f>IF('Données projet'!$A$62&gt;35,AI60+AH61-AQ60,IF(A61&lt;'Données projet'!$A$62,$AF$205^A61,IF(A61='Données projet'!$A$62,'Données projet'!$B$62,AI60+AH61-AQ60)))</f>
        <v>281.59999999999991</v>
      </c>
      <c r="AJ61" s="13">
        <f>AI61*VLOOKUP('Données projet'!$B$10,Paramètres!$A$1:$I$89,3,0)*VLOOKUP('Données projet'!$B$10,Paramètres!$A$1:$I$89,5,0)</f>
        <v>246.00575999999995</v>
      </c>
      <c r="AK61" s="13">
        <f t="shared" si="35"/>
        <v>59.729834388897928</v>
      </c>
      <c r="AL61" s="20">
        <f t="shared" si="4"/>
        <v>532.48949356066385</v>
      </c>
      <c r="AM61" s="59">
        <f t="shared" si="5"/>
        <v>792.60260415935227</v>
      </c>
      <c r="AN61" s="59">
        <f ca="1">AVERAGE(OFFSET($AM$3,0,0,'Données projet'!$E$10+1,1))-AVERAGE(OFFSET($H$3,0,0,'Données projet'!$E$10+1,1))</f>
        <v>408.246209980743</v>
      </c>
      <c r="AO61" s="59">
        <f t="shared" si="36"/>
        <v>394.10236303013903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14.926242857397018</v>
      </c>
      <c r="AV61" s="21">
        <f>EXP(-LN(2)/25)*AV60+(1-EXP(-LN(2)/25))/(LN(2)/25)*Calculateur!AQ61*Calculateur!AS61*VLOOKUP('Données projet'!$B$10,Paramètres!$A$1:$I$89,3,0)*0.475*44/12</f>
        <v>17.648409373789807</v>
      </c>
      <c r="AW61" s="21">
        <f>EXP(-LN(2)/2)*AW60+(1-EXP(-LN(2)/2))/(LN(2)/2)*AQ61*AT61*VLOOKUP('Données projet'!$B$10,Paramètres!$A$1:$I$89,3,0)*0.475*44/12</f>
        <v>1.4821429207227834</v>
      </c>
      <c r="AX61" s="21">
        <f t="shared" si="6"/>
        <v>34.056795151909611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3.3603333333333336</v>
      </c>
      <c r="BD61" s="12">
        <f>IF('Données projet'!$A$88&gt;35,BD60+BC61-BL60,IF(A61&lt;'Données projet'!$A$88,$BA$205^A61,IF(A61='Données projet'!$A$88,'Données projet'!$B$88,BD60+BC61-BL60)))</f>
        <v>194.89933333333323</v>
      </c>
      <c r="BE61" s="13">
        <f>BD61*VLOOKUP('Données projet'!$B$11,Paramètres!$A$1:$I$89,3,0)*VLOOKUP('Données projet'!$B$11,Paramètres!$A$1:$I$89,5,0)</f>
        <v>197.62792399999992</v>
      </c>
      <c r="BF61" s="13">
        <f t="shared" si="37"/>
        <v>49.222495770753348</v>
      </c>
      <c r="BG61" s="20">
        <f t="shared" si="7"/>
        <v>429.93114776739526</v>
      </c>
      <c r="BH61" s="59">
        <f t="shared" si="8"/>
        <v>690.04425836608368</v>
      </c>
      <c r="BI61" s="59">
        <f ca="1">AVERAGE(OFFSET($BH$3,0,0,'Données projet'!$E$11+1,1))-AVERAGE(OFFSET($H$3,0,0,'Données projet'!$E$11+1,1))</f>
        <v>580.02848304986492</v>
      </c>
      <c r="BJ61" s="59">
        <f t="shared" si="38"/>
        <v>281.68891895586728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9.375</v>
      </c>
      <c r="BY61" s="12">
        <f>IF('Données projet'!$A$114&gt;35,BY60+BX61-CG60,IF(A61&lt;'Données projet'!$A$114,$BV$205^A61,IF(A61='Données projet'!$A$114,'Données projet'!$B$114,BY60+BX61-CG60)))</f>
        <v>278.24999999999989</v>
      </c>
      <c r="BZ61" s="13">
        <f>BY61*VLOOKUP('Données projet'!$B$12,Paramètres!$A$1:$I$89,3,0)*VLOOKUP('Données projet'!$B$12,Paramètres!$A$1:$I$89,5,0)</f>
        <v>217.03499999999991</v>
      </c>
      <c r="CA61" s="13">
        <f t="shared" si="39"/>
        <v>53.469949591969474</v>
      </c>
      <c r="CB61" s="20">
        <f t="shared" si="10"/>
        <v>471.12945387267996</v>
      </c>
      <c r="CC61" s="59">
        <f t="shared" si="11"/>
        <v>731.24256447136838</v>
      </c>
      <c r="CD61" s="59">
        <f ca="1">AVERAGE(OFFSET($CC$3,0,0,'Données projet'!$E$12+1,1))-AVERAGE(OFFSET($H$3,0,0,'Données projet'!$E$12+1,1))</f>
        <v>308.85018589589453</v>
      </c>
      <c r="CE61" s="59">
        <f t="shared" si="40"/>
        <v>302.59481222418219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11.128008015238736</v>
      </c>
      <c r="CL61" s="21">
        <f>EXP(-LN(2)/25)*CL60+(1-EXP(-LN(2)/25))/(LN(2)/25)*Calculateur!CG61*Calculateur!CI61*VLOOKUP('Données projet'!$B$12,Paramètres!$A$1:$I$89,3,0)*0.475*44/12</f>
        <v>11.762052282371283</v>
      </c>
      <c r="CM61" s="21">
        <f>EXP(-LN(2)/2)*CM60+(1-EXP(-LN(2)/2))/(LN(2)/2)*CG61*CJ61*VLOOKUP('Données projet'!$B$12,Paramètres!$A$1:$I$89,3,0)*0.475*44/12</f>
        <v>1.1709429492338335</v>
      </c>
      <c r="CN61" s="22">
        <f t="shared" si="12"/>
        <v>24.061003246843853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5.3846153846153868</v>
      </c>
      <c r="CT61" s="12">
        <f>IF('Données projet'!$A$140&gt;35,CT60+CS61-DB60,IF(A61&lt;'Données projet'!$A$140,$CQ$205^A61,IF(A61='Données projet'!$A$140,'Données projet'!$B$140,CT60+CS61-DB60)))</f>
        <v>218.71794871794873</v>
      </c>
      <c r="CU61" s="17">
        <f>CT61*VLOOKUP('Données projet'!$B$13,Paramètres!$A$1:$I$89,3,0)*VLOOKUP('Données projet'!$B$13,Paramètres!$A$1:$I$89,5,0)</f>
        <v>146.71600000000001</v>
      </c>
      <c r="CV61" s="13">
        <f t="shared" si="41"/>
        <v>37.831326067731702</v>
      </c>
      <c r="CW61" s="20">
        <f t="shared" si="13"/>
        <v>321.41992623463273</v>
      </c>
      <c r="CX61" s="59">
        <f t="shared" si="14"/>
        <v>581.53303683332115</v>
      </c>
      <c r="CY61" s="59">
        <f ca="1">AVERAGE(OFFSET($CX$3,0,0,'Données projet'!$E$13+1,1))-AVERAGE(OFFSET($H$3,0,0,'Données projet'!$E$13+1,1))</f>
        <v>335.73816489539837</v>
      </c>
      <c r="CZ61" s="59">
        <f t="shared" si="42"/>
        <v>254.09787950201044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7.867617587242357</v>
      </c>
      <c r="DH61" s="21">
        <f>EXP(-LN(2)/2)*DH60+(1-EXP(-LN(2)/2))/(LN(2)/2)*DB61*DE61*VLOOKUP('Données projet'!$B$13,Paramètres!$A$1:$I$89,3,0)*0.475*44/12</f>
        <v>1.0547620770417419</v>
      </c>
      <c r="DI61" s="22">
        <f t="shared" si="15"/>
        <v>8.9223796642840991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9.8828571428571443</v>
      </c>
      <c r="DO61" s="12">
        <f>IF('Données projet'!$A$166&gt;35,DO60+DN61-DW60,IF(A61&lt;'Données projet'!$A$166,$DL$205^A61,IF(A61='Données projet'!$A$166,'Données projet'!$B$166,DO60+DN61-DW60)))</f>
        <v>192.96714285714285</v>
      </c>
      <c r="DP61" s="17">
        <f>DO61*VLOOKUP('Données projet'!$B$14,Paramètres!$A$1:$I$89,3,0)*VLOOKUP('Données projet'!$B$14,Paramètres!$A$1:$I$89,5,0)</f>
        <v>186.63782057142856</v>
      </c>
      <c r="DQ61" s="13">
        <f t="shared" si="43"/>
        <v>46.795852080275033</v>
      </c>
      <c r="DR61" s="20">
        <f t="shared" si="16"/>
        <v>406.5636465350504</v>
      </c>
      <c r="DS61" s="59">
        <f t="shared" si="17"/>
        <v>666.67675713373887</v>
      </c>
      <c r="DT61" s="59">
        <f ca="1">AVERAGE(OFFSET($DS$3,0,0,'Données projet'!$E$14+1,1))-AVERAGE(OFFSET($H$3,0,0,'Données projet'!$E$14+1,1))</f>
        <v>493.03862850474161</v>
      </c>
      <c r="DU61" s="59">
        <f t="shared" si="44"/>
        <v>312.51819065560528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6.3442125713695789</v>
      </c>
      <c r="EB61" s="21">
        <f>EXP(-LN(2)/25)*EB60+(1-EXP(-LN(2)/25))/(LN(2)/25)*Calculateur!DW61*Calculateur!DY61*VLOOKUP('Données projet'!$B$14,Paramètres!$A$1:$I$89,3,0)*0.475*44/12</f>
        <v>29.15439924249366</v>
      </c>
      <c r="EC61" s="21">
        <f>EXP(-LN(2)/2)*EC60+(1-EXP(-LN(2)/2))/(LN(2)/2)*DW61*DZ61*VLOOKUP('Données projet'!$B$14,Paramètres!$A$1:$I$89,3,0)*0.475*44/12</f>
        <v>0.60330729000019856</v>
      </c>
      <c r="ED61" s="22">
        <f t="shared" si="18"/>
        <v>36.101919103863437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9.8828571428571443</v>
      </c>
      <c r="EJ61" s="12">
        <f>IF('Données projet'!$A$192&gt;35,EJ60+EI61-ER60,IF(A61&lt;'Données projet'!$A$192,$EG$205^A61,IF(A61='Données projet'!$A$192,'Données projet'!$B$192,EJ60+EI61-ER60)))</f>
        <v>192.96714285714285</v>
      </c>
      <c r="EK61" s="17">
        <f>EJ61*VLOOKUP('Données projet'!$B$15,Paramètres!$A$1:$I$89,3,0)*VLOOKUP('Données projet'!$B$15,Paramètres!$A$1:$I$89,5,0)</f>
        <v>207.70983257142854</v>
      </c>
      <c r="EL61" s="13">
        <f t="shared" si="45"/>
        <v>51.43480755556741</v>
      </c>
      <c r="EM61" s="20">
        <f t="shared" si="19"/>
        <v>451.34358155451793</v>
      </c>
      <c r="EN61" s="59">
        <f t="shared" si="20"/>
        <v>711.4566921532064</v>
      </c>
      <c r="EO61" s="59">
        <f ca="1">AVERAGE(OFFSET($EN$3,0,0,'Données projet'!$E$15+1,1))-AVERAGE(OFFSET($H$3,0,0,'Données projet'!$E$15+1,1))</f>
        <v>539.72194201710272</v>
      </c>
      <c r="EP61" s="59">
        <f t="shared" si="46"/>
        <v>340.76505385159362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7.0604946358790457</v>
      </c>
      <c r="EW61" s="21">
        <f>EXP(-LN(2)/25)*EW60+(1-EXP(-LN(2)/25))/(LN(2)/25)*Calculateur!ER61*Calculateur!ET61*VLOOKUP('Données projet'!$B$15,Paramètres!$A$1:$I$89,3,0)*0.475*44/12</f>
        <v>32.446024963420385</v>
      </c>
      <c r="EX61" s="21">
        <f>EXP(-LN(2)/2)*EX60+(1-EXP(-LN(2)/2))/(LN(2)/2)*ER61*EU61*VLOOKUP('Données projet'!$B$15,Paramètres!$A$1:$I$89,3,0)*0.475*44/12</f>
        <v>0.67142262919376983</v>
      </c>
      <c r="EY61" s="22">
        <f t="shared" si="21"/>
        <v>40.177942228493201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6.2</v>
      </c>
      <c r="FE61" s="12">
        <f>IF('Données projet'!$A$218&gt;35,FE60+FD61-FM60,IF(A61&lt;'Données projet'!$A$218,$FB$205^A61,IF(A61='Données projet'!$A$218,'Données projet'!$B$218,FE60+FD61-FM60)))</f>
        <v>281.59999999999991</v>
      </c>
      <c r="FF61" s="17">
        <f>FE61*VLOOKUP('Données projet'!$B$16,Paramètres!$A$1:$I$89,3,0)*VLOOKUP('Données projet'!$B$16,Paramètres!$A$1:$I$89,5,0)</f>
        <v>228.43391999999994</v>
      </c>
      <c r="FG61" s="13">
        <f t="shared" si="47"/>
        <v>55.943923887219448</v>
      </c>
      <c r="FH61" s="20">
        <f t="shared" si="22"/>
        <v>495.29141143690708</v>
      </c>
      <c r="FI61" s="59">
        <f t="shared" si="23"/>
        <v>755.40452203559551</v>
      </c>
      <c r="FJ61" s="59">
        <f ca="1">AVERAGE(OFFSET($FI$3,0,0,'Données projet'!$E$16+1,1))-AVERAGE(OFFSET($H$3,0,0,'Données projet'!$E$16+1,1))</f>
        <v>383.47860767209028</v>
      </c>
      <c r="FK61" s="59">
        <f t="shared" si="48"/>
        <v>370.49129421395628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13.860082653297228</v>
      </c>
      <c r="FR61" s="21">
        <f>EXP(-LN(2)/25)*FR60+(1-EXP(-LN(2)/25))/(LN(2)/25)*Calculateur!FM61*Calculateur!FO61*VLOOKUP('Données projet'!$B$16,Paramètres!$A$1:$I$89,3,0)*0.475*44/12</f>
        <v>16.387808704233404</v>
      </c>
      <c r="FS61" s="21">
        <f>EXP(-LN(2)/2)*FS60+(1-EXP(-LN(2)/2))/(LN(2)/2)*FM61*FP61*VLOOKUP('Données projet'!$B$16,Paramètres!$A$1:$I$89,3,0)*0.475*44/12</f>
        <v>1.3762755692425843</v>
      </c>
      <c r="FT61" s="22">
        <f t="shared" si="24"/>
        <v>31.624166926773217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3.3603333333333336</v>
      </c>
      <c r="FZ61" s="12">
        <f>IF('Données projet'!$A$244&gt;35,FZ60+FY61-GH60,IF(A61&lt;'Données projet'!$A$244,$FW$205^A61,IF(A61='Données projet'!$A$244,'Données projet'!$B$244,FZ60+FY61-GH60)))</f>
        <v>194.89933333333323</v>
      </c>
      <c r="GA61" s="17">
        <f>FZ61*VLOOKUP('Données projet'!$B$17,Paramètres!$A$1:$I$89,3,0)*VLOOKUP('Données projet'!$B$17,Paramètres!$A$1:$I$89,5,0)</f>
        <v>221.95136079999986</v>
      </c>
      <c r="GB61" s="13">
        <f t="shared" si="49"/>
        <v>54.538786128418167</v>
      </c>
      <c r="GC61" s="20">
        <f t="shared" si="25"/>
        <v>481.55367256699475</v>
      </c>
      <c r="GD61" s="59">
        <f t="shared" si="26"/>
        <v>741.66678316568323</v>
      </c>
      <c r="GE61" s="59">
        <f ca="1">AVERAGE(OFFSET($GD$3,0,0,'Données projet'!$E$17+1,1))-AVERAGE(OFFSET($H$3,0,0,'Données projet'!$E$17+1,1))</f>
        <v>640.05156427113661</v>
      </c>
      <c r="GF61" s="59">
        <f t="shared" si="50"/>
        <v>308.77220155372902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0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13.839999999999995</v>
      </c>
      <c r="N62" s="13">
        <f>IF('Données projet'!$A$36&gt;35,N61+M62-V61,IF(A62&lt;'Données projet'!$A$36,$K$205^A62,IF(A62='Données projet'!$A$36,'Données projet'!$B$36,N61+M62-V61)))</f>
        <v>264.99</v>
      </c>
      <c r="O62" s="13">
        <f>N62*VLOOKUP('Données projet'!$B$9,Paramètres!$A$1:$I$89,3,0)*VLOOKUP('Données projet'!$B$9,Paramètres!$A$1:$I$89,5,0)</f>
        <v>223.22757600000003</v>
      </c>
      <c r="P62" s="13">
        <f t="shared" si="33"/>
        <v>54.815787695087607</v>
      </c>
      <c r="Q62" s="20">
        <f t="shared" si="53"/>
        <v>484.25885843561099</v>
      </c>
      <c r="R62" s="59">
        <f t="shared" si="0"/>
        <v>744.94826562945377</v>
      </c>
      <c r="S62" s="59">
        <f ca="1">AVERAGE(OFFSET($R$3,0,0,'Données projet'!$E$9+1,1))-AVERAGE(OFFSET($H$3,0,0,'Données projet'!$E$9+1,1))</f>
        <v>456.35333554128226</v>
      </c>
      <c r="T62" s="59">
        <f t="shared" si="34"/>
        <v>296.4517290984877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19.921898084804059</v>
      </c>
      <c r="AA62" s="21">
        <f>EXP(-LN(2)/25)*AA61+(1-EXP(-LN(2)/25))/(LN(2)/25)*Calculateur!V62*Calculateur!X62*VLOOKUP('Données projet'!$B$9,Paramètres!$A$1:$I$89,3,0)*0.475*44/12</f>
        <v>27.964736890955901</v>
      </c>
      <c r="AB62" s="21">
        <f>EXP(-LN(2)/2)*AB61+(1-EXP(-LN(2)/2))/(LN(2)/2)*V62*Y62*VLOOKUP('Données projet'!$B$9,Paramètres!$A$1:$I$89,3,0)*0.475*44/12</f>
        <v>3.3373074550210609</v>
      </c>
      <c r="AC62" s="22">
        <f t="shared" si="3"/>
        <v>51.223942430781022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6.2</v>
      </c>
      <c r="AI62" s="13">
        <f>IF('Données projet'!$A$62&gt;35,AI61+AH62-AQ61,IF(A62&lt;'Données projet'!$A$62,$AF$205^A62,IF(A62='Données projet'!$A$62,'Données projet'!$B$62,AI61+AH62-AQ61)))</f>
        <v>287.7999999999999</v>
      </c>
      <c r="AJ62" s="13">
        <f>AI62*VLOOKUP('Données projet'!$B$10,Paramètres!$A$1:$I$89,3,0)*VLOOKUP('Données projet'!$B$10,Paramètres!$A$1:$I$89,5,0)</f>
        <v>251.42207999999994</v>
      </c>
      <c r="AK62" s="13">
        <f t="shared" si="35"/>
        <v>60.890357280401872</v>
      </c>
      <c r="AL62" s="20">
        <f t="shared" si="4"/>
        <v>543.94416159669981</v>
      </c>
      <c r="AM62" s="59">
        <f t="shared" si="5"/>
        <v>804.63356879054254</v>
      </c>
      <c r="AN62" s="59">
        <f ca="1">AVERAGE(OFFSET($AM$3,0,0,'Données projet'!$E$10+1,1))-AVERAGE(OFFSET($H$3,0,0,'Données projet'!$E$10+1,1))</f>
        <v>408.246209980743</v>
      </c>
      <c r="AO62" s="59">
        <f t="shared" si="36"/>
        <v>394.10236303013903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14.633548339072648</v>
      </c>
      <c r="AV62" s="21">
        <f>EXP(-LN(2)/25)*AV61+(1-EXP(-LN(2)/25))/(LN(2)/25)*Calculateur!AQ62*Calculateur!AS62*VLOOKUP('Données projet'!$B$10,Paramètres!$A$1:$I$89,3,0)*0.475*44/12</f>
        <v>17.165812691374011</v>
      </c>
      <c r="AW62" s="21">
        <f>EXP(-LN(2)/2)*AW61+(1-EXP(-LN(2)/2))/(LN(2)/2)*AQ62*AT62*VLOOKUP('Données projet'!$B$10,Paramètres!$A$1:$I$89,3,0)*0.475*44/12</f>
        <v>1.0480333099307158</v>
      </c>
      <c r="AX62" s="21">
        <f t="shared" si="6"/>
        <v>32.847394340377377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3.3603333333333336</v>
      </c>
      <c r="BD62" s="12">
        <f>IF('Données projet'!$A$88&gt;35,BD61+BC62-BL61,IF(A62&lt;'Données projet'!$A$88,$BA$205^A62,IF(A62='Données projet'!$A$88,'Données projet'!$B$88,BD61+BC62-BL61)))</f>
        <v>198.25966666666656</v>
      </c>
      <c r="BE62" s="13">
        <f>BD62*VLOOKUP('Données projet'!$B$11,Paramètres!$A$1:$I$89,3,0)*VLOOKUP('Données projet'!$B$11,Paramètres!$A$1:$I$89,5,0)</f>
        <v>201.03530199999992</v>
      </c>
      <c r="BF62" s="13">
        <f t="shared" si="37"/>
        <v>49.971627353166163</v>
      </c>
      <c r="BG62" s="20">
        <f t="shared" si="7"/>
        <v>437.17040195676424</v>
      </c>
      <c r="BH62" s="59">
        <f t="shared" si="8"/>
        <v>697.85980915060702</v>
      </c>
      <c r="BI62" s="59">
        <f ca="1">AVERAGE(OFFSET($BH$3,0,0,'Données projet'!$E$11+1,1))-AVERAGE(OFFSET($H$3,0,0,'Données projet'!$E$11+1,1))</f>
        <v>580.02848304986492</v>
      </c>
      <c r="BJ62" s="59">
        <f t="shared" si="38"/>
        <v>281.68891895586728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9.375</v>
      </c>
      <c r="BY62" s="12">
        <f>IF('Données projet'!$A$114&gt;35,BY61+BX62-CG61,IF(A62&lt;'Données projet'!$A$114,$BV$205^A62,IF(A62='Données projet'!$A$114,'Données projet'!$B$114,BY61+BX62-CG61)))</f>
        <v>287.62499999999989</v>
      </c>
      <c r="BZ62" s="13">
        <f>BY62*VLOOKUP('Données projet'!$B$12,Paramètres!$A$1:$I$89,3,0)*VLOOKUP('Données projet'!$B$12,Paramètres!$A$1:$I$89,5,0)</f>
        <v>224.34749999999991</v>
      </c>
      <c r="CA62" s="13">
        <f t="shared" si="39"/>
        <v>55.058714525680429</v>
      </c>
      <c r="CB62" s="20">
        <f t="shared" si="10"/>
        <v>486.63249029889329</v>
      </c>
      <c r="CC62" s="59">
        <f t="shared" si="11"/>
        <v>747.32189749273607</v>
      </c>
      <c r="CD62" s="59">
        <f ca="1">AVERAGE(OFFSET($CC$3,0,0,'Données projet'!$E$12+1,1))-AVERAGE(OFFSET($H$3,0,0,'Données projet'!$E$12+1,1))</f>
        <v>308.85018589589453</v>
      </c>
      <c r="CE62" s="59">
        <f t="shared" si="40"/>
        <v>302.59481222418219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10.909794565474591</v>
      </c>
      <c r="CL62" s="21">
        <f>EXP(-LN(2)/25)*CL61+(1-EXP(-LN(2)/25))/(LN(2)/25)*Calculateur!CG62*Calculateur!CI62*VLOOKUP('Données projet'!$B$12,Paramètres!$A$1:$I$89,3,0)*0.475*44/12</f>
        <v>11.440418344170393</v>
      </c>
      <c r="CM62" s="21">
        <f>EXP(-LN(2)/2)*CM61+(1-EXP(-LN(2)/2))/(LN(2)/2)*CG62*CJ62*VLOOKUP('Données projet'!$B$12,Paramètres!$A$1:$I$89,3,0)*0.475*44/12</f>
        <v>0.82798169978581893</v>
      </c>
      <c r="CN62" s="22">
        <f t="shared" si="12"/>
        <v>23.178194609430804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5.3846153846153868</v>
      </c>
      <c r="CT62" s="12">
        <f>IF('Données projet'!$A$140&gt;35,CT61+CS62-DB61,IF(A62&lt;'Données projet'!$A$140,$CQ$205^A62,IF(A62='Données projet'!$A$140,'Données projet'!$B$140,CT61+CS62-DB61)))</f>
        <v>224.10256410256412</v>
      </c>
      <c r="CU62" s="17">
        <f>CT62*VLOOKUP('Données projet'!$B$13,Paramètres!$A$1:$I$89,3,0)*VLOOKUP('Données projet'!$B$13,Paramètres!$A$1:$I$89,5,0)</f>
        <v>150.328</v>
      </c>
      <c r="CV62" s="13">
        <f t="shared" si="41"/>
        <v>38.653115319393493</v>
      </c>
      <c r="CW62" s="20">
        <f t="shared" si="13"/>
        <v>329.14210918127696</v>
      </c>
      <c r="CX62" s="59">
        <f t="shared" si="14"/>
        <v>589.83151637511969</v>
      </c>
      <c r="CY62" s="59">
        <f ca="1">AVERAGE(OFFSET($CX$3,0,0,'Données projet'!$E$13+1,1))-AVERAGE(OFFSET($H$3,0,0,'Données projet'!$E$13+1,1))</f>
        <v>335.73816489539837</v>
      </c>
      <c r="CZ62" s="59">
        <f t="shared" si="42"/>
        <v>254.09787950201044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7.6524771705791874</v>
      </c>
      <c r="DH62" s="21">
        <f>EXP(-LN(2)/2)*DH61+(1-EXP(-LN(2)/2))/(LN(2)/2)*DB62*DE62*VLOOKUP('Données projet'!$B$13,Paramètres!$A$1:$I$89,3,0)*0.475*44/12</f>
        <v>0.74582941721462337</v>
      </c>
      <c r="DI62" s="22">
        <f t="shared" si="15"/>
        <v>8.3983065877938117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>
        <f>VLOOKUP(A62,'Données projet'!$A$165:$I$185,2,0)</f>
        <v>202.85</v>
      </c>
      <c r="DM62" s="12">
        <f>VLOOKUP(A62,'Données projet'!$A$165:$I$185,9,0)</f>
        <v>9.8828571428571443</v>
      </c>
      <c r="DN62" s="12">
        <f t="array" ref="DN62">INDEX(DM:DM,MIN(IF(ISNUMBER(DM62:DM258),ROW(DM62:DM258),"")))</f>
        <v>9.8828571428571443</v>
      </c>
      <c r="DO62" s="12">
        <f>IF('Données projet'!$A$166&gt;35,DO61+DN62-DW61,IF(A62&lt;'Données projet'!$A$166,$DL$205^A62,IF(A62='Données projet'!$A$166,'Données projet'!$B$166,DO61+DN62-DW61)))</f>
        <v>202.85</v>
      </c>
      <c r="DP62" s="17">
        <f>DO62*VLOOKUP('Données projet'!$B$14,Paramètres!$A$1:$I$89,3,0)*VLOOKUP('Données projet'!$B$14,Paramètres!$A$1:$I$89,5,0)</f>
        <v>196.19651999999999</v>
      </c>
      <c r="DQ62" s="13">
        <f t="shared" si="43"/>
        <v>48.907346153726792</v>
      </c>
      <c r="DR62" s="20">
        <f t="shared" si="16"/>
        <v>426.88923355107414</v>
      </c>
      <c r="DS62" s="59">
        <f t="shared" si="17"/>
        <v>687.57864074491692</v>
      </c>
      <c r="DT62" s="59">
        <f ca="1">AVERAGE(OFFSET($DS$3,0,0,'Données projet'!$E$14+1,1))-AVERAGE(OFFSET($H$3,0,0,'Données projet'!$E$14+1,1))</f>
        <v>493.03862850474161</v>
      </c>
      <c r="DU62" s="59">
        <f t="shared" si="44"/>
        <v>312.51819065560528</v>
      </c>
      <c r="DV62" s="15">
        <f>IF(ISNA(VLOOKUP(A62,'Données projet'!$A$165:$I$185,3,0)),0,VLOOKUP(A62,'Données projet'!$A$165:$I$185,3,0))</f>
        <v>4</v>
      </c>
      <c r="DW62" s="15">
        <f>IF(ISNA(VLOOKUP(A62,'Données projet'!$A$165:$I$185,4,0)),0,VLOOKUP(A62,'Données projet'!$A$165:$I$185,4,0))</f>
        <v>41.81</v>
      </c>
      <c r="DX62" s="16">
        <f>IF(ISNA(VLOOKUP(A62,'Données projet'!$A$165:$I$185,5,0)),0%,VLOOKUP(A62,'Données projet'!$A$165:$I$185,5,0)*VLOOKUP('Données projet'!$B$14,Paramètres!$A$1:$I$89,7,0))</f>
        <v>0.15049999999999999</v>
      </c>
      <c r="DY62" s="16">
        <f>IF(ISNA(VLOOKUP(A62,'Données projet'!$A$165:$I$185,6,0)),0%,VLOOKUP(A62,'Données projet'!$A$165:$I$185,6,0)*VLOOKUP('Données projet'!$B$14,Paramètres!$A$1:$I$89,7,0))</f>
        <v>8.6000000000000007E-2</v>
      </c>
      <c r="DZ62" s="16">
        <f>IF(ISNA(VLOOKUP(A62,'Données projet'!$A$165:$I$185,7,0)),0%,VLOOKUP(A62,'Données projet'!$A$165:$I$185,7,0))</f>
        <v>0.1</v>
      </c>
      <c r="EA62" s="21">
        <f>EXP(-LN(2)/35)*EA61+(1-EXP(-LN(2)/35))/(LN(2)/35)*DW62*DX62*VLOOKUP('Données projet'!$B$14,Paramètres!$A$1:$I$89,3,0)*0.475*44/12</f>
        <v>12.947714767090012</v>
      </c>
      <c r="EB62" s="21">
        <f>EXP(-LN(2)/25)*EB61+(1-EXP(-LN(2)/25))/(LN(2)/25)*Calculateur!DW62*Calculateur!DY62*VLOOKUP('Données projet'!$B$14,Paramètres!$A$1:$I$89,3,0)*0.475*44/12</f>
        <v>32.186552374050059</v>
      </c>
      <c r="EC62" s="21">
        <f>EXP(-LN(2)/2)*EC61+(1-EXP(-LN(2)/2))/(LN(2)/2)*DW62*DZ62*VLOOKUP('Données projet'!$B$14,Paramètres!$A$1:$I$89,3,0)*0.475*44/12</f>
        <v>4.2420964440806905</v>
      </c>
      <c r="ED62" s="22">
        <f t="shared" si="18"/>
        <v>49.376363585220759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202.85</v>
      </c>
      <c r="EH62" s="12">
        <f>VLOOKUP(A62,'Données projet'!$A$191:$I$211,9,0)</f>
        <v>9.8828571428571443</v>
      </c>
      <c r="EI62" s="12">
        <f t="array" ref="EI62">INDEX(EH:EH,MIN(IF(ISNUMBER(EH62:EH258),ROW(EH62:EH258),"")))</f>
        <v>9.8828571428571443</v>
      </c>
      <c r="EJ62" s="12">
        <f>IF('Données projet'!$A$192&gt;35,EJ61+EI62-ER61,IF(A62&lt;'Données projet'!$A$192,$EG$205^A62,IF(A62='Données projet'!$A$192,'Données projet'!$B$192,EJ61+EI62-ER61)))</f>
        <v>202.85</v>
      </c>
      <c r="EK62" s="17">
        <f>EJ62*VLOOKUP('Données projet'!$B$15,Paramètres!$A$1:$I$89,3,0)*VLOOKUP('Données projet'!$B$15,Paramètres!$A$1:$I$89,5,0)</f>
        <v>218.34774000000002</v>
      </c>
      <c r="EL62" s="13">
        <f t="shared" si="45"/>
        <v>53.755617766190589</v>
      </c>
      <c r="EM62" s="20">
        <f t="shared" si="19"/>
        <v>473.91334810944858</v>
      </c>
      <c r="EN62" s="59">
        <f t="shared" si="20"/>
        <v>734.60275530329136</v>
      </c>
      <c r="EO62" s="59">
        <f ca="1">AVERAGE(OFFSET($EN$3,0,0,'Données projet'!$E$15+1,1))-AVERAGE(OFFSET($H$3,0,0,'Données projet'!$E$15+1,1))</f>
        <v>539.72194201710272</v>
      </c>
      <c r="EP62" s="59">
        <f t="shared" si="46"/>
        <v>340.76505385159362</v>
      </c>
      <c r="EQ62" s="15">
        <f>IF(ISNA(VLOOKUP(A62,'Données projet'!$A$191:$I$211,3,0)),0,VLOOKUP(A62,'Données projet'!$A$191:$I$211,3,0))</f>
        <v>4</v>
      </c>
      <c r="ER62" s="15">
        <f>IF(ISNA(VLOOKUP(A62,'Données projet'!$A$191:$I$211,4,0)),0,VLOOKUP(A62,'Données projet'!$A$191:$I$211,4,0))</f>
        <v>41.81</v>
      </c>
      <c r="ES62" s="16">
        <f>IF(ISNA(VLOOKUP(A62,'Données projet'!$A$191:$I$211,5,0)),0%,VLOOKUP(A62,'Données projet'!$A$191:$I$211,5,0)*VLOOKUP('Données projet'!$B$15,Paramètres!$A$1:$I$89,7,0))</f>
        <v>0.15049999999999999</v>
      </c>
      <c r="ET62" s="16">
        <f>IF(ISNA(VLOOKUP(A62,'Données projet'!$A$191:$I$211,6,0)),0%,VLOOKUP(A62,'Données projet'!$A$191:$I$211,6,0)*VLOOKUP('Données projet'!$B$15,Paramètres!$A$1:$I$89,7,0))</f>
        <v>8.6000000000000007E-2</v>
      </c>
      <c r="EU62" s="16">
        <f>IF(ISNA(VLOOKUP(A62,'Données projet'!$A$191:$I$211,7,0)),0%,VLOOKUP(A62,'Données projet'!$A$191:$I$211,7,0))</f>
        <v>0.1</v>
      </c>
      <c r="EV62" s="21">
        <f>EXP(-LN(2)/35)*EV61+(1-EXP(-LN(2)/35))/(LN(2)/35)*ER62*ES62*VLOOKUP('Données projet'!$B$15,Paramètres!$A$1:$I$89,3,0)*0.475*44/12</f>
        <v>14.409553531116302</v>
      </c>
      <c r="EW62" s="21">
        <f>EXP(-LN(2)/25)*EW61+(1-EXP(-LN(2)/25))/(LN(2)/25)*Calculateur!ER62*Calculateur!ET62*VLOOKUP('Données projet'!$B$15,Paramètres!$A$1:$I$89,3,0)*0.475*44/12</f>
        <v>35.820517964668632</v>
      </c>
      <c r="EX62" s="21">
        <f>EXP(-LN(2)/2)*EX61+(1-EXP(-LN(2)/2))/(LN(2)/2)*ER62*EU62*VLOOKUP('Données projet'!$B$15,Paramètres!$A$1:$I$89,3,0)*0.475*44/12</f>
        <v>4.7210428167994785</v>
      </c>
      <c r="EY62" s="22">
        <f t="shared" si="21"/>
        <v>54.951114312584409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6.2</v>
      </c>
      <c r="FE62" s="12">
        <f>IF('Données projet'!$A$218&gt;35,FE61+FD62-FM61,IF(A62&lt;'Données projet'!$A$218,$FB$205^A62,IF(A62='Données projet'!$A$218,'Données projet'!$B$218,FE61+FD62-FM61)))</f>
        <v>287.7999999999999</v>
      </c>
      <c r="FF62" s="17">
        <f>FE62*VLOOKUP('Données projet'!$B$16,Paramètres!$A$1:$I$89,3,0)*VLOOKUP('Données projet'!$B$16,Paramètres!$A$1:$I$89,5,0)</f>
        <v>233.46335999999994</v>
      </c>
      <c r="FG62" s="13">
        <f t="shared" si="47"/>
        <v>57.030888299157333</v>
      </c>
      <c r="FH62" s="20">
        <f t="shared" si="22"/>
        <v>505.94414912103224</v>
      </c>
      <c r="FI62" s="59">
        <f t="shared" si="23"/>
        <v>766.63355631487502</v>
      </c>
      <c r="FJ62" s="59">
        <f ca="1">AVERAGE(OFFSET($FI$3,0,0,'Données projet'!$E$16+1,1))-AVERAGE(OFFSET($H$3,0,0,'Données projet'!$E$16+1,1))</f>
        <v>383.47860767209028</v>
      </c>
      <c r="FK62" s="59">
        <f t="shared" si="48"/>
        <v>370.49129421395628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13.588294886281743</v>
      </c>
      <c r="FR62" s="21">
        <f>EXP(-LN(2)/25)*FR61+(1-EXP(-LN(2)/25))/(LN(2)/25)*Calculateur!FM62*Calculateur!FO62*VLOOKUP('Données projet'!$B$16,Paramètres!$A$1:$I$89,3,0)*0.475*44/12</f>
        <v>15.939683213418736</v>
      </c>
      <c r="FS62" s="21">
        <f>EXP(-LN(2)/2)*FS61+(1-EXP(-LN(2)/2))/(LN(2)/2)*FM62*FP62*VLOOKUP('Données projet'!$B$16,Paramètres!$A$1:$I$89,3,0)*0.475*44/12</f>
        <v>0.97317378779280728</v>
      </c>
      <c r="FT62" s="22">
        <f t="shared" si="24"/>
        <v>30.501151887493283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3.3603333333333336</v>
      </c>
      <c r="FZ62" s="12">
        <f>IF('Données projet'!$A$244&gt;35,FZ61+FY62-GH61,IF(A62&lt;'Données projet'!$A$244,$FW$205^A62,IF(A62='Données projet'!$A$244,'Données projet'!$B$244,FZ61+FY62-GH61)))</f>
        <v>198.25966666666656</v>
      </c>
      <c r="GA62" s="17">
        <f>FZ62*VLOOKUP('Données projet'!$B$17,Paramètres!$A$1:$I$89,3,0)*VLOOKUP('Données projet'!$B$17,Paramètres!$A$1:$I$89,5,0)</f>
        <v>225.77810839999987</v>
      </c>
      <c r="GB62" s="13">
        <f t="shared" si="49"/>
        <v>55.368827891142729</v>
      </c>
      <c r="GC62" s="20">
        <f t="shared" si="25"/>
        <v>489.66424737373995</v>
      </c>
      <c r="GD62" s="59">
        <f t="shared" si="26"/>
        <v>750.35365456758268</v>
      </c>
      <c r="GE62" s="59">
        <f ca="1">AVERAGE(OFFSET($GD$3,0,0,'Données projet'!$E$17+1,1))-AVERAGE(OFFSET($H$3,0,0,'Données projet'!$E$17+1,1))</f>
        <v>640.05156427113661</v>
      </c>
      <c r="GF62" s="59">
        <f t="shared" si="50"/>
        <v>308.77220155372902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0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13.839999999999995</v>
      </c>
      <c r="N63" s="13">
        <f>IF('Données projet'!$A$36&gt;35,N62+M63-V62,IF(A63&lt;'Données projet'!$A$36,$K$205^A63,IF(A63='Données projet'!$A$36,'Données projet'!$B$36,N62+M63-V62)))</f>
        <v>278.83</v>
      </c>
      <c r="O63" s="13">
        <f>N63*VLOOKUP('Données projet'!$B$9,Paramètres!$A$1:$I$89,3,0)*VLOOKUP('Données projet'!$B$9,Paramètres!$A$1:$I$89,5,0)</f>
        <v>234.886392</v>
      </c>
      <c r="P63" s="13">
        <f t="shared" si="33"/>
        <v>57.337937544532004</v>
      </c>
      <c r="Q63" s="20">
        <f t="shared" si="53"/>
        <v>508.95737395672654</v>
      </c>
      <c r="R63" s="59">
        <f t="shared" si="0"/>
        <v>770.21308028820408</v>
      </c>
      <c r="S63" s="59">
        <f ca="1">AVERAGE(OFFSET($R$3,0,0,'Données projet'!$E$9+1,1))-AVERAGE(OFFSET($H$3,0,0,'Données projet'!$E$9+1,1))</f>
        <v>456.35333554128226</v>
      </c>
      <c r="T63" s="59">
        <f t="shared" si="34"/>
        <v>296.4517290984877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19.531241814519056</v>
      </c>
      <c r="AA63" s="21">
        <f>EXP(-LN(2)/25)*AA62+(1-EXP(-LN(2)/25))/(LN(2)/25)*Calculateur!V63*Calculateur!X63*VLOOKUP('Données projet'!$B$9,Paramètres!$A$1:$I$89,3,0)*0.475*44/12</f>
        <v>27.200039690071112</v>
      </c>
      <c r="AB63" s="21">
        <f>EXP(-LN(2)/2)*AB62+(1-EXP(-LN(2)/2))/(LN(2)/2)*V63*Y63*VLOOKUP('Données projet'!$B$9,Paramètres!$A$1:$I$89,3,0)*0.475*44/12</f>
        <v>2.3598327323498114</v>
      </c>
      <c r="AC63" s="22">
        <f t="shared" si="3"/>
        <v>49.09111423693998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294</v>
      </c>
      <c r="AG63" s="12">
        <f>VLOOKUP(A63,'Données projet'!$A$61:$I$81,9,0)</f>
        <v>6.2</v>
      </c>
      <c r="AH63" s="12">
        <f t="array" ref="AH63">INDEX(AG:AG,MIN(IF(ISNUMBER(AG63:AG259),ROW(AG63:AG259),"")))</f>
        <v>6.2</v>
      </c>
      <c r="AI63" s="13">
        <f>IF('Données projet'!$A$62&gt;35,AI62+AH63-AQ62,IF(A63&lt;'Données projet'!$A$62,$AF$205^A63,IF(A63='Données projet'!$A$62,'Données projet'!$B$62,AI62+AH63-AQ62)))</f>
        <v>293.99999999999989</v>
      </c>
      <c r="AJ63" s="13">
        <f>AI63*VLOOKUP('Données projet'!$B$10,Paramètres!$A$1:$I$89,3,0)*VLOOKUP('Données projet'!$B$10,Paramètres!$A$1:$I$89,5,0)</f>
        <v>256.83839999999992</v>
      </c>
      <c r="AK63" s="13">
        <f t="shared" si="35"/>
        <v>62.047973482014044</v>
      </c>
      <c r="AL63" s="20">
        <f t="shared" si="4"/>
        <v>555.39376714784089</v>
      </c>
      <c r="AM63" s="59">
        <f t="shared" si="5"/>
        <v>816.64947347931843</v>
      </c>
      <c r="AN63" s="59">
        <f ca="1">AVERAGE(OFFSET($AM$3,0,0,'Données projet'!$E$10+1,1))-AVERAGE(OFFSET($H$3,0,0,'Données projet'!$E$10+1,1))</f>
        <v>408.246209980743</v>
      </c>
      <c r="AO63" s="59">
        <f t="shared" si="36"/>
        <v>394.10236303013903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14</v>
      </c>
      <c r="AR63" s="16">
        <f>IF(ISNA(VLOOKUP(A63,'Données projet'!$A$61:$I$81,5,0)),0%,VLOOKUP(A63,'Données projet'!$A$61:$I$81,5,0)*VLOOKUP('Données projet'!$B$10,Paramètres!$A$1:$I$89,7,0))</f>
        <v>0.13250000000000001</v>
      </c>
      <c r="AS63" s="16">
        <f>IF(ISNA(VLOOKUP(A63,'Données projet'!$A$61:$I$81,6,0)),0%,VLOOKUP(A63,'Données projet'!$A$61:$I$81,6,0)*VLOOKUP('Données projet'!$B$10,Paramètres!$A$1:$I$89,7,0))</f>
        <v>0.13250000000000001</v>
      </c>
      <c r="AT63" s="16">
        <f>IF(ISNA(VLOOKUP(A63,'Données projet'!$A$61:$I$81,7,0)),0%,VLOOKUP(A63,'Données projet'!$A$61:$I$81,7,0))</f>
        <v>0.25</v>
      </c>
      <c r="AU63" s="21">
        <f>EXP(-LN(2)/35)*AU62+(1-EXP(-LN(2)/35))/(LN(2)/35)*AQ63*AR63*VLOOKUP('Données projet'!$B$10,Paramètres!$A$1:$I$89,3,0)*0.475*44/12</f>
        <v>16.138039084930366</v>
      </c>
      <c r="AV63" s="21">
        <f>EXP(-LN(2)/25)*AV62+(1-EXP(-LN(2)/25))/(LN(2)/25)*Calculateur!AQ63*Calculateur!AS63*VLOOKUP('Données projet'!$B$10,Paramètres!$A$1:$I$89,3,0)*0.475*44/12</f>
        <v>18.480804739493465</v>
      </c>
      <c r="AW63" s="21">
        <f>EXP(-LN(2)/2)*AW62+(1-EXP(-LN(2)/2))/(LN(2)/2)*AQ63*AT63*VLOOKUP('Données projet'!$B$10,Paramètres!$A$1:$I$89,3,0)*0.475*44/12</f>
        <v>3.6259993544588274</v>
      </c>
      <c r="AX63" s="21">
        <f t="shared" si="6"/>
        <v>38.244843178882661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201.62</v>
      </c>
      <c r="BB63" s="12">
        <f>VLOOKUP(A63,'Données projet'!$A$87:$I$107,9,0)</f>
        <v>3.3603333333333336</v>
      </c>
      <c r="BC63" s="12">
        <f t="array" ref="BC63">INDEX(BB:BB,MIN(IF(ISNUMBER(BB63:BB259),ROW(BB63:BB259),"")))</f>
        <v>3.3603333333333336</v>
      </c>
      <c r="BD63" s="12">
        <f>IF('Données projet'!$A$88&gt;35,BD62+BC63-BL62,IF(A63&lt;'Données projet'!$A$88,$BA$205^A63,IF(A63='Données projet'!$A$88,'Données projet'!$B$88,BD62+BC63-BL62)))</f>
        <v>201.61999999999989</v>
      </c>
      <c r="BE63" s="13">
        <f>BD63*VLOOKUP('Données projet'!$B$11,Paramètres!$A$1:$I$89,3,0)*VLOOKUP('Données projet'!$B$11,Paramètres!$A$1:$I$89,5,0)</f>
        <v>204.44267999999991</v>
      </c>
      <c r="BF63" s="13">
        <f t="shared" si="37"/>
        <v>50.719282370054088</v>
      </c>
      <c r="BG63" s="20">
        <f t="shared" si="7"/>
        <v>444.40708446117736</v>
      </c>
      <c r="BH63" s="59">
        <f t="shared" si="8"/>
        <v>705.66279079265485</v>
      </c>
      <c r="BI63" s="59">
        <f ca="1">AVERAGE(OFFSET($BH$3,0,0,'Données projet'!$E$11+1,1))-AVERAGE(OFFSET($H$3,0,0,'Données projet'!$E$11+1,1))</f>
        <v>580.02848304986492</v>
      </c>
      <c r="BJ63" s="59">
        <f t="shared" si="38"/>
        <v>281.68891895586728</v>
      </c>
      <c r="BK63" s="15">
        <f>IF(ISNA(VLOOKUP(A63,'Données projet'!$A$87:$I$107,3,0)),0,VLOOKUP(A63,'Données projet'!$A$87:$I$107,3,0))</f>
        <v>1</v>
      </c>
      <c r="BL63" s="15">
        <f>IF(ISNA(VLOOKUP(A63,'Données projet'!$A$87:$I$107,4,0)),0,VLOOKUP(A63,'Données projet'!$A$87:$I$107,4,0))</f>
        <v>72.87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0.34400000000000003</v>
      </c>
      <c r="BO63" s="16">
        <f>IF(ISNA(VLOOKUP(A63,'Données projet'!$A$87:$I$107,7,0)),0%,VLOOKUP(A63,'Données projet'!$A$87:$I$107,7,0))</f>
        <v>0.2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27.988454603390398</v>
      </c>
      <c r="BR63" s="21">
        <f>EXP(-LN(2)/2)*BR62+(1-EXP(-LN(2)/2))/(LN(2)/2)*BL63*BO63*VLOOKUP('Données projet'!$B$11,Paramètres!$A$1:$I$89,3,0)*0.475*44/12</f>
        <v>13.943474711007354</v>
      </c>
      <c r="BS63" s="22">
        <f t="shared" si="9"/>
        <v>41.931929314397749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297</v>
      </c>
      <c r="BW63" s="12">
        <f>VLOOKUP(A63,'Données projet'!$A$113:$I$133,9,0)</f>
        <v>9.375</v>
      </c>
      <c r="BX63" s="12">
        <f t="array" ref="BX63">INDEX(BW:BW,MIN(IF(ISNUMBER(BW63:BW259),ROW(BW63:BW259),"")))</f>
        <v>9.375</v>
      </c>
      <c r="BY63" s="12">
        <f>IF('Données projet'!$A$114&gt;35,BY62+BX63-CG62,IF(A63&lt;'Données projet'!$A$114,$BV$205^A63,IF(A63='Données projet'!$A$114,'Données projet'!$B$114,BY62+BX63-CG62)))</f>
        <v>296.99999999999989</v>
      </c>
      <c r="BZ63" s="13">
        <f>BY63*VLOOKUP('Données projet'!$B$12,Paramètres!$A$1:$I$89,3,0)*VLOOKUP('Données projet'!$B$12,Paramètres!$A$1:$I$89,5,0)</f>
        <v>231.65999999999991</v>
      </c>
      <c r="CA63" s="13">
        <f t="shared" si="39"/>
        <v>56.641461975682766</v>
      </c>
      <c r="CB63" s="20">
        <f t="shared" si="10"/>
        <v>502.125046274314</v>
      </c>
      <c r="CC63" s="59">
        <f t="shared" si="11"/>
        <v>763.38075260579149</v>
      </c>
      <c r="CD63" s="59">
        <f ca="1">AVERAGE(OFFSET($CC$3,0,0,'Données projet'!$E$12+1,1))-AVERAGE(OFFSET($H$3,0,0,'Données projet'!$E$12+1,1))</f>
        <v>308.85018589589453</v>
      </c>
      <c r="CE63" s="59">
        <f t="shared" si="40"/>
        <v>302.59481222418219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47</v>
      </c>
      <c r="CH63" s="16">
        <f>IF(ISNA(VLOOKUP(A63,'Données projet'!$A$113:$I$133,5,0)),0%,VLOOKUP(A63,'Données projet'!$A$113:$I$133,5,0)*VLOOKUP('Données projet'!$B$12,Paramètres!$A$1:$I$89,7,0))</f>
        <v>0.1075</v>
      </c>
      <c r="CI63" s="16">
        <f>IF(ISNA(VLOOKUP(A63,'Données projet'!$A$113:$I$133,6,0)),0%,VLOOKUP(A63,'Données projet'!$A$113:$I$133,6,0)*VLOOKUP('Données projet'!$B$12,Paramètres!$A$1:$I$89,7,0))</f>
        <v>0.1075</v>
      </c>
      <c r="CJ63" s="16">
        <f>IF(ISNA(VLOOKUP(A63,'Données projet'!$A$113:$I$133,7,0)),0%,VLOOKUP(A63,'Données projet'!$A$113:$I$133,7,0))</f>
        <v>0.25</v>
      </c>
      <c r="CK63" s="21">
        <f>EXP(-LN(2)/35)*CK62+(1-EXP(-LN(2)/35))/(LN(2)/35)*CG63*CH63*VLOOKUP('Données projet'!$B$12,Paramètres!$A$1:$I$89,3,0)*0.475*44/12</f>
        <v>15.052463640583639</v>
      </c>
      <c r="CL63" s="21">
        <f>EXP(-LN(2)/25)*CL62+(1-EXP(-LN(2)/25))/(LN(2)/25)*Calculateur!CG63*Calculateur!CI63*VLOOKUP('Données projet'!$B$12,Paramètres!$A$1:$I$89,3,0)*0.475*44/12</f>
        <v>15.467029387199036</v>
      </c>
      <c r="CM63" s="21">
        <f>EXP(-LN(2)/2)*CM62+(1-EXP(-LN(2)/2))/(LN(2)/2)*CG63*CJ63*VLOOKUP('Données projet'!$B$12,Paramètres!$A$1:$I$89,3,0)*0.475*44/12</f>
        <v>9.2328956469752992</v>
      </c>
      <c r="CN63" s="22">
        <f t="shared" si="12"/>
        <v>39.752388674757974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229.48717948717947</v>
      </c>
      <c r="CR63" s="12">
        <f>VLOOKUP(A63,'Données projet'!$A$139:$I$159,9,0)</f>
        <v>5.3846153846153868</v>
      </c>
      <c r="CS63" s="12">
        <f t="array" ref="CS63">INDEX(CR:CR,MIN(IF(ISNUMBER(CR63:CR259),ROW(CR63:CR259),"")))</f>
        <v>5.3846153846153868</v>
      </c>
      <c r="CT63" s="12">
        <f>IF('Données projet'!$A$140&gt;35,CT62+CS63-DB62,IF(A63&lt;'Données projet'!$A$140,$CQ$205^A63,IF(A63='Données projet'!$A$140,'Données projet'!$B$140,CT62+CS63-DB62)))</f>
        <v>229.4871794871795</v>
      </c>
      <c r="CU63" s="17">
        <f>CT63*VLOOKUP('Données projet'!$B$13,Paramètres!$A$1:$I$89,3,0)*VLOOKUP('Données projet'!$B$13,Paramètres!$A$1:$I$89,5,0)</f>
        <v>153.94</v>
      </c>
      <c r="CV63" s="13">
        <f t="shared" si="41"/>
        <v>39.472609171514129</v>
      </c>
      <c r="CW63" s="20">
        <f t="shared" si="13"/>
        <v>336.86029430705378</v>
      </c>
      <c r="CX63" s="59">
        <f t="shared" si="14"/>
        <v>598.1160006385312</v>
      </c>
      <c r="CY63" s="59">
        <f ca="1">AVERAGE(OFFSET($CX$3,0,0,'Données projet'!$E$13+1,1))-AVERAGE(OFFSET($H$3,0,0,'Données projet'!$E$13+1,1))</f>
        <v>335.73816489539837</v>
      </c>
      <c r="CZ63" s="59">
        <f t="shared" si="42"/>
        <v>254.09787950201044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14.743589743589743</v>
      </c>
      <c r="DC63" s="16">
        <f>IF(ISNA(VLOOKUP(A63,'Données projet'!$A$139:$I$159,5,0)),0%,VLOOKUP(A63,'Données projet'!$A$139:$I$159,5,0)*VLOOKUP('Données projet'!$B$13,Paramètres!$A$1:$I$89,7,0))</f>
        <v>0.13250000000000001</v>
      </c>
      <c r="DD63" s="16">
        <f>IF(ISNA(VLOOKUP(A63,'Données projet'!$A$139:$I$159,6,0)),0%,VLOOKUP(A63,'Données projet'!$A$139:$I$159,6,0)*VLOOKUP('Données projet'!$B$13,Paramètres!$A$1:$I$89,7,0))</f>
        <v>0.13250000000000001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1.4486360220994658</v>
      </c>
      <c r="DG63" s="21">
        <f>EXP(-LN(2)/25)*DG62+(1-EXP(-LN(2)/25))/(LN(2)/25)*Calculateur!DB63*Calculateur!DD63*VLOOKUP('Données projet'!$B$13,Paramètres!$A$1:$I$89,3,0)*0.475*44/12</f>
        <v>8.8861519700302765</v>
      </c>
      <c r="DH63" s="21">
        <f>EXP(-LN(2)/2)*DH62+(1-EXP(-LN(2)/2))/(LN(2)/2)*DB63*DE63*VLOOKUP('Données projet'!$B$13,Paramètres!$A$1:$I$89,3,0)*0.475*44/12</f>
        <v>2.860251334882693</v>
      </c>
      <c r="DI63" s="22">
        <f t="shared" si="15"/>
        <v>13.195039327012434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9.7525000000000013</v>
      </c>
      <c r="DO63" s="12">
        <f>IF('Données projet'!$A$166&gt;35,DO62+DN63-DW62,IF(A63&lt;'Données projet'!$A$166,$DL$205^A63,IF(A63='Données projet'!$A$166,'Données projet'!$B$166,DO62+DN63-DW62)))</f>
        <v>170.79249999999999</v>
      </c>
      <c r="DP63" s="17">
        <f>DO63*VLOOKUP('Données projet'!$B$14,Paramètres!$A$1:$I$89,3,0)*VLOOKUP('Données projet'!$B$14,Paramètres!$A$1:$I$89,5,0)</f>
        <v>165.190506</v>
      </c>
      <c r="DQ63" s="13">
        <f t="shared" si="43"/>
        <v>42.011064360324845</v>
      </c>
      <c r="DR63" s="20">
        <f t="shared" si="16"/>
        <v>360.87606837756579</v>
      </c>
      <c r="DS63" s="59">
        <f t="shared" si="17"/>
        <v>622.13177470904327</v>
      </c>
      <c r="DT63" s="59">
        <f ca="1">AVERAGE(OFFSET($DS$3,0,0,'Données projet'!$E$14+1,1))-AVERAGE(OFFSET($H$3,0,0,'Données projet'!$E$14+1,1))</f>
        <v>493.03862850474161</v>
      </c>
      <c r="DU63" s="59">
        <f t="shared" si="44"/>
        <v>312.51819065560528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12.693817977833589</v>
      </c>
      <c r="EB63" s="21">
        <f>EXP(-LN(2)/25)*EB62+(1-EXP(-LN(2)/25))/(LN(2)/25)*Calculateur!DW63*Calculateur!DY63*VLOOKUP('Données projet'!$B$14,Paramètres!$A$1:$I$89,3,0)*0.475*44/12</f>
        <v>31.306409406764434</v>
      </c>
      <c r="EC63" s="21">
        <f>EXP(-LN(2)/2)*EC62+(1-EXP(-LN(2)/2))/(LN(2)/2)*DW63*DZ63*VLOOKUP('Données projet'!$B$14,Paramètres!$A$1:$I$89,3,0)*0.475*44/12</f>
        <v>2.9996151620567963</v>
      </c>
      <c r="ED63" s="22">
        <f t="shared" si="18"/>
        <v>46.999842546654818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9.7525000000000013</v>
      </c>
      <c r="EJ63" s="12">
        <f>IF('Données projet'!$A$192&gt;35,EJ62+EI63-ER62,IF(A63&lt;'Données projet'!$A$192,$EG$205^A63,IF(A63='Données projet'!$A$192,'Données projet'!$B$192,EJ62+EI63-ER62)))</f>
        <v>170.79249999999999</v>
      </c>
      <c r="EK63" s="17">
        <f>EJ63*VLOOKUP('Données projet'!$B$15,Paramètres!$A$1:$I$89,3,0)*VLOOKUP('Données projet'!$B$15,Paramètres!$A$1:$I$89,5,0)</f>
        <v>183.84104699999997</v>
      </c>
      <c r="EL63" s="13">
        <f t="shared" si="45"/>
        <v>46.175695377255046</v>
      </c>
      <c r="EM63" s="20">
        <f t="shared" si="19"/>
        <v>400.6124929737191</v>
      </c>
      <c r="EN63" s="59">
        <f t="shared" si="20"/>
        <v>661.86819930519664</v>
      </c>
      <c r="EO63" s="59">
        <f ca="1">AVERAGE(OFFSET($EN$3,0,0,'Données projet'!$E$15+1,1))-AVERAGE(OFFSET($H$3,0,0,'Données projet'!$E$15+1,1))</f>
        <v>539.72194201710272</v>
      </c>
      <c r="EP63" s="59">
        <f t="shared" si="46"/>
        <v>340.76505385159362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14.126990975330928</v>
      </c>
      <c r="EW63" s="21">
        <f>EXP(-LN(2)/25)*EW62+(1-EXP(-LN(2)/25))/(LN(2)/25)*Calculateur!ER63*Calculateur!ET63*VLOOKUP('Données projet'!$B$15,Paramètres!$A$1:$I$89,3,0)*0.475*44/12</f>
        <v>34.841004017205599</v>
      </c>
      <c r="EX63" s="21">
        <f>EXP(-LN(2)/2)*EX62+(1-EXP(-LN(2)/2))/(LN(2)/2)*ER63*EU63*VLOOKUP('Données projet'!$B$15,Paramètres!$A$1:$I$89,3,0)*0.475*44/12</f>
        <v>3.3382813900309509</v>
      </c>
      <c r="EY63" s="22">
        <f t="shared" si="21"/>
        <v>52.306276382567475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294</v>
      </c>
      <c r="FC63" s="12">
        <f>VLOOKUP(A63,'Données projet'!$A$217:$I$237,9,0)</f>
        <v>6.2</v>
      </c>
      <c r="FD63" s="12">
        <f t="array" ref="FD63">INDEX(FC:FC,MIN(IF(ISNUMBER(FC63:FC259),ROW(FC63:FC259),"")))</f>
        <v>6.2</v>
      </c>
      <c r="FE63" s="12">
        <f>IF('Données projet'!$A$218&gt;35,FE62+FD63-FM62,IF(A63&lt;'Données projet'!$A$218,$FB$205^A63,IF(A63='Données projet'!$A$218,'Données projet'!$B$218,FE62+FD63-FM62)))</f>
        <v>293.99999999999989</v>
      </c>
      <c r="FF63" s="17">
        <f>FE63*VLOOKUP('Données projet'!$B$16,Paramètres!$A$1:$I$89,3,0)*VLOOKUP('Données projet'!$B$16,Paramètres!$A$1:$I$89,5,0)</f>
        <v>238.4927999999999</v>
      </c>
      <c r="FG63" s="13">
        <f t="shared" si="47"/>
        <v>58.115130258576542</v>
      </c>
      <c r="FH63" s="20">
        <f t="shared" si="22"/>
        <v>516.59214520035403</v>
      </c>
      <c r="FI63" s="59">
        <f t="shared" si="23"/>
        <v>777.84785153183157</v>
      </c>
      <c r="FJ63" s="59">
        <f ca="1">AVERAGE(OFFSET($FI$3,0,0,'Données projet'!$E$16+1,1))-AVERAGE(OFFSET($H$3,0,0,'Données projet'!$E$16+1,1))</f>
        <v>383.47860767209028</v>
      </c>
      <c r="FK63" s="59">
        <f t="shared" si="48"/>
        <v>370.49129421395628</v>
      </c>
      <c r="FL63" s="15">
        <f>IF(ISNA(VLOOKUP(A63,'Données projet'!$A$217:$I$237,3,0)),0,VLOOKUP(A63,'Données projet'!$A$217:$I$237,3,0))</f>
        <v>10</v>
      </c>
      <c r="FM63" s="15">
        <f>IF(ISNA(VLOOKUP(A63,'Données projet'!$A$217:$I$237,4,0)),0,VLOOKUP(A63,'Données projet'!$A$217:$I$237,4,0))</f>
        <v>14</v>
      </c>
      <c r="FN63" s="16">
        <f>IF(ISNA(VLOOKUP(A63,'Données projet'!$A$217:$I$237,5,0)),0%,VLOOKUP(A63,'Données projet'!$A$217:$I$237,5,0)*VLOOKUP('Données projet'!$B$16,Paramètres!$A$1:$I$89,7,0))</f>
        <v>0.13250000000000001</v>
      </c>
      <c r="FO63" s="16">
        <f>IF(ISNA(VLOOKUP(A63,'Données projet'!$A$217:$I$237,6,0)),0%,VLOOKUP(A63,'Données projet'!$A$217:$I$237,6,0)*VLOOKUP('Données projet'!$B$16,Paramètres!$A$1:$I$89,7,0))</f>
        <v>0.13250000000000001</v>
      </c>
      <c r="FP63" s="16">
        <f>IF(ISNA(VLOOKUP(A63,'Données projet'!$A$217:$I$237,7,0)),0%,VLOOKUP(A63,'Données projet'!$A$217:$I$237,7,0))</f>
        <v>0.25</v>
      </c>
      <c r="FQ63" s="21">
        <f>EXP(-LN(2)/35)*FQ62+(1-EXP(-LN(2)/35))/(LN(2)/35)*FM63*FN63*VLOOKUP('Données projet'!$B$16,Paramètres!$A$1:$I$89,3,0)*0.475*44/12</f>
        <v>14.985322007435338</v>
      </c>
      <c r="FR63" s="21">
        <f>EXP(-LN(2)/25)*FR62+(1-EXP(-LN(2)/25))/(LN(2)/25)*Calculateur!FM63*Calculateur!FO63*VLOOKUP('Données projet'!$B$16,Paramètres!$A$1:$I$89,3,0)*0.475*44/12</f>
        <v>17.160747258101086</v>
      </c>
      <c r="FS63" s="21">
        <f>EXP(-LN(2)/2)*FS62+(1-EXP(-LN(2)/2))/(LN(2)/2)*FM63*FP63*VLOOKUP('Données projet'!$B$16,Paramètres!$A$1:$I$89,3,0)*0.475*44/12</f>
        <v>3.3669994005689103</v>
      </c>
      <c r="FT63" s="22">
        <f t="shared" si="24"/>
        <v>35.513068666105333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201.62</v>
      </c>
      <c r="FX63" s="12">
        <f>VLOOKUP(A63,'Données projet'!$A$243:$I$263,9,0)</f>
        <v>3.3603333333333336</v>
      </c>
      <c r="FY63" s="12">
        <f t="array" ref="FY63">INDEX(FX:FX,MIN(IF(ISNUMBER(FX63:FX259),ROW(FX63:FX259),"")))</f>
        <v>3.3603333333333336</v>
      </c>
      <c r="FZ63" s="12">
        <f>IF('Données projet'!$A$244&gt;35,FZ62+FY63-GH62,IF(A63&lt;'Données projet'!$A$244,$FW$205^A63,IF(A63='Données projet'!$A$244,'Données projet'!$B$244,FZ62+FY63-GH62)))</f>
        <v>201.61999999999989</v>
      </c>
      <c r="GA63" s="17">
        <f>FZ63*VLOOKUP('Données projet'!$B$17,Paramètres!$A$1:$I$89,3,0)*VLOOKUP('Données projet'!$B$17,Paramètres!$A$1:$I$89,5,0)</f>
        <v>229.6048559999999</v>
      </c>
      <c r="GB63" s="13">
        <f t="shared" si="49"/>
        <v>56.19723361144181</v>
      </c>
      <c r="GC63" s="20">
        <f t="shared" si="25"/>
        <v>497.77197273992761</v>
      </c>
      <c r="GD63" s="59">
        <f t="shared" si="26"/>
        <v>759.02767907140515</v>
      </c>
      <c r="GE63" s="59">
        <f ca="1">AVERAGE(OFFSET($GD$3,0,0,'Données projet'!$E$17+1,1))-AVERAGE(OFFSET($H$3,0,0,'Données projet'!$E$17+1,1))</f>
        <v>640.05156427113661</v>
      </c>
      <c r="GF63" s="59">
        <f t="shared" si="50"/>
        <v>308.77220155372902</v>
      </c>
      <c r="GG63" s="15">
        <f>IF(ISNA(VLOOKUP(A63,'Données projet'!$A$243:$I$263,3,0)),0,VLOOKUP(A63,'Données projet'!$A$243:$I$263,3,0))</f>
        <v>1</v>
      </c>
      <c r="GH63" s="15">
        <f>IF(ISNA(VLOOKUP(A63,'Données projet'!$A$243:$I$263,4,0)),0,VLOOKUP(A63,'Données projet'!$A$243:$I$263,4,0))</f>
        <v>72.87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0.34400000000000003</v>
      </c>
      <c r="GK63" s="16">
        <f>IF(ISNA(VLOOKUP(A63,'Données projet'!$A$243:$I$263,7,0)),0%,VLOOKUP(A63,'Données projet'!$A$243:$I$263,7,0))</f>
        <v>0.2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31.433187477653828</v>
      </c>
      <c r="GN63" s="21">
        <f>EXP(-LN(2)/2)*GN62+(1-EXP(-LN(2)/2))/(LN(2)/2)*GH63*GK63*VLOOKUP('Données projet'!$B$17,Paramètres!$A$1:$I$89,3,0)*0.475*44/12</f>
        <v>15.659594675439026</v>
      </c>
      <c r="GO63" s="21">
        <f t="shared" si="27"/>
        <v>47.092782153092855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13.839999999999995</v>
      </c>
      <c r="N64" s="13">
        <f>IF('Données projet'!$A$36&gt;35,N63+M64-V63,IF(A64&lt;'Données projet'!$A$36,$K$205^A64,IF(A64='Données projet'!$A$36,'Données projet'!$B$36,N63+M64-V63)))</f>
        <v>292.66999999999996</v>
      </c>
      <c r="O64" s="13">
        <f>N64*VLOOKUP('Données projet'!$B$9,Paramètres!$A$1:$I$89,3,0)*VLOOKUP('Données projet'!$B$9,Paramètres!$A$1:$I$89,5,0)</f>
        <v>246.545208</v>
      </c>
      <c r="P64" s="13">
        <f t="shared" si="33"/>
        <v>59.845551063630701</v>
      </c>
      <c r="Q64" s="20">
        <f t="shared" si="53"/>
        <v>533.63057203582343</v>
      </c>
      <c r="R64" s="59">
        <f t="shared" si="0"/>
        <v>795.44275348095277</v>
      </c>
      <c r="S64" s="59">
        <f ca="1">AVERAGE(OFFSET($R$3,0,0,'Données projet'!$E$9+1,1))-AVERAGE(OFFSET($H$3,0,0,'Données projet'!$E$9+1,1))</f>
        <v>456.35333554128226</v>
      </c>
      <c r="T64" s="59">
        <f t="shared" si="34"/>
        <v>296.4517290984877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19.148246075417546</v>
      </c>
      <c r="AA64" s="21">
        <f>EXP(-LN(2)/25)*AA63+(1-EXP(-LN(2)/25))/(LN(2)/25)*Calculateur!V64*Calculateur!X64*VLOOKUP('Données projet'!$B$9,Paramètres!$A$1:$I$89,3,0)*0.475*44/12</f>
        <v>26.456253174358196</v>
      </c>
      <c r="AB64" s="21">
        <f>EXP(-LN(2)/2)*AB63+(1-EXP(-LN(2)/2))/(LN(2)/2)*V64*Y64*VLOOKUP('Données projet'!$B$9,Paramètres!$A$1:$I$89,3,0)*0.475*44/12</f>
        <v>1.6686537275105309</v>
      </c>
      <c r="AC64" s="22">
        <f t="shared" si="3"/>
        <v>47.273152977286273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285.19999999999987</v>
      </c>
      <c r="AJ64" s="13">
        <f>AI64*VLOOKUP('Données projet'!$B$10,Paramètres!$A$1:$I$89,3,0)*VLOOKUP('Données projet'!$B$10,Paramètres!$A$1:$I$89,5,0)</f>
        <v>249.15071999999989</v>
      </c>
      <c r="AK64" s="13">
        <f t="shared" si="35"/>
        <v>60.404044320946248</v>
      </c>
      <c r="AL64" s="20">
        <f t="shared" si="4"/>
        <v>539.1412145256478</v>
      </c>
      <c r="AM64" s="59">
        <f t="shared" si="5"/>
        <v>800.95339597077714</v>
      </c>
      <c r="AN64" s="59">
        <f ca="1">AVERAGE(OFFSET($AM$3,0,0,'Données projet'!$E$10+1,1))-AVERAGE(OFFSET($H$3,0,0,'Données projet'!$E$10+1,1))</f>
        <v>408.246209980743</v>
      </c>
      <c r="AO64" s="59">
        <f t="shared" si="36"/>
        <v>394.10236303013903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15.821581981706785</v>
      </c>
      <c r="AV64" s="21">
        <f>EXP(-LN(2)/25)*AV63+(1-EXP(-LN(2)/25))/(LN(2)/25)*Calculateur!AQ64*Calculateur!AS64*VLOOKUP('Données projet'!$B$10,Paramètres!$A$1:$I$89,3,0)*0.475*44/12</f>
        <v>17.975446162028732</v>
      </c>
      <c r="AW64" s="21">
        <f>EXP(-LN(2)/2)*AW63+(1-EXP(-LN(2)/2))/(LN(2)/2)*AQ64*AT64*VLOOKUP('Données projet'!$B$10,Paramètres!$A$1:$I$89,3,0)*0.475*44/12</f>
        <v>2.5639687321158808</v>
      </c>
      <c r="AX64" s="21">
        <f t="shared" si="6"/>
        <v>36.360996875851399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6.8933333333333326</v>
      </c>
      <c r="BD64" s="12">
        <f>IF('Données projet'!$A$88&gt;35,BD63+BC64-BL63,IF(A64&lt;'Données projet'!$A$88,$BA$205^A64,IF(A64='Données projet'!$A$88,'Données projet'!$B$88,BD63+BC64-BL63)))</f>
        <v>135.64333333333323</v>
      </c>
      <c r="BE64" s="13">
        <f>BD64*VLOOKUP('Données projet'!$B$11,Paramètres!$A$1:$I$89,3,0)*VLOOKUP('Données projet'!$B$11,Paramètres!$A$1:$I$89,5,0)</f>
        <v>137.54233999999991</v>
      </c>
      <c r="BF64" s="13">
        <f t="shared" si="37"/>
        <v>35.733411083522441</v>
      </c>
      <c r="BG64" s="20">
        <f t="shared" si="7"/>
        <v>301.78859980380139</v>
      </c>
      <c r="BH64" s="59">
        <f t="shared" si="8"/>
        <v>563.60078124893073</v>
      </c>
      <c r="BI64" s="59">
        <f ca="1">AVERAGE(OFFSET($BH$3,0,0,'Données projet'!$E$11+1,1))-AVERAGE(OFFSET($H$3,0,0,'Données projet'!$E$11+1,1))</f>
        <v>580.02848304986492</v>
      </c>
      <c r="BJ64" s="59">
        <f t="shared" si="38"/>
        <v>281.68891895586728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27.223108840411829</v>
      </c>
      <c r="BR64" s="21">
        <f>EXP(-LN(2)/2)*BR63+(1-EXP(-LN(2)/2))/(LN(2)/2)*BL64*BO64*VLOOKUP('Données projet'!$B$11,Paramètres!$A$1:$I$89,3,0)*0.475*44/12</f>
        <v>9.8595255214564368</v>
      </c>
      <c r="BS64" s="22">
        <f t="shared" si="9"/>
        <v>37.082634361868266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8.6666666666666661</v>
      </c>
      <c r="BY64" s="12">
        <f>IF('Données projet'!$A$114&gt;35,BY63+BX64-CG63,IF(A64&lt;'Données projet'!$A$114,$BV$205^A64,IF(A64='Données projet'!$A$114,'Données projet'!$B$114,BY63+BX64-CG63)))</f>
        <v>258.66666666666657</v>
      </c>
      <c r="BZ64" s="13">
        <f>BY64*VLOOKUP('Données projet'!$B$12,Paramètres!$A$1:$I$89,3,0)*VLOOKUP('Données projet'!$B$12,Paramètres!$A$1:$I$89,5,0)</f>
        <v>201.75999999999993</v>
      </c>
      <c r="CA64" s="13">
        <f t="shared" si="39"/>
        <v>50.130765000424169</v>
      </c>
      <c r="CB64" s="20">
        <f t="shared" si="10"/>
        <v>438.70974904240529</v>
      </c>
      <c r="CC64" s="59">
        <f t="shared" si="11"/>
        <v>700.52193048753463</v>
      </c>
      <c r="CD64" s="59">
        <f ca="1">AVERAGE(OFFSET($CC$3,0,0,'Données projet'!$E$12+1,1))-AVERAGE(OFFSET($H$3,0,0,'Données projet'!$E$12+1,1))</f>
        <v>308.85018589589453</v>
      </c>
      <c r="CE64" s="59">
        <f t="shared" si="40"/>
        <v>302.59481222418219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14.757294009688056</v>
      </c>
      <c r="CL64" s="21">
        <f>EXP(-LN(2)/25)*CL63+(1-EXP(-LN(2)/25))/(LN(2)/25)*Calculateur!CG64*Calculateur!CI64*VLOOKUP('Données projet'!$B$12,Paramètres!$A$1:$I$89,3,0)*0.475*44/12</f>
        <v>15.044082655230353</v>
      </c>
      <c r="CM64" s="21">
        <f>EXP(-LN(2)/2)*CM63+(1-EXP(-LN(2)/2))/(LN(2)/2)*CG64*CJ64*VLOOKUP('Données projet'!$B$12,Paramètres!$A$1:$I$89,3,0)*0.475*44/12</f>
        <v>6.5286431219639907</v>
      </c>
      <c r="CN64" s="22">
        <f t="shared" si="12"/>
        <v>36.330019786882396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5.1282051282051331</v>
      </c>
      <c r="CT64" s="12">
        <f>IF('Données projet'!$A$140&gt;35,CT63+CS64-DB63,IF(A64&lt;'Données projet'!$A$140,$CQ$205^A64,IF(A64='Données projet'!$A$140,'Données projet'!$B$140,CT63+CS64-DB63)))</f>
        <v>219.87179487179489</v>
      </c>
      <c r="CU64" s="17">
        <f>CT64*VLOOKUP('Données projet'!$B$13,Paramètres!$A$1:$I$89,3,0)*VLOOKUP('Données projet'!$B$13,Paramètres!$A$1:$I$89,5,0)</f>
        <v>147.49</v>
      </c>
      <c r="CV64" s="13">
        <f t="shared" si="41"/>
        <v>38.007620116459833</v>
      </c>
      <c r="CW64" s="20">
        <f t="shared" si="13"/>
        <v>323.07502170283419</v>
      </c>
      <c r="CX64" s="59">
        <f t="shared" si="14"/>
        <v>584.88720314796353</v>
      </c>
      <c r="CY64" s="59">
        <f ca="1">AVERAGE(OFFSET($CX$3,0,0,'Données projet'!$E$13+1,1))-AVERAGE(OFFSET($H$3,0,0,'Données projet'!$E$13+1,1))</f>
        <v>335.73816489539837</v>
      </c>
      <c r="CZ64" s="59">
        <f t="shared" si="42"/>
        <v>254.09787950201044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1.4202291532868225</v>
      </c>
      <c r="DG64" s="21">
        <f>EXP(-LN(2)/25)*DG63+(1-EXP(-LN(2)/25))/(LN(2)/25)*Calculateur!DB64*Calculateur!DD64*VLOOKUP('Données projet'!$B$13,Paramètres!$A$1:$I$89,3,0)*0.475*44/12</f>
        <v>8.6431596771073753</v>
      </c>
      <c r="DH64" s="21">
        <f>EXP(-LN(2)/2)*DH63+(1-EXP(-LN(2)/2))/(LN(2)/2)*DB64*DE64*VLOOKUP('Données projet'!$B$13,Paramètres!$A$1:$I$89,3,0)*0.475*44/12</f>
        <v>2.0225031147934271</v>
      </c>
      <c r="DI64" s="22">
        <f t="shared" si="15"/>
        <v>12.085891945187624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9.7525000000000013</v>
      </c>
      <c r="DO64" s="12">
        <f>IF('Données projet'!$A$166&gt;35,DO63+DN64-DW63,IF(A64&lt;'Données projet'!$A$166,$DL$205^A64,IF(A64='Données projet'!$A$166,'Données projet'!$B$166,DO63+DN64-DW63)))</f>
        <v>180.54499999999999</v>
      </c>
      <c r="DP64" s="17">
        <f>DO64*VLOOKUP('Données projet'!$B$14,Paramètres!$A$1:$I$89,3,0)*VLOOKUP('Données projet'!$B$14,Paramètres!$A$1:$I$89,5,0)</f>
        <v>174.62312399999999</v>
      </c>
      <c r="DQ64" s="13">
        <f t="shared" si="43"/>
        <v>44.123827110146749</v>
      </c>
      <c r="DR64" s="20">
        <f t="shared" si="16"/>
        <v>380.98427318350554</v>
      </c>
      <c r="DS64" s="59">
        <f t="shared" si="17"/>
        <v>642.79645462863482</v>
      </c>
      <c r="DT64" s="59">
        <f ca="1">AVERAGE(OFFSET($DS$3,0,0,'Données projet'!$E$14+1,1))-AVERAGE(OFFSET($H$3,0,0,'Données projet'!$E$14+1,1))</f>
        <v>493.03862850474161</v>
      </c>
      <c r="DU64" s="59">
        <f t="shared" si="44"/>
        <v>312.51819065560528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12.444899949752735</v>
      </c>
      <c r="EB64" s="21">
        <f>EXP(-LN(2)/25)*EB63+(1-EXP(-LN(2)/25))/(LN(2)/25)*Calculateur!DW64*Calculateur!DY64*VLOOKUP('Données projet'!$B$14,Paramètres!$A$1:$I$89,3,0)*0.475*44/12</f>
        <v>30.450333995203941</v>
      </c>
      <c r="EC64" s="21">
        <f>EXP(-LN(2)/2)*EC63+(1-EXP(-LN(2)/2))/(LN(2)/2)*DW64*DZ64*VLOOKUP('Données projet'!$B$14,Paramètres!$A$1:$I$89,3,0)*0.475*44/12</f>
        <v>2.1210482220403457</v>
      </c>
      <c r="ED64" s="22">
        <f t="shared" si="18"/>
        <v>45.016282166997016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9.7525000000000013</v>
      </c>
      <c r="EJ64" s="12">
        <f>IF('Données projet'!$A$192&gt;35,EJ63+EI64-ER63,IF(A64&lt;'Données projet'!$A$192,$EG$205^A64,IF(A64='Données projet'!$A$192,'Données projet'!$B$192,EJ63+EI64-ER63)))</f>
        <v>180.54499999999999</v>
      </c>
      <c r="EK64" s="17">
        <f>EJ64*VLOOKUP('Données projet'!$B$15,Paramètres!$A$1:$I$89,3,0)*VLOOKUP('Données projet'!$B$15,Paramètres!$A$1:$I$89,5,0)</f>
        <v>194.33863799999997</v>
      </c>
      <c r="EL64" s="13">
        <f t="shared" si="45"/>
        <v>48.497900030377807</v>
      </c>
      <c r="EM64" s="20">
        <f t="shared" si="19"/>
        <v>422.94030373624128</v>
      </c>
      <c r="EN64" s="59">
        <f t="shared" si="20"/>
        <v>684.75248518137062</v>
      </c>
      <c r="EO64" s="59">
        <f ca="1">AVERAGE(OFFSET($EN$3,0,0,'Données projet'!$E$15+1,1))-AVERAGE(OFFSET($H$3,0,0,'Données projet'!$E$15+1,1))</f>
        <v>539.72194201710272</v>
      </c>
      <c r="EP64" s="59">
        <f t="shared" si="46"/>
        <v>340.76505385159362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13.849969298918364</v>
      </c>
      <c r="EW64" s="21">
        <f>EXP(-LN(2)/25)*EW63+(1-EXP(-LN(2)/25))/(LN(2)/25)*Calculateur!ER64*Calculateur!ET64*VLOOKUP('Données projet'!$B$15,Paramètres!$A$1:$I$89,3,0)*0.475*44/12</f>
        <v>33.888274930146338</v>
      </c>
      <c r="EX64" s="21">
        <f>EXP(-LN(2)/2)*EX63+(1-EXP(-LN(2)/2))/(LN(2)/2)*ER64*EU64*VLOOKUP('Données projet'!$B$15,Paramètres!$A$1:$I$89,3,0)*0.475*44/12</f>
        <v>2.3605214083997397</v>
      </c>
      <c r="EY64" s="22">
        <f t="shared" si="21"/>
        <v>50.098765637464446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5.2</v>
      </c>
      <c r="FE64" s="12">
        <f>IF('Données projet'!$A$218&gt;35,FE63+FD64-FM63,IF(A64&lt;'Données projet'!$A$218,$FB$205^A64,IF(A64='Données projet'!$A$218,'Données projet'!$B$218,FE63+FD64-FM63)))</f>
        <v>285.19999999999987</v>
      </c>
      <c r="FF64" s="17">
        <f>FE64*VLOOKUP('Données projet'!$B$16,Paramètres!$A$1:$I$89,3,0)*VLOOKUP('Données projet'!$B$16,Paramètres!$A$1:$I$89,5,0)</f>
        <v>231.35423999999992</v>
      </c>
      <c r="FG64" s="13">
        <f t="shared" si="47"/>
        <v>56.575399756999062</v>
      </c>
      <c r="FH64" s="20">
        <f t="shared" si="22"/>
        <v>501.47745591010658</v>
      </c>
      <c r="FI64" s="59">
        <f t="shared" si="23"/>
        <v>763.28963735523598</v>
      </c>
      <c r="FJ64" s="59">
        <f ca="1">AVERAGE(OFFSET($FI$3,0,0,'Données projet'!$E$16+1,1))-AVERAGE(OFFSET($H$3,0,0,'Données projet'!$E$16+1,1))</f>
        <v>383.47860767209028</v>
      </c>
      <c r="FK64" s="59">
        <f t="shared" si="48"/>
        <v>370.49129421395628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14.691468983013442</v>
      </c>
      <c r="FR64" s="21">
        <f>EXP(-LN(2)/25)*FR63+(1-EXP(-LN(2)/25))/(LN(2)/25)*Calculateur!FM64*Calculateur!FO64*VLOOKUP('Données projet'!$B$16,Paramètres!$A$1:$I$89,3,0)*0.475*44/12</f>
        <v>16.691485721883836</v>
      </c>
      <c r="FS64" s="21">
        <f>EXP(-LN(2)/2)*FS63+(1-EXP(-LN(2)/2))/(LN(2)/2)*FM64*FP64*VLOOKUP('Données projet'!$B$16,Paramètres!$A$1:$I$89,3,0)*0.475*44/12</f>
        <v>2.3808281083933172</v>
      </c>
      <c r="FT64" s="22">
        <f t="shared" si="24"/>
        <v>33.763782813290597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6.8933333333333326</v>
      </c>
      <c r="FZ64" s="12">
        <f>IF('Données projet'!$A$244&gt;35,FZ63+FY64-GH63,IF(A64&lt;'Données projet'!$A$244,$FW$205^A64,IF(A64='Données projet'!$A$244,'Données projet'!$B$244,FZ63+FY64-GH63)))</f>
        <v>135.64333333333323</v>
      </c>
      <c r="GA64" s="17">
        <f>FZ64*VLOOKUP('Données projet'!$B$17,Paramètres!$A$1:$I$89,3,0)*VLOOKUP('Données projet'!$B$17,Paramètres!$A$1:$I$89,5,0)</f>
        <v>154.47062799999989</v>
      </c>
      <c r="GB64" s="13">
        <f t="shared" si="49"/>
        <v>39.592808820576636</v>
      </c>
      <c r="GC64" s="20">
        <f t="shared" si="25"/>
        <v>337.99381912917073</v>
      </c>
      <c r="GD64" s="59">
        <f t="shared" si="26"/>
        <v>599.80600057430001</v>
      </c>
      <c r="GE64" s="59">
        <f ca="1">AVERAGE(OFFSET($GD$3,0,0,'Données projet'!$E$17+1,1))-AVERAGE(OFFSET($H$3,0,0,'Données projet'!$E$17+1,1))</f>
        <v>640.05156427113661</v>
      </c>
      <c r="GF64" s="59">
        <f t="shared" si="50"/>
        <v>308.77220155372902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30.573645313077897</v>
      </c>
      <c r="GN64" s="21">
        <f>EXP(-LN(2)/2)*GN63+(1-EXP(-LN(2)/2))/(LN(2)/2)*GH64*GK64*VLOOKUP('Données projet'!$B$17,Paramètres!$A$1:$I$89,3,0)*0.475*44/12</f>
        <v>11.073005585635689</v>
      </c>
      <c r="GO64" s="21">
        <f t="shared" si="27"/>
        <v>41.646650898713588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13.839999999999995</v>
      </c>
      <c r="N65" s="13">
        <f>IF('Données projet'!$A$36&gt;35,N64+M65-V64,IF(A65&lt;'Données projet'!$A$36,$K$205^A65,IF(A65='Données projet'!$A$36,'Données projet'!$B$36,N64+M65-V64)))</f>
        <v>306.50999999999993</v>
      </c>
      <c r="O65" s="13">
        <f>N65*VLOOKUP('Données projet'!$B$9,Paramètres!$A$1:$I$89,3,0)*VLOOKUP('Données projet'!$B$9,Paramètres!$A$1:$I$89,5,0)</f>
        <v>258.20402399999995</v>
      </c>
      <c r="P65" s="13">
        <f t="shared" si="33"/>
        <v>62.339394146915183</v>
      </c>
      <c r="Q65" s="20">
        <f t="shared" si="53"/>
        <v>558.27978660587723</v>
      </c>
      <c r="R65" s="59">
        <f t="shared" si="0"/>
        <v>820.63878956552855</v>
      </c>
      <c r="S65" s="59">
        <f ca="1">AVERAGE(OFFSET($R$3,0,0,'Données projet'!$E$9+1,1))-AVERAGE(OFFSET($H$3,0,0,'Données projet'!$E$9+1,1))</f>
        <v>456.35333554128226</v>
      </c>
      <c r="T65" s="59">
        <f t="shared" si="34"/>
        <v>296.4517290984877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18.772760649155483</v>
      </c>
      <c r="AA65" s="21">
        <f>EXP(-LN(2)/25)*AA64+(1-EXP(-LN(2)/25))/(LN(2)/25)*Calculateur!V65*Calculateur!X65*VLOOKUP('Données projet'!$B$9,Paramètres!$A$1:$I$89,3,0)*0.475*44/12</f>
        <v>25.732805540031482</v>
      </c>
      <c r="AB65" s="21">
        <f>EXP(-LN(2)/2)*AB64+(1-EXP(-LN(2)/2))/(LN(2)/2)*V65*Y65*VLOOKUP('Données projet'!$B$9,Paramètres!$A$1:$I$89,3,0)*0.475*44/12</f>
        <v>1.1799163661749059</v>
      </c>
      <c r="AC65" s="22">
        <f t="shared" si="3"/>
        <v>45.685482555361872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290.39999999999986</v>
      </c>
      <c r="AJ65" s="13">
        <f>AI65*VLOOKUP('Données projet'!$B$10,Paramètres!$A$1:$I$89,3,0)*VLOOKUP('Données projet'!$B$10,Paramètres!$A$1:$I$89,5,0)</f>
        <v>253.69343999999992</v>
      </c>
      <c r="AK65" s="13">
        <f t="shared" si="35"/>
        <v>61.376159112289358</v>
      </c>
      <c r="AL65" s="20">
        <f t="shared" si="4"/>
        <v>548.74621845390379</v>
      </c>
      <c r="AM65" s="59">
        <f t="shared" si="5"/>
        <v>811.10522141355511</v>
      </c>
      <c r="AN65" s="59">
        <f ca="1">AVERAGE(OFFSET($AM$3,0,0,'Données projet'!$E$10+1,1))-AVERAGE(OFFSET($H$3,0,0,'Données projet'!$E$10+1,1))</f>
        <v>408.246209980743</v>
      </c>
      <c r="AO65" s="59">
        <f t="shared" si="36"/>
        <v>394.10236303013903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15.511330409257646</v>
      </c>
      <c r="AV65" s="21">
        <f>EXP(-LN(2)/25)*AV64+(1-EXP(-LN(2)/25))/(LN(2)/25)*Calculateur!AQ65*Calculateur!AS65*VLOOKUP('Données projet'!$B$10,Paramètres!$A$1:$I$89,3,0)*0.475*44/12</f>
        <v>17.483906641440427</v>
      </c>
      <c r="AW65" s="21">
        <f>EXP(-LN(2)/2)*AW64+(1-EXP(-LN(2)/2))/(LN(2)/2)*AQ65*AT65*VLOOKUP('Données projet'!$B$10,Paramètres!$A$1:$I$89,3,0)*0.475*44/12</f>
        <v>1.8129996772294139</v>
      </c>
      <c r="AX65" s="21">
        <f t="shared" si="6"/>
        <v>34.808236727927486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6.8933333333333326</v>
      </c>
      <c r="BD65" s="12">
        <f>IF('Données projet'!$A$88&gt;35,BD64+BC65-BL64,IF(A65&lt;'Données projet'!$A$88,$BA$205^A65,IF(A65='Données projet'!$A$88,'Données projet'!$B$88,BD64+BC65-BL64)))</f>
        <v>142.53666666666658</v>
      </c>
      <c r="BE65" s="13">
        <f>BD65*VLOOKUP('Données projet'!$B$11,Paramètres!$A$1:$I$89,3,0)*VLOOKUP('Données projet'!$B$11,Paramètres!$A$1:$I$89,5,0)</f>
        <v>144.5321799999999</v>
      </c>
      <c r="BF65" s="13">
        <f t="shared" si="37"/>
        <v>37.333331285279648</v>
      </c>
      <c r="BG65" s="20">
        <f t="shared" si="7"/>
        <v>316.74909882186188</v>
      </c>
      <c r="BH65" s="59">
        <f t="shared" si="8"/>
        <v>579.10810178151314</v>
      </c>
      <c r="BI65" s="59">
        <f ca="1">AVERAGE(OFFSET($BH$3,0,0,'Données projet'!$E$11+1,1))-AVERAGE(OFFSET($H$3,0,0,'Données projet'!$E$11+1,1))</f>
        <v>580.02848304986492</v>
      </c>
      <c r="BJ65" s="59">
        <f t="shared" si="38"/>
        <v>281.68891895586728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26.478691497569692</v>
      </c>
      <c r="BR65" s="21">
        <f>EXP(-LN(2)/2)*BR64+(1-EXP(-LN(2)/2))/(LN(2)/2)*BL65*BO65*VLOOKUP('Données projet'!$B$11,Paramètres!$A$1:$I$89,3,0)*0.475*44/12</f>
        <v>6.9717373555036781</v>
      </c>
      <c r="BS65" s="22">
        <f t="shared" si="9"/>
        <v>33.450428853073369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8.6666666666666661</v>
      </c>
      <c r="BY65" s="12">
        <f>IF('Données projet'!$A$114&gt;35,BY64+BX65-CG64,IF(A65&lt;'Données projet'!$A$114,$BV$205^A65,IF(A65='Données projet'!$A$114,'Données projet'!$B$114,BY64+BX65-CG64)))</f>
        <v>267.33333333333326</v>
      </c>
      <c r="BZ65" s="13">
        <f>BY65*VLOOKUP('Données projet'!$B$12,Paramètres!$A$1:$I$89,3,0)*VLOOKUP('Données projet'!$B$12,Paramètres!$A$1:$I$89,5,0)</f>
        <v>208.51999999999995</v>
      </c>
      <c r="CA65" s="13">
        <f t="shared" si="39"/>
        <v>51.612035456318459</v>
      </c>
      <c r="CB65" s="20">
        <f t="shared" si="10"/>
        <v>453.06329508642119</v>
      </c>
      <c r="CC65" s="59">
        <f t="shared" si="11"/>
        <v>715.42229804607246</v>
      </c>
      <c r="CD65" s="59">
        <f ca="1">AVERAGE(OFFSET($CC$3,0,0,'Données projet'!$E$12+1,1))-AVERAGE(OFFSET($H$3,0,0,'Données projet'!$E$12+1,1))</f>
        <v>308.85018589589453</v>
      </c>
      <c r="CE65" s="59">
        <f t="shared" si="40"/>
        <v>302.59481222418219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14.467912475218638</v>
      </c>
      <c r="CL65" s="21">
        <f>EXP(-LN(2)/25)*CL64+(1-EXP(-LN(2)/25))/(LN(2)/25)*Calculateur!CG65*Calculateur!CI65*VLOOKUP('Données projet'!$B$12,Paramètres!$A$1:$I$89,3,0)*0.475*44/12</f>
        <v>14.632701423889156</v>
      </c>
      <c r="CM65" s="21">
        <f>EXP(-LN(2)/2)*CM64+(1-EXP(-LN(2)/2))/(LN(2)/2)*CG65*CJ65*VLOOKUP('Données projet'!$B$12,Paramètres!$A$1:$I$89,3,0)*0.475*44/12</f>
        <v>4.6164478234876505</v>
      </c>
      <c r="CN65" s="22">
        <f t="shared" si="12"/>
        <v>33.717061722595446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5.1282051282051331</v>
      </c>
      <c r="CT65" s="12">
        <f>IF('Données projet'!$A$140&gt;35,CT64+CS65-DB64,IF(A65&lt;'Données projet'!$A$140,$CQ$205^A65,IF(A65='Données projet'!$A$140,'Données projet'!$B$140,CT64+CS65-DB64)))</f>
        <v>225.00000000000003</v>
      </c>
      <c r="CU65" s="17">
        <f>CT65*VLOOKUP('Données projet'!$B$13,Paramètres!$A$1:$I$89,3,0)*VLOOKUP('Données projet'!$B$13,Paramètres!$A$1:$I$89,5,0)</f>
        <v>150.93000000000004</v>
      </c>
      <c r="CV65" s="13">
        <f t="shared" si="41"/>
        <v>38.789855371379076</v>
      </c>
      <c r="CW65" s="20">
        <f t="shared" si="13"/>
        <v>330.42874810515195</v>
      </c>
      <c r="CX65" s="59">
        <f t="shared" si="14"/>
        <v>592.78775106480327</v>
      </c>
      <c r="CY65" s="59">
        <f ca="1">AVERAGE(OFFSET($CX$3,0,0,'Données projet'!$E$13+1,1))-AVERAGE(OFFSET($H$3,0,0,'Données projet'!$E$13+1,1))</f>
        <v>335.73816489539837</v>
      </c>
      <c r="CZ65" s="59">
        <f t="shared" si="42"/>
        <v>254.09787950201044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1.392379325845116</v>
      </c>
      <c r="DG65" s="21">
        <f>EXP(-LN(2)/25)*DG64+(1-EXP(-LN(2)/25))/(LN(2)/25)*Calculateur!DB65*Calculateur!DD65*VLOOKUP('Données projet'!$B$13,Paramètres!$A$1:$I$89,3,0)*0.475*44/12</f>
        <v>8.4068120212128612</v>
      </c>
      <c r="DH65" s="21">
        <f>EXP(-LN(2)/2)*DH64+(1-EXP(-LN(2)/2))/(LN(2)/2)*DB65*DE65*VLOOKUP('Données projet'!$B$13,Paramètres!$A$1:$I$89,3,0)*0.475*44/12</f>
        <v>1.4301256674413467</v>
      </c>
      <c r="DI65" s="22">
        <f t="shared" si="15"/>
        <v>11.229317014499324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9.7525000000000013</v>
      </c>
      <c r="DO65" s="12">
        <f>IF('Données projet'!$A$166&gt;35,DO64+DN65-DW64,IF(A65&lt;'Données projet'!$A$166,$DL$205^A65,IF(A65='Données projet'!$A$166,'Données projet'!$B$166,DO64+DN65-DW64)))</f>
        <v>190.29749999999999</v>
      </c>
      <c r="DP65" s="17">
        <f>DO65*VLOOKUP('Données projet'!$B$14,Paramètres!$A$1:$I$89,3,0)*VLOOKUP('Données projet'!$B$14,Paramètres!$A$1:$I$89,5,0)</f>
        <v>184.05574200000001</v>
      </c>
      <c r="DQ65" s="13">
        <f t="shared" si="43"/>
        <v>46.223340570309404</v>
      </c>
      <c r="DR65" s="20">
        <f t="shared" si="16"/>
        <v>401.06940214328887</v>
      </c>
      <c r="DS65" s="59">
        <f t="shared" si="17"/>
        <v>663.42840510294013</v>
      </c>
      <c r="DT65" s="59">
        <f ca="1">AVERAGE(OFFSET($DS$3,0,0,'Données projet'!$E$14+1,1))-AVERAGE(OFFSET($H$3,0,0,'Données projet'!$E$14+1,1))</f>
        <v>493.03862850474161</v>
      </c>
      <c r="DU65" s="59">
        <f t="shared" si="44"/>
        <v>312.51819065560528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12.200863052377539</v>
      </c>
      <c r="EB65" s="21">
        <f>EXP(-LN(2)/25)*EB64+(1-EXP(-LN(2)/25))/(LN(2)/25)*Calculateur!DW65*Calculateur!DY65*VLOOKUP('Données projet'!$B$14,Paramètres!$A$1:$I$89,3,0)*0.475*44/12</f>
        <v>29.617668010791618</v>
      </c>
      <c r="EC65" s="21">
        <f>EXP(-LN(2)/2)*EC64+(1-EXP(-LN(2)/2))/(LN(2)/2)*DW65*DZ65*VLOOKUP('Données projet'!$B$14,Paramètres!$A$1:$I$89,3,0)*0.475*44/12</f>
        <v>1.4998075810283984</v>
      </c>
      <c r="ED65" s="22">
        <f t="shared" si="18"/>
        <v>43.31833864419756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9.7525000000000013</v>
      </c>
      <c r="EJ65" s="12">
        <f>IF('Données projet'!$A$192&gt;35,EJ64+EI65-ER64,IF(A65&lt;'Données projet'!$A$192,$EG$205^A65,IF(A65='Données projet'!$A$192,'Données projet'!$B$192,EJ64+EI65-ER64)))</f>
        <v>190.29749999999999</v>
      </c>
      <c r="EK65" s="17">
        <f>EJ65*VLOOKUP('Données projet'!$B$15,Paramètres!$A$1:$I$89,3,0)*VLOOKUP('Données projet'!$B$15,Paramètres!$A$1:$I$89,5,0)</f>
        <v>204.83622899999995</v>
      </c>
      <c r="EL65" s="13">
        <f t="shared" si="45"/>
        <v>50.805541968354355</v>
      </c>
      <c r="EM65" s="20">
        <f t="shared" si="19"/>
        <v>445.24275110321702</v>
      </c>
      <c r="EN65" s="59">
        <f t="shared" si="20"/>
        <v>707.60175406286839</v>
      </c>
      <c r="EO65" s="59">
        <f ca="1">AVERAGE(OFFSET($EN$3,0,0,'Données projet'!$E$15+1,1))-AVERAGE(OFFSET($H$3,0,0,'Données projet'!$E$15+1,1))</f>
        <v>539.72194201710272</v>
      </c>
      <c r="EP65" s="59">
        <f t="shared" si="46"/>
        <v>340.76505385159362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13.578379848613711</v>
      </c>
      <c r="EW65" s="21">
        <f>EXP(-LN(2)/25)*EW64+(1-EXP(-LN(2)/25))/(LN(2)/25)*Calculateur!ER65*Calculateur!ET65*VLOOKUP('Données projet'!$B$15,Paramètres!$A$1:$I$89,3,0)*0.475*44/12</f>
        <v>32.96159827007456</v>
      </c>
      <c r="EX65" s="21">
        <f>EXP(-LN(2)/2)*EX64+(1-EXP(-LN(2)/2))/(LN(2)/2)*ER65*EU65*VLOOKUP('Données projet'!$B$15,Paramètres!$A$1:$I$89,3,0)*0.475*44/12</f>
        <v>1.6691406950154759</v>
      </c>
      <c r="EY65" s="22">
        <f t="shared" si="21"/>
        <v>48.209118813703746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5.2</v>
      </c>
      <c r="FE65" s="12">
        <f>IF('Données projet'!$A$218&gt;35,FE64+FD65-FM64,IF(A65&lt;'Données projet'!$A$218,$FB$205^A65,IF(A65='Données projet'!$A$218,'Données projet'!$B$218,FE64+FD65-FM64)))</f>
        <v>290.39999999999986</v>
      </c>
      <c r="FF65" s="17">
        <f>FE65*VLOOKUP('Données projet'!$B$16,Paramètres!$A$1:$I$89,3,0)*VLOOKUP('Données projet'!$B$16,Paramètres!$A$1:$I$89,5,0)</f>
        <v>235.5724799999999</v>
      </c>
      <c r="FG65" s="13">
        <f t="shared" si="47"/>
        <v>57.485898111011707</v>
      </c>
      <c r="FH65" s="20">
        <f t="shared" si="22"/>
        <v>510.41000854334516</v>
      </c>
      <c r="FI65" s="59">
        <f t="shared" si="23"/>
        <v>772.76901150299648</v>
      </c>
      <c r="FJ65" s="59">
        <f ca="1">AVERAGE(OFFSET($FI$3,0,0,'Données projet'!$E$16+1,1))-AVERAGE(OFFSET($H$3,0,0,'Données projet'!$E$16+1,1))</f>
        <v>383.47860767209028</v>
      </c>
      <c r="FK65" s="59">
        <f t="shared" si="48"/>
        <v>370.49129421395628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14.403378237167811</v>
      </c>
      <c r="FR65" s="21">
        <f>EXP(-LN(2)/25)*FR64+(1-EXP(-LN(2)/25))/(LN(2)/25)*Calculateur!FM65*Calculateur!FO65*VLOOKUP('Données projet'!$B$16,Paramètres!$A$1:$I$89,3,0)*0.475*44/12</f>
        <v>16.235056167051837</v>
      </c>
      <c r="FS65" s="21">
        <f>EXP(-LN(2)/2)*FS64+(1-EXP(-LN(2)/2))/(LN(2)/2)*FM65*FP65*VLOOKUP('Données projet'!$B$16,Paramètres!$A$1:$I$89,3,0)*0.475*44/12</f>
        <v>1.6834997002844552</v>
      </c>
      <c r="FT65" s="22">
        <f t="shared" si="24"/>
        <v>32.321934104504102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6.8933333333333326</v>
      </c>
      <c r="FZ65" s="12">
        <f>IF('Données projet'!$A$244&gt;35,FZ64+FY65-GH64,IF(A65&lt;'Données projet'!$A$244,$FW$205^A65,IF(A65='Données projet'!$A$244,'Données projet'!$B$244,FZ64+FY65-GH64)))</f>
        <v>142.53666666666658</v>
      </c>
      <c r="GA65" s="17">
        <f>FZ65*VLOOKUP('Données projet'!$B$17,Paramètres!$A$1:$I$89,3,0)*VLOOKUP('Données projet'!$B$17,Paramètres!$A$1:$I$89,5,0)</f>
        <v>162.3207559999999</v>
      </c>
      <c r="GB65" s="13">
        <f t="shared" si="49"/>
        <v>41.365528881594308</v>
      </c>
      <c r="GC65" s="20">
        <f t="shared" si="25"/>
        <v>354.75361283544322</v>
      </c>
      <c r="GD65" s="59">
        <f t="shared" si="26"/>
        <v>617.1126157950946</v>
      </c>
      <c r="GE65" s="59">
        <f ca="1">AVERAGE(OFFSET($GD$3,0,0,'Données projet'!$E$17+1,1))-AVERAGE(OFFSET($H$3,0,0,'Données projet'!$E$17+1,1))</f>
        <v>640.05156427113661</v>
      </c>
      <c r="GF65" s="59">
        <f t="shared" si="50"/>
        <v>308.77220155372902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29.737607374193651</v>
      </c>
      <c r="GN65" s="21">
        <f>EXP(-LN(2)/2)*GN64+(1-EXP(-LN(2)/2))/(LN(2)/2)*GH65*GK65*VLOOKUP('Données projet'!$B$17,Paramètres!$A$1:$I$89,3,0)*0.475*44/12</f>
        <v>7.8297973377195147</v>
      </c>
      <c r="GO65" s="21">
        <f t="shared" si="27"/>
        <v>37.567404711913163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13.839999999999995</v>
      </c>
      <c r="N66" s="13">
        <f>IF('Données projet'!$A$36&gt;35,N65+M66-V65,IF(A66&lt;'Données projet'!$A$36,$K$205^A66,IF(A66='Données projet'!$A$36,'Données projet'!$B$36,N65+M66-V65)))</f>
        <v>320.34999999999991</v>
      </c>
      <c r="O66" s="13">
        <f>N66*VLOOKUP('Données projet'!$B$9,Paramètres!$A$1:$I$89,3,0)*VLOOKUP('Données projet'!$B$9,Paramètres!$A$1:$I$89,5,0)</f>
        <v>269.86283999999995</v>
      </c>
      <c r="P66" s="13">
        <f t="shared" si="33"/>
        <v>64.820159613370294</v>
      </c>
      <c r="Q66" s="20">
        <f t="shared" si="53"/>
        <v>582.90622432661985</v>
      </c>
      <c r="R66" s="59">
        <f t="shared" si="0"/>
        <v>845.80256267002596</v>
      </c>
      <c r="S66" s="59">
        <f ca="1">AVERAGE(OFFSET($R$3,0,0,'Données projet'!$E$9+1,1))-AVERAGE(OFFSET($H$3,0,0,'Données projet'!$E$9+1,1))</f>
        <v>456.35333554128226</v>
      </c>
      <c r="T66" s="59">
        <f t="shared" si="34"/>
        <v>296.4517290984877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18.404638263078922</v>
      </c>
      <c r="AA66" s="21">
        <f>EXP(-LN(2)/25)*AA65+(1-EXP(-LN(2)/25))/(LN(2)/25)*Calculateur!V66*Calculateur!X66*VLOOKUP('Données projet'!$B$9,Paramètres!$A$1:$I$89,3,0)*0.475*44/12</f>
        <v>25.029140619309892</v>
      </c>
      <c r="AB66" s="21">
        <f>EXP(-LN(2)/2)*AB65+(1-EXP(-LN(2)/2))/(LN(2)/2)*V66*Y66*VLOOKUP('Données projet'!$B$9,Paramètres!$A$1:$I$89,3,0)*0.475*44/12</f>
        <v>0.83432686375526555</v>
      </c>
      <c r="AC66" s="22">
        <f t="shared" si="3"/>
        <v>44.26810574614408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295.59999999999985</v>
      </c>
      <c r="AJ66" s="13">
        <f>AI66*VLOOKUP('Données projet'!$B$10,Paramètres!$A$1:$I$89,3,0)*VLOOKUP('Données projet'!$B$10,Paramètres!$A$1:$I$89,5,0)</f>
        <v>258.23615999999993</v>
      </c>
      <c r="AK66" s="13">
        <f t="shared" si="35"/>
        <v>62.346249722937728</v>
      </c>
      <c r="AL66" s="20">
        <f t="shared" si="4"/>
        <v>558.34769693411636</v>
      </c>
      <c r="AM66" s="59">
        <f t="shared" si="5"/>
        <v>821.24403527752247</v>
      </c>
      <c r="AN66" s="59">
        <f ca="1">AVERAGE(OFFSET($AM$3,0,0,'Données projet'!$E$10+1,1))-AVERAGE(OFFSET($H$3,0,0,'Données projet'!$E$10+1,1))</f>
        <v>408.246209980743</v>
      </c>
      <c r="AO66" s="59">
        <f t="shared" si="36"/>
        <v>394.10236303013903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15.207162680909459</v>
      </c>
      <c r="AV66" s="21">
        <f>EXP(-LN(2)/25)*AV65+(1-EXP(-LN(2)/25))/(LN(2)/25)*Calculateur!AQ66*Calculateur!AS66*VLOOKUP('Données projet'!$B$10,Paramètres!$A$1:$I$89,3,0)*0.475*44/12</f>
        <v>17.005808294891548</v>
      </c>
      <c r="AW66" s="21">
        <f>EXP(-LN(2)/2)*AW65+(1-EXP(-LN(2)/2))/(LN(2)/2)*AQ66*AT66*VLOOKUP('Données projet'!$B$10,Paramètres!$A$1:$I$89,3,0)*0.475*44/12</f>
        <v>1.2819843660579406</v>
      </c>
      <c r="AX66" s="21">
        <f t="shared" si="6"/>
        <v>33.494955341858947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6.8933333333333326</v>
      </c>
      <c r="BD66" s="12">
        <f>IF('Données projet'!$A$88&gt;35,BD65+BC66-BL65,IF(A66&lt;'Données projet'!$A$88,$BA$205^A66,IF(A66='Données projet'!$A$88,'Données projet'!$B$88,BD65+BC66-BL65)))</f>
        <v>149.42999999999992</v>
      </c>
      <c r="BE66" s="13">
        <f>BD66*VLOOKUP('Données projet'!$B$11,Paramètres!$A$1:$I$89,3,0)*VLOOKUP('Données projet'!$B$11,Paramètres!$A$1:$I$89,5,0)</f>
        <v>151.52201999999994</v>
      </c>
      <c r="BF66" s="13">
        <f t="shared" si="37"/>
        <v>38.924266634641384</v>
      </c>
      <c r="BG66" s="20">
        <f t="shared" si="7"/>
        <v>331.6939492220003</v>
      </c>
      <c r="BH66" s="59">
        <f t="shared" si="8"/>
        <v>594.59028756540647</v>
      </c>
      <c r="BI66" s="59">
        <f ca="1">AVERAGE(OFFSET($BH$3,0,0,'Données projet'!$E$11+1,1))-AVERAGE(OFFSET($H$3,0,0,'Données projet'!$E$11+1,1))</f>
        <v>580.02848304986492</v>
      </c>
      <c r="BJ66" s="59">
        <f t="shared" si="38"/>
        <v>281.68891895586728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25.754630286114779</v>
      </c>
      <c r="BR66" s="21">
        <f>EXP(-LN(2)/2)*BR65+(1-EXP(-LN(2)/2))/(LN(2)/2)*BL66*BO66*VLOOKUP('Données projet'!$B$11,Paramètres!$A$1:$I$89,3,0)*0.475*44/12</f>
        <v>4.9297627607282193</v>
      </c>
      <c r="BS66" s="22">
        <f t="shared" si="9"/>
        <v>30.684393046842999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8.6666666666666661</v>
      </c>
      <c r="BY66" s="12">
        <f>IF('Données projet'!$A$114&gt;35,BY65+BX66-CG65,IF(A66&lt;'Données projet'!$A$114,$BV$205^A66,IF(A66='Données projet'!$A$114,'Données projet'!$B$114,BY65+BX66-CG65)))</f>
        <v>275.99999999999994</v>
      </c>
      <c r="BZ66" s="13">
        <f>BY66*VLOOKUP('Données projet'!$B$12,Paramètres!$A$1:$I$89,3,0)*VLOOKUP('Données projet'!$B$12,Paramètres!$A$1:$I$89,5,0)</f>
        <v>215.27999999999997</v>
      </c>
      <c r="CA66" s="13">
        <f t="shared" si="39"/>
        <v>53.087725740853138</v>
      </c>
      <c r="CB66" s="20">
        <f t="shared" si="10"/>
        <v>467.40712233198587</v>
      </c>
      <c r="CC66" s="59">
        <f t="shared" si="11"/>
        <v>730.30346067539199</v>
      </c>
      <c r="CD66" s="59">
        <f ca="1">AVERAGE(OFFSET($CC$3,0,0,'Données projet'!$E$12+1,1))-AVERAGE(OFFSET($H$3,0,0,'Données projet'!$E$12+1,1))</f>
        <v>308.85018589589453</v>
      </c>
      <c r="CE66" s="59">
        <f t="shared" si="40"/>
        <v>302.59481222418219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14.184205536134858</v>
      </c>
      <c r="CL66" s="21">
        <f>EXP(-LN(2)/25)*CL65+(1-EXP(-LN(2)/25))/(LN(2)/25)*Calculateur!CG66*Calculateur!CI66*VLOOKUP('Données projet'!$B$12,Paramètres!$A$1:$I$89,3,0)*0.475*44/12</f>
        <v>14.232569433952582</v>
      </c>
      <c r="CM66" s="21">
        <f>EXP(-LN(2)/2)*CM65+(1-EXP(-LN(2)/2))/(LN(2)/2)*CG66*CJ66*VLOOKUP('Données projet'!$B$12,Paramètres!$A$1:$I$89,3,0)*0.475*44/12</f>
        <v>3.2643215609819958</v>
      </c>
      <c r="CN66" s="22">
        <f t="shared" si="12"/>
        <v>31.681096531069436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5.1282051282051331</v>
      </c>
      <c r="CT66" s="12">
        <f>IF('Données projet'!$A$140&gt;35,CT65+CS66-DB65,IF(A66&lt;'Données projet'!$A$140,$CQ$205^A66,IF(A66='Données projet'!$A$140,'Données projet'!$B$140,CT65+CS66-DB65)))</f>
        <v>230.12820512820517</v>
      </c>
      <c r="CU66" s="17">
        <f>CT66*VLOOKUP('Données projet'!$B$13,Paramètres!$A$1:$I$89,3,0)*VLOOKUP('Données projet'!$B$13,Paramètres!$A$1:$I$89,5,0)</f>
        <v>154.37000000000003</v>
      </c>
      <c r="CV66" s="13">
        <f t="shared" si="41"/>
        <v>39.570017923578433</v>
      </c>
      <c r="CW66" s="20">
        <f t="shared" si="13"/>
        <v>337.77886455023247</v>
      </c>
      <c r="CX66" s="59">
        <f t="shared" si="14"/>
        <v>600.67520289363858</v>
      </c>
      <c r="CY66" s="59">
        <f ca="1">AVERAGE(OFFSET($CX$3,0,0,'Données projet'!$E$13+1,1))-AVERAGE(OFFSET($H$3,0,0,'Données projet'!$E$13+1,1))</f>
        <v>335.73816489539837</v>
      </c>
      <c r="CZ66" s="59">
        <f t="shared" si="42"/>
        <v>254.09787950201044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1.3650756165328239</v>
      </c>
      <c r="DG66" s="21">
        <f>EXP(-LN(2)/25)*DG65+(1-EXP(-LN(2)/25))/(LN(2)/25)*Calculateur!DB66*Calculateur!DD66*VLOOKUP('Données projet'!$B$13,Paramètres!$A$1:$I$89,3,0)*0.475*44/12</f>
        <v>8.1769273043977648</v>
      </c>
      <c r="DH66" s="21">
        <f>EXP(-LN(2)/2)*DH65+(1-EXP(-LN(2)/2))/(LN(2)/2)*DB66*DE66*VLOOKUP('Données projet'!$B$13,Paramètres!$A$1:$I$89,3,0)*0.475*44/12</f>
        <v>1.0112515573967136</v>
      </c>
      <c r="DI66" s="22">
        <f t="shared" si="15"/>
        <v>10.553254478327302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9.7525000000000013</v>
      </c>
      <c r="DO66" s="12">
        <f>IF('Données projet'!$A$166&gt;35,DO65+DN66-DW65,IF(A66&lt;'Données projet'!$A$166,$DL$205^A66,IF(A66='Données projet'!$A$166,'Données projet'!$B$166,DO65+DN66-DW65)))</f>
        <v>200.04999999999998</v>
      </c>
      <c r="DP66" s="17">
        <f>DO66*VLOOKUP('Données projet'!$B$14,Paramètres!$A$1:$I$89,3,0)*VLOOKUP('Données projet'!$B$14,Paramètres!$A$1:$I$89,5,0)</f>
        <v>193.48836</v>
      </c>
      <c r="DQ66" s="13">
        <f t="shared" si="43"/>
        <v>48.310361208505746</v>
      </c>
      <c r="DR66" s="20">
        <f t="shared" si="16"/>
        <v>421.13277277148086</v>
      </c>
      <c r="DS66" s="59">
        <f t="shared" si="17"/>
        <v>684.02911111488697</v>
      </c>
      <c r="DT66" s="59">
        <f ca="1">AVERAGE(OFFSET($DS$3,0,0,'Données projet'!$E$14+1,1))-AVERAGE(OFFSET($H$3,0,0,'Données projet'!$E$14+1,1))</f>
        <v>493.03862850474161</v>
      </c>
      <c r="DU66" s="59">
        <f t="shared" si="44"/>
        <v>312.51819065560528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11.961611569712062</v>
      </c>
      <c r="EB66" s="21">
        <f>EXP(-LN(2)/25)*EB65+(1-EXP(-LN(2)/25))/(LN(2)/25)*Calculateur!DW66*Calculateur!DY66*VLOOKUP('Données projet'!$B$14,Paramètres!$A$1:$I$89,3,0)*0.475*44/12</f>
        <v>28.807771321511051</v>
      </c>
      <c r="EC66" s="21">
        <f>EXP(-LN(2)/2)*EC65+(1-EXP(-LN(2)/2))/(LN(2)/2)*DW66*DZ66*VLOOKUP('Données projet'!$B$14,Paramètres!$A$1:$I$89,3,0)*0.475*44/12</f>
        <v>1.0605241110201729</v>
      </c>
      <c r="ED66" s="22">
        <f t="shared" si="18"/>
        <v>41.829907002243289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9.7525000000000013</v>
      </c>
      <c r="EJ66" s="12">
        <f>IF('Données projet'!$A$192&gt;35,EJ65+EI66-ER65,IF(A66&lt;'Données projet'!$A$192,$EG$205^A66,IF(A66='Données projet'!$A$192,'Données projet'!$B$192,EJ65+EI66-ER65)))</f>
        <v>200.04999999999998</v>
      </c>
      <c r="EK66" s="17">
        <f>EJ66*VLOOKUP('Données projet'!$B$15,Paramètres!$A$1:$I$89,3,0)*VLOOKUP('Données projet'!$B$15,Paramètres!$A$1:$I$89,5,0)</f>
        <v>215.33381999999997</v>
      </c>
      <c r="EL66" s="13">
        <f t="shared" si="45"/>
        <v>53.099452648856172</v>
      </c>
      <c r="EM66" s="20">
        <f t="shared" si="19"/>
        <v>467.52128319675768</v>
      </c>
      <c r="EN66" s="59">
        <f t="shared" si="20"/>
        <v>730.41762154016374</v>
      </c>
      <c r="EO66" s="59">
        <f ca="1">AVERAGE(OFFSET($EN$3,0,0,'Données projet'!$E$15+1,1))-AVERAGE(OFFSET($H$3,0,0,'Données projet'!$E$15+1,1))</f>
        <v>539.72194201710272</v>
      </c>
      <c r="EP66" s="59">
        <f t="shared" si="46"/>
        <v>340.76505385159362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13.312116101776324</v>
      </c>
      <c r="EW66" s="21">
        <f>EXP(-LN(2)/25)*EW65+(1-EXP(-LN(2)/25))/(LN(2)/25)*Calculateur!ER66*Calculateur!ET66*VLOOKUP('Données projet'!$B$15,Paramètres!$A$1:$I$89,3,0)*0.475*44/12</f>
        <v>32.060261632004256</v>
      </c>
      <c r="EX66" s="21">
        <f>EXP(-LN(2)/2)*EX65+(1-EXP(-LN(2)/2))/(LN(2)/2)*ER66*EU66*VLOOKUP('Données projet'!$B$15,Paramètres!$A$1:$I$89,3,0)*0.475*44/12</f>
        <v>1.1802607041998701</v>
      </c>
      <c r="EY66" s="22">
        <f t="shared" si="21"/>
        <v>46.552638437980448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5.2</v>
      </c>
      <c r="FE66" s="12">
        <f>IF('Données projet'!$A$218&gt;35,FE65+FD66-FM65,IF(A66&lt;'Données projet'!$A$218,$FB$205^A66,IF(A66='Données projet'!$A$218,'Données projet'!$B$218,FE65+FD66-FM65)))</f>
        <v>295.59999999999985</v>
      </c>
      <c r="FF66" s="17">
        <f>FE66*VLOOKUP('Données projet'!$B$16,Paramètres!$A$1:$I$89,3,0)*VLOOKUP('Données projet'!$B$16,Paramètres!$A$1:$I$89,5,0)</f>
        <v>239.79071999999991</v>
      </c>
      <c r="FG66" s="13">
        <f t="shared" si="47"/>
        <v>58.394500584818381</v>
      </c>
      <c r="FH66" s="20">
        <f t="shared" si="22"/>
        <v>519.33925918522516</v>
      </c>
      <c r="FI66" s="59">
        <f t="shared" si="23"/>
        <v>782.23559752863127</v>
      </c>
      <c r="FJ66" s="59">
        <f ca="1">AVERAGE(OFFSET($FI$3,0,0,'Données projet'!$E$16+1,1))-AVERAGE(OFFSET($H$3,0,0,'Données projet'!$E$16+1,1))</f>
        <v>383.47860767209028</v>
      </c>
      <c r="FK66" s="59">
        <f t="shared" si="48"/>
        <v>370.49129421395628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14.120936775130209</v>
      </c>
      <c r="FR66" s="21">
        <f>EXP(-LN(2)/25)*FR65+(1-EXP(-LN(2)/25))/(LN(2)/25)*Calculateur!FM66*Calculateur!FO66*VLOOKUP('Données projet'!$B$16,Paramètres!$A$1:$I$89,3,0)*0.475*44/12</f>
        <v>15.791107702399307</v>
      </c>
      <c r="FS66" s="21">
        <f>EXP(-LN(2)/2)*FS65+(1-EXP(-LN(2)/2))/(LN(2)/2)*FM66*FP66*VLOOKUP('Données projet'!$B$16,Paramètres!$A$1:$I$89,3,0)*0.475*44/12</f>
        <v>1.1904140541966586</v>
      </c>
      <c r="FT66" s="22">
        <f t="shared" si="24"/>
        <v>31.102458531726175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6.8933333333333326</v>
      </c>
      <c r="FZ66" s="12">
        <f>IF('Données projet'!$A$244&gt;35,FZ65+FY66-GH65,IF(A66&lt;'Données projet'!$A$244,$FW$205^A66,IF(A66='Données projet'!$A$244,'Données projet'!$B$244,FZ65+FY66-GH65)))</f>
        <v>149.42999999999992</v>
      </c>
      <c r="GA66" s="17">
        <f>FZ66*VLOOKUP('Données projet'!$B$17,Paramètres!$A$1:$I$89,3,0)*VLOOKUP('Données projet'!$B$17,Paramètres!$A$1:$I$89,5,0)</f>
        <v>170.17088399999992</v>
      </c>
      <c r="GB66" s="13">
        <f t="shared" si="49"/>
        <v>43.128293678549916</v>
      </c>
      <c r="GC66" s="20">
        <f t="shared" si="25"/>
        <v>371.4960677901409</v>
      </c>
      <c r="GD66" s="59">
        <f t="shared" si="26"/>
        <v>634.39240613354696</v>
      </c>
      <c r="GE66" s="59">
        <f ca="1">AVERAGE(OFFSET($GD$3,0,0,'Données projet'!$E$17+1,1))-AVERAGE(OFFSET($H$3,0,0,'Données projet'!$E$17+1,1))</f>
        <v>640.05156427113661</v>
      </c>
      <c r="GF66" s="59">
        <f t="shared" si="50"/>
        <v>308.77220155372902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28.92443093671352</v>
      </c>
      <c r="GN66" s="21">
        <f>EXP(-LN(2)/2)*GN65+(1-EXP(-LN(2)/2))/(LN(2)/2)*GH66*GK66*VLOOKUP('Données projet'!$B$17,Paramètres!$A$1:$I$89,3,0)*0.475*44/12</f>
        <v>5.5365027928178456</v>
      </c>
      <c r="GO66" s="21">
        <f t="shared" si="27"/>
        <v>34.460933729531362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13.839999999999995</v>
      </c>
      <c r="N67" s="13">
        <f>IF('Données projet'!$A$36&gt;35,N66+M67-V66,IF(A67&lt;'Données projet'!$A$36,$K$205^A67,IF(A67='Données projet'!$A$36,'Données projet'!$B$36,N66+M67-V66)))</f>
        <v>334.18999999999988</v>
      </c>
      <c r="O67" s="13">
        <f>N67*VLOOKUP('Données projet'!$B$9,Paramètres!$A$1:$I$89,3,0)*VLOOKUP('Données projet'!$B$9,Paramètres!$A$1:$I$89,5,0)</f>
        <v>281.52165599999995</v>
      </c>
      <c r="P67" s="13">
        <f t="shared" si="33"/>
        <v>67.288477033117942</v>
      </c>
      <c r="Q67" s="20">
        <f t="shared" ref="Q67:Q98" si="54">(O67+P67)*0.475*44/12</f>
        <v>607.51098169934687</v>
      </c>
      <c r="R67" s="59">
        <f t="shared" ref="R67:R130" si="55">Q67+(I67+J67)*44/12</f>
        <v>870.93533385890169</v>
      </c>
      <c r="S67" s="59">
        <f ca="1">AVERAGE(OFFSET($R$3,0,0,'Données projet'!$E$9+1,1))-AVERAGE(OFFSET($H$3,0,0,'Données projet'!$E$9+1,1))</f>
        <v>456.35333554128226</v>
      </c>
      <c r="T67" s="59">
        <f t="shared" si="34"/>
        <v>296.4517290984877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18.043734532460839</v>
      </c>
      <c r="AA67" s="21">
        <f>EXP(-LN(2)/25)*AA66+(1-EXP(-LN(2)/25))/(LN(2)/25)*Calculateur!V67*Calculateur!X67*VLOOKUP('Données projet'!$B$9,Paramètres!$A$1:$I$89,3,0)*0.475*44/12</f>
        <v>24.344717452849562</v>
      </c>
      <c r="AB67" s="21">
        <f>EXP(-LN(2)/2)*AB66+(1-EXP(-LN(2)/2))/(LN(2)/2)*V67*Y67*VLOOKUP('Données projet'!$B$9,Paramètres!$A$1:$I$89,3,0)*0.475*44/12</f>
        <v>0.58995818308745307</v>
      </c>
      <c r="AC67" s="22">
        <f t="shared" si="3"/>
        <v>42.978410168397851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300.79999999999984</v>
      </c>
      <c r="AJ67" s="13">
        <f>AI67*VLOOKUP('Données projet'!$B$10,Paramètres!$A$1:$I$89,3,0)*VLOOKUP('Données projet'!$B$10,Paramètres!$A$1:$I$89,5,0)</f>
        <v>262.7788799999999</v>
      </c>
      <c r="AK67" s="13">
        <f t="shared" si="35"/>
        <v>63.314355869176104</v>
      </c>
      <c r="AL67" s="20">
        <f t="shared" si="4"/>
        <v>567.94571913881475</v>
      </c>
      <c r="AM67" s="59">
        <f t="shared" si="5"/>
        <v>831.37007129836957</v>
      </c>
      <c r="AN67" s="59">
        <f ca="1">AVERAGE(OFFSET($AM$3,0,0,'Données projet'!$E$10+1,1))-AVERAGE(OFFSET($H$3,0,0,'Données projet'!$E$10+1,1))</f>
        <v>408.246209980743</v>
      </c>
      <c r="AO67" s="59">
        <f t="shared" si="36"/>
        <v>394.10236303013903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14.908959496190185</v>
      </c>
      <c r="AV67" s="21">
        <f>EXP(-LN(2)/25)*AV66+(1-EXP(-LN(2)/25))/(LN(2)/25)*Calculateur!AQ67*Calculateur!AS67*VLOOKUP('Données projet'!$B$10,Paramètres!$A$1:$I$89,3,0)*0.475*44/12</f>
        <v>16.540783572771147</v>
      </c>
      <c r="AW67" s="21">
        <f>EXP(-LN(2)/2)*AW66+(1-EXP(-LN(2)/2))/(LN(2)/2)*AQ67*AT67*VLOOKUP('Données projet'!$B$10,Paramètres!$A$1:$I$89,3,0)*0.475*44/12</f>
        <v>0.90649983861470718</v>
      </c>
      <c r="AX67" s="21">
        <f t="shared" si="6"/>
        <v>32.356242907576039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6.8933333333333326</v>
      </c>
      <c r="BD67" s="12">
        <f>IF('Données projet'!$A$88&gt;35,BD66+BC67-BL66,IF(A67&lt;'Données projet'!$A$88,$BA$205^A67,IF(A67='Données projet'!$A$88,'Données projet'!$B$88,BD66+BC67-BL66)))</f>
        <v>156.32333333333327</v>
      </c>
      <c r="BE67" s="13">
        <f>BD67*VLOOKUP('Données projet'!$B$11,Paramètres!$A$1:$I$89,3,0)*VLOOKUP('Données projet'!$B$11,Paramètres!$A$1:$I$89,5,0)</f>
        <v>158.51185999999996</v>
      </c>
      <c r="BF67" s="13">
        <f t="shared" si="37"/>
        <v>40.506678950569523</v>
      </c>
      <c r="BG67" s="20">
        <f t="shared" si="7"/>
        <v>346.6239553389085</v>
      </c>
      <c r="BH67" s="59">
        <f t="shared" si="8"/>
        <v>610.04830749846326</v>
      </c>
      <c r="BI67" s="59">
        <f ca="1">AVERAGE(OFFSET($BH$3,0,0,'Données projet'!$E$11+1,1))-AVERAGE(OFFSET($H$3,0,0,'Données projet'!$E$11+1,1))</f>
        <v>580.02848304986492</v>
      </c>
      <c r="BJ67" s="59">
        <f t="shared" si="38"/>
        <v>281.68891895586728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25.050368566563826</v>
      </c>
      <c r="BR67" s="21">
        <f>EXP(-LN(2)/2)*BR66+(1-EXP(-LN(2)/2))/(LN(2)/2)*BL67*BO67*VLOOKUP('Données projet'!$B$11,Paramètres!$A$1:$I$89,3,0)*0.475*44/12</f>
        <v>3.4858686777518395</v>
      </c>
      <c r="BS67" s="22">
        <f t="shared" si="9"/>
        <v>28.536237244315664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8.6666666666666661</v>
      </c>
      <c r="BY67" s="12">
        <f>IF('Données projet'!$A$114&gt;35,BY66+BX67-CG66,IF(A67&lt;'Données projet'!$A$114,$BV$205^A67,IF(A67='Données projet'!$A$114,'Données projet'!$B$114,BY66+BX67-CG66)))</f>
        <v>284.66666666666663</v>
      </c>
      <c r="BZ67" s="13">
        <f>BY67*VLOOKUP('Données projet'!$B$12,Paramètres!$A$1:$I$89,3,0)*VLOOKUP('Données projet'!$B$12,Paramètres!$A$1:$I$89,5,0)</f>
        <v>222.04</v>
      </c>
      <c r="CA67" s="13">
        <f t="shared" si="39"/>
        <v>54.558031180803546</v>
      </c>
      <c r="CB67" s="20">
        <f t="shared" si="10"/>
        <v>481.74157097323285</v>
      </c>
      <c r="CC67" s="59">
        <f t="shared" si="11"/>
        <v>745.16592313278761</v>
      </c>
      <c r="CD67" s="59">
        <f ca="1">AVERAGE(OFFSET($CC$3,0,0,'Données projet'!$E$12+1,1))-AVERAGE(OFFSET($H$3,0,0,'Données projet'!$E$12+1,1))</f>
        <v>308.85018589589453</v>
      </c>
      <c r="CE67" s="59">
        <f t="shared" si="40"/>
        <v>302.59481222418219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13.906061917082365</v>
      </c>
      <c r="CL67" s="21">
        <f>EXP(-LN(2)/25)*CL66+(1-EXP(-LN(2)/25))/(LN(2)/25)*Calculateur!CG67*Calculateur!CI67*VLOOKUP('Données projet'!$B$12,Paramètres!$A$1:$I$89,3,0)*0.475*44/12</f>
        <v>13.843379074322851</v>
      </c>
      <c r="CM67" s="21">
        <f>EXP(-LN(2)/2)*CM66+(1-EXP(-LN(2)/2))/(LN(2)/2)*CG67*CJ67*VLOOKUP('Données projet'!$B$12,Paramètres!$A$1:$I$89,3,0)*0.475*44/12</f>
        <v>2.3082239117438257</v>
      </c>
      <c r="CN67" s="22">
        <f t="shared" si="12"/>
        <v>30.057664903149043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5.1282051282051331</v>
      </c>
      <c r="CT67" s="12">
        <f>IF('Données projet'!$A$140&gt;35,CT66+CS67-DB66,IF(A67&lt;'Données projet'!$A$140,$CQ$205^A67,IF(A67='Données projet'!$A$140,'Données projet'!$B$140,CT66+CS67-DB66)))</f>
        <v>235.25641025641031</v>
      </c>
      <c r="CU67" s="17">
        <f>CT67*VLOOKUP('Données projet'!$B$13,Paramètres!$A$1:$I$89,3,0)*VLOOKUP('Données projet'!$B$13,Paramètres!$A$1:$I$89,5,0)</f>
        <v>157.81000000000003</v>
      </c>
      <c r="CV67" s="13">
        <f t="shared" si="41"/>
        <v>40.348159279539125</v>
      </c>
      <c r="CW67" s="20">
        <f t="shared" si="13"/>
        <v>345.12546074519736</v>
      </c>
      <c r="CX67" s="59">
        <f t="shared" si="14"/>
        <v>608.54981290475212</v>
      </c>
      <c r="CY67" s="59">
        <f ca="1">AVERAGE(OFFSET($CX$3,0,0,'Données projet'!$E$13+1,1))-AVERAGE(OFFSET($H$3,0,0,'Données projet'!$E$13+1,1))</f>
        <v>335.73816489539837</v>
      </c>
      <c r="CZ67" s="59">
        <f t="shared" si="42"/>
        <v>254.09787950201044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1.3383073163065276</v>
      </c>
      <c r="DG67" s="21">
        <f>EXP(-LN(2)/25)*DG66+(1-EXP(-LN(2)/25))/(LN(2)/25)*Calculateur!DB67*Calculateur!DD67*VLOOKUP('Données projet'!$B$13,Paramètres!$A$1:$I$89,3,0)*0.475*44/12</f>
        <v>7.9533287972530893</v>
      </c>
      <c r="DH67" s="21">
        <f>EXP(-LN(2)/2)*DH66+(1-EXP(-LN(2)/2))/(LN(2)/2)*DB67*DE67*VLOOKUP('Données projet'!$B$13,Paramètres!$A$1:$I$89,3,0)*0.475*44/12</f>
        <v>0.71506283372067336</v>
      </c>
      <c r="DI67" s="22">
        <f t="shared" si="15"/>
        <v>10.00669894728029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9.7525000000000013</v>
      </c>
      <c r="DO67" s="12">
        <f>IF('Données projet'!$A$166&gt;35,DO66+DN67-DW66,IF(A67&lt;'Données projet'!$A$166,$DL$205^A67,IF(A67='Données projet'!$A$166,'Données projet'!$B$166,DO66+DN67-DW66)))</f>
        <v>209.80249999999998</v>
      </c>
      <c r="DP67" s="17">
        <f>DO67*VLOOKUP('Données projet'!$B$14,Paramètres!$A$1:$I$89,3,0)*VLOOKUP('Données projet'!$B$14,Paramètres!$A$1:$I$89,5,0)</f>
        <v>202.92097799999996</v>
      </c>
      <c r="DQ67" s="13">
        <f t="shared" si="43"/>
        <v>50.385567569351608</v>
      </c>
      <c r="DR67" s="20">
        <f t="shared" si="16"/>
        <v>441.17556686662056</v>
      </c>
      <c r="DS67" s="59">
        <f t="shared" si="17"/>
        <v>704.59991902617526</v>
      </c>
      <c r="DT67" s="59">
        <f ca="1">AVERAGE(OFFSET($DS$3,0,0,'Données projet'!$E$14+1,1))-AVERAGE(OFFSET($H$3,0,0,'Données projet'!$E$14+1,1))</f>
        <v>493.03862850474161</v>
      </c>
      <c r="DU67" s="59">
        <f t="shared" si="44"/>
        <v>312.51819065560528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11.727051662692659</v>
      </c>
      <c r="EB67" s="21">
        <f>EXP(-LN(2)/25)*EB66+(1-EXP(-LN(2)/25))/(LN(2)/25)*Calculateur!DW67*Calculateur!DY67*VLOOKUP('Données projet'!$B$14,Paramètres!$A$1:$I$89,3,0)*0.475*44/12</f>
        <v>28.02002129978948</v>
      </c>
      <c r="EC67" s="21">
        <f>EXP(-LN(2)/2)*EC66+(1-EXP(-LN(2)/2))/(LN(2)/2)*DW67*DZ67*VLOOKUP('Données projet'!$B$14,Paramètres!$A$1:$I$89,3,0)*0.475*44/12</f>
        <v>0.7499037905141992</v>
      </c>
      <c r="ED67" s="22">
        <f t="shared" si="18"/>
        <v>40.496976752996332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9.7525000000000013</v>
      </c>
      <c r="EJ67" s="12">
        <f>IF('Données projet'!$A$192&gt;35,EJ66+EI67-ER66,IF(A67&lt;'Données projet'!$A$192,$EG$205^A67,IF(A67='Données projet'!$A$192,'Données projet'!$B$192,EJ66+EI67-ER66)))</f>
        <v>209.80249999999998</v>
      </c>
      <c r="EK67" s="17">
        <f>EJ67*VLOOKUP('Données projet'!$B$15,Paramètres!$A$1:$I$89,3,0)*VLOOKUP('Données projet'!$B$15,Paramètres!$A$1:$I$89,5,0)</f>
        <v>225.83141099999995</v>
      </c>
      <c r="EL67" s="13">
        <f t="shared" si="45"/>
        <v>55.380377881825432</v>
      </c>
      <c r="EM67" s="20">
        <f t="shared" si="19"/>
        <v>489.77719896917915</v>
      </c>
      <c r="EN67" s="59">
        <f t="shared" si="20"/>
        <v>753.20155112873385</v>
      </c>
      <c r="EO67" s="59">
        <f ca="1">AVERAGE(OFFSET($EN$3,0,0,'Données projet'!$E$15+1,1))-AVERAGE(OFFSET($H$3,0,0,'Données projet'!$E$15+1,1))</f>
        <v>539.72194201710272</v>
      </c>
      <c r="EP67" s="59">
        <f t="shared" si="46"/>
        <v>340.76505385159362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13.05107362460957</v>
      </c>
      <c r="EW67" s="21">
        <f>EXP(-LN(2)/25)*EW66+(1-EXP(-LN(2)/25))/(LN(2)/25)*Calculateur!ER67*Calculateur!ET67*VLOOKUP('Données projet'!$B$15,Paramètres!$A$1:$I$89,3,0)*0.475*44/12</f>
        <v>31.183572091701215</v>
      </c>
      <c r="EX67" s="21">
        <f>EXP(-LN(2)/2)*EX66+(1-EXP(-LN(2)/2))/(LN(2)/2)*ER67*EU67*VLOOKUP('Données projet'!$B$15,Paramètres!$A$1:$I$89,3,0)*0.475*44/12</f>
        <v>0.83457034750773806</v>
      </c>
      <c r="EY67" s="22">
        <f t="shared" si="21"/>
        <v>45.069216063818523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5.2</v>
      </c>
      <c r="FE67" s="12">
        <f>IF('Données projet'!$A$218&gt;35,FE66+FD67-FM66,IF(A67&lt;'Données projet'!$A$218,$FB$205^A67,IF(A67='Données projet'!$A$218,'Données projet'!$B$218,FE66+FD67-FM66)))</f>
        <v>300.79999999999984</v>
      </c>
      <c r="FF67" s="17">
        <f>FE67*VLOOKUP('Données projet'!$B$16,Paramètres!$A$1:$I$89,3,0)*VLOOKUP('Données projet'!$B$16,Paramètres!$A$1:$I$89,5,0)</f>
        <v>244.00895999999986</v>
      </c>
      <c r="FG67" s="13">
        <f t="shared" si="47"/>
        <v>59.301244377330541</v>
      </c>
      <c r="FH67" s="20">
        <f t="shared" si="22"/>
        <v>528.26527262385048</v>
      </c>
      <c r="FI67" s="59">
        <f t="shared" si="23"/>
        <v>791.68962478340518</v>
      </c>
      <c r="FJ67" s="59">
        <f ca="1">AVERAGE(OFFSET($FI$3,0,0,'Données projet'!$E$16+1,1))-AVERAGE(OFFSET($H$3,0,0,'Données projet'!$E$16+1,1))</f>
        <v>383.47860767209028</v>
      </c>
      <c r="FK67" s="59">
        <f t="shared" si="48"/>
        <v>370.49129421395628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13.844033817890883</v>
      </c>
      <c r="FR67" s="21">
        <f>EXP(-LN(2)/25)*FR66+(1-EXP(-LN(2)/25))/(LN(2)/25)*Calculateur!FM67*Calculateur!FO67*VLOOKUP('Données projet'!$B$16,Paramètres!$A$1:$I$89,3,0)*0.475*44/12</f>
        <v>15.359299031858935</v>
      </c>
      <c r="FS67" s="21">
        <f>EXP(-LN(2)/2)*FS66+(1-EXP(-LN(2)/2))/(LN(2)/2)*FM67*FP67*VLOOKUP('Données projet'!$B$16,Paramètres!$A$1:$I$89,3,0)*0.475*44/12</f>
        <v>0.84174985014222758</v>
      </c>
      <c r="FT67" s="22">
        <f t="shared" si="24"/>
        <v>30.045082699892049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6.8933333333333326</v>
      </c>
      <c r="FZ67" s="12">
        <f>IF('Données projet'!$A$244&gt;35,FZ66+FY67-GH66,IF(A67&lt;'Données projet'!$A$244,$FW$205^A67,IF(A67='Données projet'!$A$244,'Données projet'!$B$244,FZ66+FY67-GH66)))</f>
        <v>156.32333333333327</v>
      </c>
      <c r="GA67" s="17">
        <f>FZ67*VLOOKUP('Données projet'!$B$17,Paramètres!$A$1:$I$89,3,0)*VLOOKUP('Données projet'!$B$17,Paramètres!$A$1:$I$89,5,0)</f>
        <v>178.02101199999993</v>
      </c>
      <c r="GB67" s="13">
        <f t="shared" si="49"/>
        <v>44.881614909300232</v>
      </c>
      <c r="GC67" s="20">
        <f t="shared" si="25"/>
        <v>388.22207520036437</v>
      </c>
      <c r="GD67" s="59">
        <f t="shared" si="26"/>
        <v>651.64642735991913</v>
      </c>
      <c r="GE67" s="59">
        <f ca="1">AVERAGE(OFFSET($GD$3,0,0,'Données projet'!$E$17+1,1))-AVERAGE(OFFSET($H$3,0,0,'Données projet'!$E$17+1,1))</f>
        <v>640.05156427113661</v>
      </c>
      <c r="GF67" s="59">
        <f t="shared" si="50"/>
        <v>308.77220155372902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28.133490851679372</v>
      </c>
      <c r="GN67" s="21">
        <f>EXP(-LN(2)/2)*GN66+(1-EXP(-LN(2)/2))/(LN(2)/2)*GH67*GK67*VLOOKUP('Données projet'!$B$17,Paramètres!$A$1:$I$89,3,0)*0.475*44/12</f>
        <v>3.9148986688597578</v>
      </c>
      <c r="GO67" s="21">
        <f t="shared" si="27"/>
        <v>32.048389520539132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348.03</v>
      </c>
      <c r="L68" s="12">
        <f>VLOOKUP(A68,'Données projet'!$A$35:$I$55,9,0)</f>
        <v>13.839999999999995</v>
      </c>
      <c r="M68" s="12">
        <f t="array" ref="M68">INDEX(L:L,MIN(IF(ISNUMBER(L68:L264),ROW(L68:L264),"")))</f>
        <v>13.839999999999995</v>
      </c>
      <c r="N68" s="13">
        <f>IF('Données projet'!$A$36&gt;35,N67+M68-V67,IF(A68&lt;'Données projet'!$A$36,$K$205^A68,IF(A68='Données projet'!$A$36,'Données projet'!$B$36,N67+M68-V67)))</f>
        <v>348.02999999999986</v>
      </c>
      <c r="O68" s="13">
        <f>N68*VLOOKUP('Données projet'!$B$9,Paramètres!$A$1:$I$89,3,0)*VLOOKUP('Données projet'!$B$9,Paramètres!$A$1:$I$89,5,0)</f>
        <v>293.1804719999999</v>
      </c>
      <c r="P68" s="13">
        <f t="shared" si="33"/>
        <v>69.744920880406227</v>
      </c>
      <c r="Q68" s="20">
        <f t="shared" si="54"/>
        <v>632.09505926670727</v>
      </c>
      <c r="R68" s="59">
        <f t="shared" si="55"/>
        <v>896.03826538316252</v>
      </c>
      <c r="S68" s="59">
        <f ca="1">AVERAGE(OFFSET($R$3,0,0,'Données projet'!$E$9+1,1))-AVERAGE(OFFSET($H$3,0,0,'Données projet'!$E$9+1,1))</f>
        <v>456.35333554128226</v>
      </c>
      <c r="T68" s="59">
        <f t="shared" si="34"/>
        <v>296.4517290984877</v>
      </c>
      <c r="U68" s="15">
        <f>IF(ISNA(VLOOKUP(A68,'Données projet'!$A$35:$I$55,3,0)),0,VLOOKUP(A68,'Données projet'!$A$35:$I$55,3,0))</f>
        <v>6</v>
      </c>
      <c r="V68" s="15">
        <f>IF(ISNA(VLOOKUP(A68,'Données projet'!$A$35:$I$55,4,0)),0,VLOOKUP(A68,'Données projet'!$A$35:$I$55,4,0))</f>
        <v>56.629999999999995</v>
      </c>
      <c r="W68" s="16">
        <f>IF(ISNA(VLOOKUP(A68,'Données projet'!$A$35:$I$55,5,0)),0%,VLOOKUP(A68,'Données projet'!$A$35:$I$55,5,0)*VLOOKUP('Données projet'!$B$9,Paramètres!$A$1:$I$89,7,0))</f>
        <v>0.15049999999999999</v>
      </c>
      <c r="X68" s="16">
        <f>IF(ISNA(VLOOKUP(A68,'Données projet'!$A$35:$I$55,6,0)),0%,VLOOKUP(A68,'Données projet'!$A$35:$I$55,6,0)*VLOOKUP('Données projet'!$B$9,Paramètres!$A$1:$I$89,7,0))</f>
        <v>8.6000000000000007E-2</v>
      </c>
      <c r="Y68" s="16">
        <f>IF(ISNA(VLOOKUP(A68,'Données projet'!$A$35:$I$55,7,0)),0%,VLOOKUP(A68,'Données projet'!$A$35:$I$55,7,0))</f>
        <v>0.1</v>
      </c>
      <c r="Z68" s="21">
        <f>EXP(-LN(2)/35)*Z67+(1-EXP(-LN(2)/35))/(LN(2)/35)*V68*W68*VLOOKUP('Données projet'!$B$9,Paramètres!$A$1:$I$89,3,0)*0.475*44/12</f>
        <v>25.626764438250071</v>
      </c>
      <c r="AA68" s="21">
        <f>EXP(-LN(2)/25)*AA67+(1-EXP(-LN(2)/25))/(LN(2)/25)*Calculateur!V68*Calculateur!X68*VLOOKUP('Données projet'!$B$9,Paramètres!$A$1:$I$89,3,0)*0.475*44/12</f>
        <v>28.196499077310712</v>
      </c>
      <c r="AB68" s="21">
        <f>EXP(-LN(2)/2)*AB67+(1-EXP(-LN(2)/2))/(LN(2)/2)*V68*Y68*VLOOKUP('Données projet'!$B$9,Paramètres!$A$1:$I$89,3,0)*0.475*44/12</f>
        <v>4.9182691455040812</v>
      </c>
      <c r="AC68" s="22">
        <f t="shared" ref="AC68:AC131" si="57">SUM(Z68:AB68)</f>
        <v>58.741532661064866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306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305.99999999999983</v>
      </c>
      <c r="AJ68" s="13">
        <f>AI68*VLOOKUP('Données projet'!$B$10,Paramètres!$A$1:$I$89,3,0)*VLOOKUP('Données projet'!$B$10,Paramètres!$A$1:$I$89,5,0)</f>
        <v>267.32159999999988</v>
      </c>
      <c r="AK68" s="13">
        <f t="shared" si="35"/>
        <v>64.280515815446321</v>
      </c>
      <c r="AL68" s="20">
        <f t="shared" ref="AL68:AL131" si="58">(AJ68+AK68)*0.475*44/12</f>
        <v>577.54035171190208</v>
      </c>
      <c r="AM68" s="59">
        <f t="shared" ref="AM68:AM131" si="59">AL68+(AD68+AE68)*44/12</f>
        <v>841.48355782835733</v>
      </c>
      <c r="AN68" s="59">
        <f ca="1">AVERAGE(OFFSET($AM$3,0,0,'Données projet'!$E$10+1,1))-AVERAGE(OFFSET($H$3,0,0,'Données projet'!$E$10+1,1))</f>
        <v>408.246209980743</v>
      </c>
      <c r="AO68" s="59">
        <f t="shared" si="36"/>
        <v>394.10236303013903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13</v>
      </c>
      <c r="AR68" s="16">
        <f>IF(ISNA(VLOOKUP(A68,'Données projet'!$A$61:$I$81,5,0)),0%,VLOOKUP(A68,'Données projet'!$A$61:$I$81,5,0)*VLOOKUP('Données projet'!$B$10,Paramètres!$A$1:$I$89,7,0))</f>
        <v>0.13250000000000001</v>
      </c>
      <c r="AS68" s="16">
        <f>IF(ISNA(VLOOKUP(A68,'Données projet'!$A$61:$I$81,6,0)),0%,VLOOKUP(A68,'Données projet'!$A$61:$I$81,6,0)*VLOOKUP('Données projet'!$B$10,Paramètres!$A$1:$I$89,7,0))</f>
        <v>0.13250000000000001</v>
      </c>
      <c r="AT68" s="16">
        <f>IF(ISNA(VLOOKUP(A68,'Données projet'!$A$61:$I$81,7,0)),0%,VLOOKUP(A68,'Données projet'!$A$61:$I$81,7,0))</f>
        <v>0.25</v>
      </c>
      <c r="AU68" s="21">
        <f>EXP(-LN(2)/35)*AU67+(1-EXP(-LN(2)/35))/(LN(2)/35)*AQ68*AR68*VLOOKUP('Données projet'!$B$10,Paramètres!$A$1:$I$89,3,0)*0.475*44/12</f>
        <v>16.280089189869351</v>
      </c>
      <c r="AV68" s="21">
        <f>EXP(-LN(2)/25)*AV67+(1-EXP(-LN(2)/25))/(LN(2)/25)*Calculateur!AQ68*Calculateur!AS68*VLOOKUP('Données projet'!$B$10,Paramètres!$A$1:$I$89,3,0)*0.475*44/12</f>
        <v>17.745410496516513</v>
      </c>
      <c r="AW68" s="21">
        <f>EXP(-LN(2)/2)*AW67+(1-EXP(-LN(2)/2))/(LN(2)/2)*AQ68*AT68*VLOOKUP('Données projet'!$B$10,Paramètres!$A$1:$I$89,3,0)*0.475*44/12</f>
        <v>3.3198537989765886</v>
      </c>
      <c r="AX68" s="21">
        <f t="shared" ref="AX68:AX131" si="60">SUM(AU68:AW68)</f>
        <v>37.345353485362452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6.8933333333333326</v>
      </c>
      <c r="BD68" s="12">
        <f>IF('Données projet'!$A$88&gt;35,BD67+BC68-BL67,IF(A68&lt;'Données projet'!$A$88,$BA$205^A68,IF(A68='Données projet'!$A$88,'Données projet'!$B$88,BD67+BC68-BL67)))</f>
        <v>163.21666666666661</v>
      </c>
      <c r="BE68" s="13">
        <f>BD68*VLOOKUP('Données projet'!$B$11,Paramètres!$A$1:$I$89,3,0)*VLOOKUP('Données projet'!$B$11,Paramètres!$A$1:$I$89,5,0)</f>
        <v>165.50169999999997</v>
      </c>
      <c r="BF68" s="13">
        <f t="shared" si="37"/>
        <v>42.080987019777631</v>
      </c>
      <c r="BG68" s="20">
        <f t="shared" ref="BG68:BG131" si="61">(BE68+BF68)*0.475*44/12</f>
        <v>361.539846559446</v>
      </c>
      <c r="BH68" s="59">
        <f t="shared" ref="BH68:BH131" si="62">BG68+(AY68+AZ68)*44/12</f>
        <v>625.48305267590126</v>
      </c>
      <c r="BI68" s="59">
        <f ca="1">AVERAGE(OFFSET($BH$3,0,0,'Données projet'!$E$11+1,1))-AVERAGE(OFFSET($H$3,0,0,'Données projet'!$E$11+1,1))</f>
        <v>580.02848304986492</v>
      </c>
      <c r="BJ68" s="59">
        <f t="shared" si="38"/>
        <v>281.68891895586728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24.365364920769508</v>
      </c>
      <c r="BR68" s="21">
        <f>EXP(-LN(2)/2)*BR67+(1-EXP(-LN(2)/2))/(LN(2)/2)*BL68*BO68*VLOOKUP('Données projet'!$B$11,Paramètres!$A$1:$I$89,3,0)*0.475*44/12</f>
        <v>2.4648813803641101</v>
      </c>
      <c r="BS68" s="22">
        <f t="shared" ref="BS68:BS131" si="63">SUM(BP68:BR68)</f>
        <v>26.83024630113362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8.6666666666666661</v>
      </c>
      <c r="BY68" s="12">
        <f>IF('Données projet'!$A$114&gt;35,BY67+BX68-CG67,IF(A68&lt;'Données projet'!$A$114,$BV$205^A68,IF(A68='Données projet'!$A$114,'Données projet'!$B$114,BY67+BX68-CG67)))</f>
        <v>293.33333333333331</v>
      </c>
      <c r="BZ68" s="13">
        <f>BY68*VLOOKUP('Données projet'!$B$12,Paramètres!$A$1:$I$89,3,0)*VLOOKUP('Données projet'!$B$12,Paramètres!$A$1:$I$89,5,0)</f>
        <v>228.79999999999998</v>
      </c>
      <c r="CA68" s="13">
        <f t="shared" si="39"/>
        <v>56.023134533701196</v>
      </c>
      <c r="CB68" s="20">
        <f t="shared" ref="CB68:CB131" si="64">(BZ68+CA68)*0.475*44/12</f>
        <v>496.06695931286293</v>
      </c>
      <c r="CC68" s="59">
        <f t="shared" ref="CC68:CC131" si="65">CB68+(BT68+BU68)*44/12</f>
        <v>760.01016542931814</v>
      </c>
      <c r="CD68" s="59">
        <f ca="1">AVERAGE(OFFSET($CC$3,0,0,'Données projet'!$E$12+1,1))-AVERAGE(OFFSET($H$3,0,0,'Données projet'!$E$12+1,1))</f>
        <v>308.85018589589453</v>
      </c>
      <c r="CE68" s="59">
        <f t="shared" si="40"/>
        <v>302.59481222418219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13.633372524748635</v>
      </c>
      <c r="CL68" s="21">
        <f>EXP(-LN(2)/25)*CL67+(1-EXP(-LN(2)/25))/(LN(2)/25)*Calculateur!CG68*Calculateur!CI68*VLOOKUP('Données projet'!$B$12,Paramètres!$A$1:$I$89,3,0)*0.475*44/12</f>
        <v>13.464831145543826</v>
      </c>
      <c r="CM68" s="21">
        <f>EXP(-LN(2)/2)*CM67+(1-EXP(-LN(2)/2))/(LN(2)/2)*CG68*CJ68*VLOOKUP('Données projet'!$B$12,Paramètres!$A$1:$I$89,3,0)*0.475*44/12</f>
        <v>1.6321607804909983</v>
      </c>
      <c r="CN68" s="22">
        <f t="shared" ref="CN68:CN131" si="66">SUM(CK68:CM68)</f>
        <v>28.730364450783462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240.38461538461539</v>
      </c>
      <c r="CR68" s="12">
        <f>VLOOKUP(A68,'Données projet'!$A$139:$I$159,9,0)</f>
        <v>5.1282051282051331</v>
      </c>
      <c r="CS68" s="12">
        <f t="array" ref="CS68">INDEX(CR:CR,MIN(IF(ISNUMBER(CR68:CR264),ROW(CR68:CR264),"")))</f>
        <v>5.1282051282051331</v>
      </c>
      <c r="CT68" s="12">
        <f>IF('Données projet'!$A$140&gt;35,CT67+CS68-DB67,IF(A68&lt;'Données projet'!$A$140,$CQ$205^A68,IF(A68='Données projet'!$A$140,'Données projet'!$B$140,CT67+CS68-DB67)))</f>
        <v>240.38461538461544</v>
      </c>
      <c r="CU68" s="17">
        <f>CT68*VLOOKUP('Données projet'!$B$13,Paramètres!$A$1:$I$89,3,0)*VLOOKUP('Données projet'!$B$13,Paramètres!$A$1:$I$89,5,0)</f>
        <v>161.25000000000006</v>
      </c>
      <c r="CV68" s="13">
        <f t="shared" si="41"/>
        <v>41.124328571986439</v>
      </c>
      <c r="CW68" s="20">
        <f t="shared" ref="CW68:CW131" si="67">(CU68+CV68)*0.475*44/12</f>
        <v>352.46862226287652</v>
      </c>
      <c r="CX68" s="59">
        <f t="shared" ref="CX68:CX131" si="68">CW68+(CO68+CP68)*44/12</f>
        <v>616.41182837933172</v>
      </c>
      <c r="CY68" s="59">
        <f ca="1">AVERAGE(OFFSET($CX$3,0,0,'Données projet'!$E$13+1,1))-AVERAGE(OFFSET($H$3,0,0,'Données projet'!$E$13+1,1))</f>
        <v>335.73816489539837</v>
      </c>
      <c r="CZ68" s="59">
        <f t="shared" si="42"/>
        <v>254.09787950201044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13.461538461538462</v>
      </c>
      <c r="DC68" s="16">
        <f>IF(ISNA(VLOOKUP(A68,'Données projet'!$A$139:$I$159,5,0)),0%,VLOOKUP(A68,'Données projet'!$A$139:$I$159,5,0)*VLOOKUP('Données projet'!$B$13,Paramètres!$A$1:$I$89,7,0))</f>
        <v>0.13250000000000001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0.25</v>
      </c>
      <c r="DF68" s="21">
        <f>EXP(-LN(2)/35)*DF67+(1-EXP(-LN(2)/35))/(LN(2)/35)*DB68*DC68*VLOOKUP('Données projet'!$B$13,Paramètres!$A$1:$I$89,3,0)*0.475*44/12</f>
        <v>2.6347315984723045</v>
      </c>
      <c r="DG68" s="21">
        <f>EXP(-LN(2)/25)*DG67+(1-EXP(-LN(2)/25))/(LN(2)/25)*Calculateur!DB68*Calculateur!DD68*VLOOKUP('Données projet'!$B$13,Paramètres!$A$1:$I$89,3,0)*0.475*44/12</f>
        <v>9.0533044287945632</v>
      </c>
      <c r="DH68" s="21">
        <f>EXP(-LN(2)/2)*DH67+(1-EXP(-LN(2)/2))/(LN(2)/2)*DB68*DE68*VLOOKUP('Données projet'!$B$13,Paramètres!$A$1:$I$89,3,0)*0.475*44/12</f>
        <v>2.6356377884200208</v>
      </c>
      <c r="DI68" s="22">
        <f t="shared" ref="DI68:DI131" si="69">SUM(DF68:DH68)</f>
        <v>14.323673815686888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9.7525000000000013</v>
      </c>
      <c r="DO68" s="12">
        <f>IF('Données projet'!$A$166&gt;35,DO67+DN68-DW67,IF(A68&lt;'Données projet'!$A$166,$DL$205^A68,IF(A68='Données projet'!$A$166,'Données projet'!$B$166,DO67+DN68-DW67)))</f>
        <v>219.55499999999998</v>
      </c>
      <c r="DP68" s="17">
        <f>DO68*VLOOKUP('Données projet'!$B$14,Paramètres!$A$1:$I$89,3,0)*VLOOKUP('Données projet'!$B$14,Paramètres!$A$1:$I$89,5,0)</f>
        <v>212.35359600000001</v>
      </c>
      <c r="DQ68" s="13">
        <f t="shared" si="43"/>
        <v>52.449571549070306</v>
      </c>
      <c r="DR68" s="20">
        <f t="shared" ref="DR68:DR131" si="70">(DP68+DQ68)*0.475*44/12</f>
        <v>461.19885014796415</v>
      </c>
      <c r="DS68" s="59">
        <f t="shared" ref="DS68:DS131" si="71">DR68+(DJ68+DK68)*44/12</f>
        <v>725.14205626441935</v>
      </c>
      <c r="DT68" s="59">
        <f ca="1">AVERAGE(OFFSET($DS$3,0,0,'Données projet'!$E$14+1,1))-AVERAGE(OFFSET($H$3,0,0,'Données projet'!$E$14+1,1))</f>
        <v>493.03862850474161</v>
      </c>
      <c r="DU68" s="59">
        <f t="shared" si="44"/>
        <v>312.51819065560528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11.497091332382491</v>
      </c>
      <c r="EB68" s="21">
        <f>EXP(-LN(2)/25)*EB67+(1-EXP(-LN(2)/25))/(LN(2)/25)*Calculateur!DW68*Calculateur!DY68*VLOOKUP('Données projet'!$B$14,Paramètres!$A$1:$I$89,3,0)*0.475*44/12</f>
        <v>27.253812343837858</v>
      </c>
      <c r="EC68" s="21">
        <f>EXP(-LN(2)/2)*EC67+(1-EXP(-LN(2)/2))/(LN(2)/2)*DW68*DZ68*VLOOKUP('Données projet'!$B$14,Paramètres!$A$1:$I$89,3,0)*0.475*44/12</f>
        <v>0.53026205551008643</v>
      </c>
      <c r="ED68" s="22">
        <f t="shared" ref="ED68:ED131" si="72">SUM(EA68:EC68)</f>
        <v>39.281165731730432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9.7525000000000013</v>
      </c>
      <c r="EJ68" s="12">
        <f>IF('Données projet'!$A$192&gt;35,EJ67+EI68-ER67,IF(A68&lt;'Données projet'!$A$192,$EG$205^A68,IF(A68='Données projet'!$A$192,'Données projet'!$B$192,EJ67+EI68-ER67)))</f>
        <v>219.55499999999998</v>
      </c>
      <c r="EK68" s="17">
        <f>EJ68*VLOOKUP('Données projet'!$B$15,Paramètres!$A$1:$I$89,3,0)*VLOOKUP('Données projet'!$B$15,Paramètres!$A$1:$I$89,5,0)</f>
        <v>236.32900199999997</v>
      </c>
      <c r="EL68" s="13">
        <f t="shared" si="45"/>
        <v>57.648990221838943</v>
      </c>
      <c r="EM68" s="20">
        <f t="shared" ref="EM68:EM131" si="73">(EK68+EL68)*0.475*44/12</f>
        <v>512.01166978636945</v>
      </c>
      <c r="EN68" s="59">
        <f t="shared" ref="EN68:EN131" si="74">EM68+(EE68+EF68)*44/12</f>
        <v>775.9548759028246</v>
      </c>
      <c r="EO68" s="59">
        <f ca="1">AVERAGE(OFFSET($EN$3,0,0,'Données projet'!$E$15+1,1))-AVERAGE(OFFSET($H$3,0,0,'Données projet'!$E$15+1,1))</f>
        <v>539.72194201710272</v>
      </c>
      <c r="EP68" s="59">
        <f t="shared" si="46"/>
        <v>340.76505385159362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12.795150031199865</v>
      </c>
      <c r="EW68" s="21">
        <f>EXP(-LN(2)/25)*EW67+(1-EXP(-LN(2)/25))/(LN(2)/25)*Calculateur!ER68*Calculateur!ET68*VLOOKUP('Données projet'!$B$15,Paramètres!$A$1:$I$89,3,0)*0.475*44/12</f>
        <v>30.33085567298086</v>
      </c>
      <c r="EX68" s="21">
        <f>EXP(-LN(2)/2)*EX67+(1-EXP(-LN(2)/2))/(LN(2)/2)*ER68*EU68*VLOOKUP('Données projet'!$B$15,Paramètres!$A$1:$I$89,3,0)*0.475*44/12</f>
        <v>0.59013035209993514</v>
      </c>
      <c r="EY68" s="22">
        <f t="shared" ref="EY68:EY131" si="75">SUM(EV68:EX68)</f>
        <v>43.716136056280661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306</v>
      </c>
      <c r="FC68" s="12">
        <f>VLOOKUP(A68,'Données projet'!$A$217:$I$237,9,0)</f>
        <v>5.2</v>
      </c>
      <c r="FD68" s="12">
        <f t="array" ref="FD68">INDEX(FC:FC,MIN(IF(ISNUMBER(FC68:FC264),ROW(FC68:FC264),"")))</f>
        <v>5.2</v>
      </c>
      <c r="FE68" s="12">
        <f>IF('Données projet'!$A$218&gt;35,FE67+FD68-FM67,IF(A68&lt;'Données projet'!$A$218,$FB$205^A68,IF(A68='Données projet'!$A$218,'Données projet'!$B$218,FE67+FD68-FM67)))</f>
        <v>305.99999999999983</v>
      </c>
      <c r="FF68" s="17">
        <f>FE68*VLOOKUP('Données projet'!$B$16,Paramètres!$A$1:$I$89,3,0)*VLOOKUP('Données projet'!$B$16,Paramètres!$A$1:$I$89,5,0)</f>
        <v>248.22719999999987</v>
      </c>
      <c r="FG68" s="13">
        <f t="shared" si="47"/>
        <v>60.20616532763993</v>
      </c>
      <c r="FH68" s="20">
        <f t="shared" ref="FH68:FH131" si="76">(FF68+FG68)*0.475*44/12</f>
        <v>537.18811127897254</v>
      </c>
      <c r="FI68" s="59">
        <f t="shared" ref="FI68:FI131" si="77">FH68+(EZ68+FA68)*44/12</f>
        <v>801.13131739542769</v>
      </c>
      <c r="FJ68" s="59">
        <f ca="1">AVERAGE(OFFSET($FI$3,0,0,'Données projet'!$E$16+1,1))-AVERAGE(OFFSET($H$3,0,0,'Données projet'!$E$16+1,1))</f>
        <v>383.47860767209028</v>
      </c>
      <c r="FK68" s="59">
        <f t="shared" si="48"/>
        <v>370.49129421395628</v>
      </c>
      <c r="FL68" s="15">
        <f>IF(ISNA(VLOOKUP(A68,'Données projet'!$A$217:$I$237,3,0)),0,VLOOKUP(A68,'Données projet'!$A$217:$I$237,3,0))</f>
        <v>11</v>
      </c>
      <c r="FM68" s="15">
        <f>IF(ISNA(VLOOKUP(A68,'Données projet'!$A$217:$I$237,4,0)),0,VLOOKUP(A68,'Données projet'!$A$217:$I$237,4,0))</f>
        <v>13</v>
      </c>
      <c r="FN68" s="16">
        <f>IF(ISNA(VLOOKUP(A68,'Données projet'!$A$217:$I$237,5,0)),0%,VLOOKUP(A68,'Données projet'!$A$217:$I$237,5,0)*VLOOKUP('Données projet'!$B$16,Paramètres!$A$1:$I$89,7,0))</f>
        <v>0.13250000000000001</v>
      </c>
      <c r="FO68" s="16">
        <f>IF(ISNA(VLOOKUP(A68,'Données projet'!$A$217:$I$237,6,0)),0%,VLOOKUP(A68,'Données projet'!$A$217:$I$237,6,0)*VLOOKUP('Données projet'!$B$16,Paramètres!$A$1:$I$89,7,0))</f>
        <v>0.13250000000000001</v>
      </c>
      <c r="FP68" s="16">
        <f>IF(ISNA(VLOOKUP(A68,'Données projet'!$A$217:$I$237,7,0)),0%,VLOOKUP(A68,'Données projet'!$A$217:$I$237,7,0))</f>
        <v>0.25</v>
      </c>
      <c r="FQ68" s="21">
        <f>EXP(-LN(2)/35)*FQ67+(1-EXP(-LN(2)/35))/(LN(2)/35)*FM68*FN68*VLOOKUP('Données projet'!$B$16,Paramètres!$A$1:$I$89,3,0)*0.475*44/12</f>
        <v>15.11722567630725</v>
      </c>
      <c r="FR68" s="21">
        <f>EXP(-LN(2)/25)*FR67+(1-EXP(-LN(2)/25))/(LN(2)/25)*Calculateur!FM68*Calculateur!FO68*VLOOKUP('Données projet'!$B$16,Paramètres!$A$1:$I$89,3,0)*0.475*44/12</f>
        <v>16.477881175336773</v>
      </c>
      <c r="FS68" s="21">
        <f>EXP(-LN(2)/2)*FS67+(1-EXP(-LN(2)/2))/(LN(2)/2)*FM68*FP68*VLOOKUP('Données projet'!$B$16,Paramètres!$A$1:$I$89,3,0)*0.475*44/12</f>
        <v>3.0827213847639743</v>
      </c>
      <c r="FT68" s="22">
        <f t="shared" ref="FT68:FT131" si="78">SUM(FQ68:FS68)</f>
        <v>34.677828236407997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6.8933333333333326</v>
      </c>
      <c r="FZ68" s="12">
        <f>IF('Données projet'!$A$244&gt;35,FZ67+FY68-GH67,IF(A68&lt;'Données projet'!$A$244,$FW$205^A68,IF(A68='Données projet'!$A$244,'Données projet'!$B$244,FZ67+FY68-GH67)))</f>
        <v>163.21666666666661</v>
      </c>
      <c r="GA68" s="17">
        <f>FZ68*VLOOKUP('Données projet'!$B$17,Paramètres!$A$1:$I$89,3,0)*VLOOKUP('Données projet'!$B$17,Paramètres!$A$1:$I$89,5,0)</f>
        <v>185.87113999999994</v>
      </c>
      <c r="GB68" s="13">
        <f t="shared" si="49"/>
        <v>46.625956591742927</v>
      </c>
      <c r="GC68" s="20">
        <f t="shared" ref="GC68:GC131" si="79">(GA68+GB68)*0.475*44/12</f>
        <v>404.93244323061884</v>
      </c>
      <c r="GD68" s="59">
        <f t="shared" ref="GD68:GD131" si="80">GC68+(FU68+FV68)*44/12</f>
        <v>668.87564934707405</v>
      </c>
      <c r="GE68" s="59">
        <f ca="1">AVERAGE(OFFSET($GD$3,0,0,'Données projet'!$E$17+1,1))-AVERAGE(OFFSET($H$3,0,0,'Données projet'!$E$17+1,1))</f>
        <v>640.05156427113661</v>
      </c>
      <c r="GF68" s="59">
        <f t="shared" si="50"/>
        <v>308.77220155372902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27.364179064864217</v>
      </c>
      <c r="GN68" s="21">
        <f>EXP(-LN(2)/2)*GN67+(1-EXP(-LN(2)/2))/(LN(2)/2)*GH68*GK68*VLOOKUP('Données projet'!$B$17,Paramètres!$A$1:$I$89,3,0)*0.475*44/12</f>
        <v>2.7682513964089233</v>
      </c>
      <c r="GO68" s="21">
        <f t="shared" ref="GO68:GO131" si="81">SUM(GL68:GN68)</f>
        <v>30.132430461273142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13.374285714285715</v>
      </c>
      <c r="N69" s="13">
        <f>IF('Données projet'!$A$36&gt;35,N68+M69-V68,IF(A69&lt;'Données projet'!$A$36,$K$205^A69,IF(A69='Données projet'!$A$36,'Données projet'!$B$36,N68+M69-V68)))</f>
        <v>304.77428571428555</v>
      </c>
      <c r="O69" s="13">
        <f>N69*VLOOKUP('Données projet'!$B$9,Paramètres!$A$1:$I$89,3,0)*VLOOKUP('Données projet'!$B$9,Paramètres!$A$1:$I$89,5,0)</f>
        <v>256.74185828571416</v>
      </c>
      <c r="P69" s="13">
        <f t="shared" ref="P69:P132" si="87">EXP(-1.0587+0.8836*LN(O69)+0.284)</f>
        <v>62.027364911831434</v>
      </c>
      <c r="Q69" s="20">
        <f t="shared" si="54"/>
        <v>555.18973040239189</v>
      </c>
      <c r="R69" s="59">
        <f t="shared" si="55"/>
        <v>819.64278951957897</v>
      </c>
      <c r="S69" s="59">
        <f ca="1">AVERAGE(OFFSET($R$3,0,0,'Données projet'!$E$9+1,1))-AVERAGE(OFFSET($H$3,0,0,'Données projet'!$E$9+1,1))</f>
        <v>456.35333554128226</v>
      </c>
      <c r="T69" s="59">
        <f t="shared" ref="T69:T132" si="88">$T$3</f>
        <v>296.4517290984877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25.124239218398884</v>
      </c>
      <c r="AA69" s="21">
        <f>EXP(-LN(2)/25)*AA68+(1-EXP(-LN(2)/25))/(LN(2)/25)*Calculateur!V69*Calculateur!X69*VLOOKUP('Données projet'!$B$9,Paramètres!$A$1:$I$89,3,0)*0.475*44/12</f>
        <v>27.425464327252207</v>
      </c>
      <c r="AB69" s="21">
        <f>EXP(-LN(2)/2)*AB68+(1-EXP(-LN(2)/2))/(LN(2)/2)*V69*Y69*VLOOKUP('Données projet'!$B$9,Paramètres!$A$1:$I$89,3,0)*0.475*44/12</f>
        <v>3.4777414644865026</v>
      </c>
      <c r="AC69" s="22">
        <f t="shared" si="57"/>
        <v>56.027445010137598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4.5999999999999996</v>
      </c>
      <c r="AI69" s="13">
        <f>IF('Données projet'!$A$62&gt;35,AI68+AH69-AQ68,IF(A69&lt;'Données projet'!$A$62,$AF$205^A69,IF(A69='Données projet'!$A$62,'Données projet'!$B$62,AI68+AH69-AQ68)))</f>
        <v>297.59999999999985</v>
      </c>
      <c r="AJ69" s="13">
        <f>AI69*VLOOKUP('Données projet'!$B$10,Paramètres!$A$1:$I$89,3,0)*VLOOKUP('Données projet'!$B$10,Paramètres!$A$1:$I$89,5,0)</f>
        <v>259.98335999999989</v>
      </c>
      <c r="AK69" s="13">
        <f t="shared" ref="AK69:AK132" si="89">EXP(-1.0587+0.8836*LN(AJ69)+0.284)</f>
        <v>62.718830967388186</v>
      </c>
      <c r="AL69" s="20">
        <f t="shared" si="58"/>
        <v>562.03964926820083</v>
      </c>
      <c r="AM69" s="59">
        <f t="shared" si="59"/>
        <v>826.49270838538791</v>
      </c>
      <c r="AN69" s="59">
        <f ca="1">AVERAGE(OFFSET($AM$3,0,0,'Données projet'!$E$10+1,1))-AVERAGE(OFFSET($H$3,0,0,'Données projet'!$E$10+1,1))</f>
        <v>408.246209980743</v>
      </c>
      <c r="AO69" s="59">
        <f t="shared" ref="AO69:AO132" si="90">$AO$3</f>
        <v>394.10236303013903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15.960846570729926</v>
      </c>
      <c r="AV69" s="21">
        <f>EXP(-LN(2)/25)*AV68+(1-EXP(-LN(2)/25))/(LN(2)/25)*Calculateur!AQ69*Calculateur!AS69*VLOOKUP('Données projet'!$B$10,Paramètres!$A$1:$I$89,3,0)*0.475*44/12</f>
        <v>17.260161313298688</v>
      </c>
      <c r="AW69" s="21">
        <f>EXP(-LN(2)/2)*AW68+(1-EXP(-LN(2)/2))/(LN(2)/2)*AQ69*AT69*VLOOKUP('Données projet'!$B$10,Paramètres!$A$1:$I$89,3,0)*0.475*44/12</f>
        <v>2.3474911338042674</v>
      </c>
      <c r="AX69" s="21">
        <f t="shared" si="60"/>
        <v>35.568499017832885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6.8933333333333326</v>
      </c>
      <c r="BD69" s="12">
        <f>IF('Données projet'!$A$88&gt;35,BD68+BC69-BL68,IF(A69&lt;'Données projet'!$A$88,$BA$205^A69,IF(A69='Données projet'!$A$88,'Données projet'!$B$88,BD68+BC69-BL68)))</f>
        <v>170.10999999999996</v>
      </c>
      <c r="BE69" s="13">
        <f>BD69*VLOOKUP('Données projet'!$B$11,Paramètres!$A$1:$I$89,3,0)*VLOOKUP('Données projet'!$B$11,Paramètres!$A$1:$I$89,5,0)</f>
        <v>172.49153999999996</v>
      </c>
      <c r="BF69" s="13">
        <f t="shared" ref="BF69:BF132" si="91">EXP(-1.0587+0.8836*LN(BE69)+0.284)</f>
        <v>43.64757225366332</v>
      </c>
      <c r="BG69" s="20">
        <f t="shared" si="61"/>
        <v>376.44228717513016</v>
      </c>
      <c r="BH69" s="59">
        <f t="shared" si="62"/>
        <v>640.8953462923173</v>
      </c>
      <c r="BI69" s="59">
        <f ca="1">AVERAGE(OFFSET($BH$3,0,0,'Données projet'!$E$11+1,1))-AVERAGE(OFFSET($H$3,0,0,'Données projet'!$E$11+1,1))</f>
        <v>580.02848304986492</v>
      </c>
      <c r="BJ69" s="59">
        <f t="shared" ref="BJ69:BJ132" si="92">$BJ$3</f>
        <v>281.68891895586728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23.699092735692211</v>
      </c>
      <c r="BR69" s="21">
        <f>EXP(-LN(2)/2)*BR68+(1-EXP(-LN(2)/2))/(LN(2)/2)*BL69*BO69*VLOOKUP('Données projet'!$B$11,Paramètres!$A$1:$I$89,3,0)*0.475*44/12</f>
        <v>1.7429343388759202</v>
      </c>
      <c r="BS69" s="22">
        <f t="shared" si="63"/>
        <v>25.442027074568131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8.6666666666666661</v>
      </c>
      <c r="BY69" s="12">
        <f>IF('Données projet'!$A$114&gt;35,BY68+BX69-CG68,IF(A69&lt;'Données projet'!$A$114,$BV$205^A69,IF(A69='Données projet'!$A$114,'Données projet'!$B$114,BY68+BX69-CG68)))</f>
        <v>302</v>
      </c>
      <c r="BZ69" s="13">
        <f>BY69*VLOOKUP('Données projet'!$B$12,Paramètres!$A$1:$I$89,3,0)*VLOOKUP('Données projet'!$B$12,Paramètres!$A$1:$I$89,5,0)</f>
        <v>235.56</v>
      </c>
      <c r="CA69" s="13">
        <f t="shared" ref="CA69:CA132" si="93">EXP(-1.0587+0.8836*LN(BZ69)+0.284)</f>
        <v>57.483207143847721</v>
      </c>
      <c r="CB69" s="20">
        <f t="shared" si="64"/>
        <v>510.38358577553481</v>
      </c>
      <c r="CC69" s="59">
        <f t="shared" si="65"/>
        <v>774.83664489272189</v>
      </c>
      <c r="CD69" s="59">
        <f ca="1">AVERAGE(OFFSET($CC$3,0,0,'Données projet'!$E$12+1,1))-AVERAGE(OFFSET($H$3,0,0,'Données projet'!$E$12+1,1))</f>
        <v>308.85018589589453</v>
      </c>
      <c r="CE69" s="59">
        <f t="shared" ref="CE69:CE132" si="94">$CE$3</f>
        <v>302.59481222418219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13.366030405074463</v>
      </c>
      <c r="CL69" s="21">
        <f>EXP(-LN(2)/25)*CL68+(1-EXP(-LN(2)/25))/(LN(2)/25)*Calculateur!CG69*Calculateur!CI69*VLOOKUP('Données projet'!$B$12,Paramètres!$A$1:$I$89,3,0)*0.475*44/12</f>
        <v>13.096634629784235</v>
      </c>
      <c r="CM69" s="21">
        <f>EXP(-LN(2)/2)*CM68+(1-EXP(-LN(2)/2))/(LN(2)/2)*CG69*CJ69*VLOOKUP('Données projet'!$B$12,Paramètres!$A$1:$I$89,3,0)*0.475*44/12</f>
        <v>1.1541119558719131</v>
      </c>
      <c r="CN69" s="22">
        <f t="shared" si="66"/>
        <v>27.61677699073061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4.9999999999999947</v>
      </c>
      <c r="CT69" s="12">
        <f>IF('Données projet'!$A$140&gt;35,CT68+CS69-DB68,IF(A69&lt;'Données projet'!$A$140,$CQ$205^A69,IF(A69='Données projet'!$A$140,'Données projet'!$B$140,CT68+CS69-DB68)))</f>
        <v>231.92307692307699</v>
      </c>
      <c r="CU69" s="17">
        <f>CT69*VLOOKUP('Données projet'!$B$13,Paramètres!$A$1:$I$89,3,0)*VLOOKUP('Données projet'!$B$13,Paramètres!$A$1:$I$89,5,0)</f>
        <v>155.57400000000004</v>
      </c>
      <c r="CV69" s="13">
        <f t="shared" ref="CV69:CV132" si="95">EXP(-1.0587+0.8836*LN(CU69)+0.284)</f>
        <v>39.842594745761524</v>
      </c>
      <c r="CW69" s="20">
        <f t="shared" si="67"/>
        <v>340.35056918220135</v>
      </c>
      <c r="CX69" s="59">
        <f t="shared" si="68"/>
        <v>604.80362829938849</v>
      </c>
      <c r="CY69" s="59">
        <f ca="1">AVERAGE(OFFSET($CX$3,0,0,'Données projet'!$E$13+1,1))-AVERAGE(OFFSET($H$3,0,0,'Données projet'!$E$13+1,1))</f>
        <v>335.73816489539837</v>
      </c>
      <c r="CZ69" s="59">
        <f t="shared" ref="CZ69:CZ132" si="96">$CZ$3</f>
        <v>254.09787950201044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2.5830661188538571</v>
      </c>
      <c r="DG69" s="21">
        <f>EXP(-LN(2)/25)*DG68+(1-EXP(-LN(2)/25))/(LN(2)/25)*Calculateur!DB69*Calculateur!DD69*VLOOKUP('Données projet'!$B$13,Paramètres!$A$1:$I$89,3,0)*0.475*44/12</f>
        <v>8.805741343096587</v>
      </c>
      <c r="DH69" s="21">
        <f>EXP(-LN(2)/2)*DH68+(1-EXP(-LN(2)/2))/(LN(2)/2)*DB69*DE69*VLOOKUP('Données projet'!$B$13,Paramètres!$A$1:$I$89,3,0)*0.475*44/12</f>
        <v>1.8636773529433119</v>
      </c>
      <c r="DI69" s="22">
        <f t="shared" si="69"/>
        <v>13.252484814893755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9.7525000000000013</v>
      </c>
      <c r="DO69" s="12">
        <f>IF('Données projet'!$A$166&gt;35,DO68+DN69-DW68,IF(A69&lt;'Données projet'!$A$166,$DL$205^A69,IF(A69='Données projet'!$A$166,'Données projet'!$B$166,DO68+DN69-DW68)))</f>
        <v>229.30749999999998</v>
      </c>
      <c r="DP69" s="17">
        <f>DO69*VLOOKUP('Données projet'!$B$14,Paramètres!$A$1:$I$89,3,0)*VLOOKUP('Données projet'!$B$14,Paramètres!$A$1:$I$89,5,0)</f>
        <v>221.786214</v>
      </c>
      <c r="DQ69" s="13">
        <f t="shared" ref="DQ69:DQ132" si="97">EXP(-1.0587+0.8836*LN(DP69)+0.284)</f>
        <v>54.502927610346603</v>
      </c>
      <c r="DR69" s="20">
        <f t="shared" si="70"/>
        <v>481.203588304687</v>
      </c>
      <c r="DS69" s="59">
        <f t="shared" si="71"/>
        <v>745.65664742187414</v>
      </c>
      <c r="DT69" s="59">
        <f ca="1">AVERAGE(OFFSET($DS$3,0,0,'Données projet'!$E$14+1,1))-AVERAGE(OFFSET($H$3,0,0,'Données projet'!$E$14+1,1))</f>
        <v>493.03862850474161</v>
      </c>
      <c r="DU69" s="59">
        <f t="shared" ref="DU69:DU132" si="98">$DU$3</f>
        <v>312.51819065560528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11.271640383887753</v>
      </c>
      <c r="EB69" s="21">
        <f>EXP(-LN(2)/25)*EB68+(1-EXP(-LN(2)/25))/(LN(2)/25)*Calculateur!DW69*Calculateur!DY69*VLOOKUP('Données projet'!$B$14,Paramètres!$A$1:$I$89,3,0)*0.475*44/12</f>
        <v>26.508555412079911</v>
      </c>
      <c r="EC69" s="21">
        <f>EXP(-LN(2)/2)*EC68+(1-EXP(-LN(2)/2))/(LN(2)/2)*DW69*DZ69*VLOOKUP('Données projet'!$B$14,Paramètres!$A$1:$I$89,3,0)*0.475*44/12</f>
        <v>0.3749518952570996</v>
      </c>
      <c r="ED69" s="22">
        <f t="shared" si="72"/>
        <v>38.155147691224762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9.7525000000000013</v>
      </c>
      <c r="EJ69" s="12">
        <f>IF('Données projet'!$A$192&gt;35,EJ68+EI69-ER68,IF(A69&lt;'Données projet'!$A$192,$EG$205^A69,IF(A69='Données projet'!$A$192,'Données projet'!$B$192,EJ68+EI69-ER68)))</f>
        <v>229.30749999999998</v>
      </c>
      <c r="EK69" s="17">
        <f>EJ69*VLOOKUP('Données projet'!$B$15,Paramètres!$A$1:$I$89,3,0)*VLOOKUP('Données projet'!$B$15,Paramètres!$A$1:$I$89,5,0)</f>
        <v>246.82659299999995</v>
      </c>
      <c r="EL69" s="13">
        <f t="shared" ref="EL69:EL132" si="99">EXP(-1.0587+0.8836*LN(EK69)+0.284)</f>
        <v>59.905899096446639</v>
      </c>
      <c r="EM69" s="20">
        <f t="shared" si="73"/>
        <v>534.22575706797772</v>
      </c>
      <c r="EN69" s="59">
        <f t="shared" si="74"/>
        <v>798.67881618516481</v>
      </c>
      <c r="EO69" s="59">
        <f ca="1">AVERAGE(OFFSET($EN$3,0,0,'Données projet'!$E$15+1,1))-AVERAGE(OFFSET($H$3,0,0,'Données projet'!$E$15+1,1))</f>
        <v>539.72194201710272</v>
      </c>
      <c r="EP69" s="59">
        <f t="shared" ref="EP69:EP132" si="100">$EP$3</f>
        <v>340.76505385159362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12.544244943358947</v>
      </c>
      <c r="EW69" s="21">
        <f>EXP(-LN(2)/25)*EW68+(1-EXP(-LN(2)/25))/(LN(2)/25)*Calculateur!ER69*Calculateur!ET69*VLOOKUP('Données projet'!$B$15,Paramètres!$A$1:$I$89,3,0)*0.475*44/12</f>
        <v>29.50145682957282</v>
      </c>
      <c r="EX69" s="21">
        <f>EXP(-LN(2)/2)*EX68+(1-EXP(-LN(2)/2))/(LN(2)/2)*ER69*EU69*VLOOKUP('Données projet'!$B$15,Paramètres!$A$1:$I$89,3,0)*0.475*44/12</f>
        <v>0.41728517375386909</v>
      </c>
      <c r="EY69" s="22">
        <f t="shared" si="75"/>
        <v>42.462986946685632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4.5999999999999996</v>
      </c>
      <c r="FE69" s="12">
        <f>IF('Données projet'!$A$218&gt;35,FE68+FD69-FM68,IF(A69&lt;'Données projet'!$A$218,$FB$205^A69,IF(A69='Données projet'!$A$218,'Données projet'!$B$218,FE68+FD69-FM68)))</f>
        <v>297.59999999999985</v>
      </c>
      <c r="FF69" s="17">
        <f>FE69*VLOOKUP('Données projet'!$B$16,Paramètres!$A$1:$I$89,3,0)*VLOOKUP('Données projet'!$B$16,Paramètres!$A$1:$I$89,5,0)</f>
        <v>241.41311999999988</v>
      </c>
      <c r="FG69" s="13">
        <f t="shared" ref="FG69:FG132" si="101">EXP(-1.0587+0.8836*LN(FF69)+0.284)</f>
        <v>58.743466172863258</v>
      </c>
      <c r="FH69" s="20">
        <f t="shared" si="76"/>
        <v>522.77272091773659</v>
      </c>
      <c r="FI69" s="59">
        <f t="shared" si="77"/>
        <v>787.22578003492367</v>
      </c>
      <c r="FJ69" s="59">
        <f ca="1">AVERAGE(OFFSET($FI$3,0,0,'Données projet'!$E$16+1,1))-AVERAGE(OFFSET($H$3,0,0,'Données projet'!$E$16+1,1))</f>
        <v>383.47860767209028</v>
      </c>
      <c r="FK69" s="59">
        <f t="shared" ref="FK69:FK132" si="102">$FK$3</f>
        <v>370.49129421395628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14.820786101392068</v>
      </c>
      <c r="FR69" s="21">
        <f>EXP(-LN(2)/25)*FR68+(1-EXP(-LN(2)/25))/(LN(2)/25)*Calculateur!FM69*Calculateur!FO69*VLOOKUP('Données projet'!$B$16,Paramètres!$A$1:$I$89,3,0)*0.475*44/12</f>
        <v>16.027292648063078</v>
      </c>
      <c r="FS69" s="21">
        <f>EXP(-LN(2)/2)*FS68+(1-EXP(-LN(2)/2))/(LN(2)/2)*FM69*FP69*VLOOKUP('Données projet'!$B$16,Paramètres!$A$1:$I$89,3,0)*0.475*44/12</f>
        <v>2.1798131956753903</v>
      </c>
      <c r="FT69" s="22">
        <f t="shared" si="78"/>
        <v>33.027891945130541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6.8933333333333326</v>
      </c>
      <c r="FZ69" s="12">
        <f>IF('Données projet'!$A$244&gt;35,FZ68+FY69-GH68,IF(A69&lt;'Données projet'!$A$244,$FW$205^A69,IF(A69='Données projet'!$A$244,'Données projet'!$B$244,FZ68+FY69-GH68)))</f>
        <v>170.10999999999996</v>
      </c>
      <c r="GA69" s="17">
        <f>FZ69*VLOOKUP('Données projet'!$B$17,Paramètres!$A$1:$I$89,3,0)*VLOOKUP('Données projet'!$B$17,Paramètres!$A$1:$I$89,5,0)</f>
        <v>193.72126799999995</v>
      </c>
      <c r="GB69" s="13">
        <f t="shared" ref="GB69:GB132" si="103">EXP(-1.0587+0.8836*LN(GA69)+0.284)</f>
        <v>48.361741331727508</v>
      </c>
      <c r="GC69" s="20">
        <f t="shared" si="79"/>
        <v>421.6279079194253</v>
      </c>
      <c r="GD69" s="59">
        <f t="shared" si="80"/>
        <v>686.08096703661238</v>
      </c>
      <c r="GE69" s="59">
        <f ca="1">AVERAGE(OFFSET($GD$3,0,0,'Données projet'!$E$17+1,1))-AVERAGE(OFFSET($H$3,0,0,'Données projet'!$E$17+1,1))</f>
        <v>640.05156427113661</v>
      </c>
      <c r="GF69" s="59">
        <f t="shared" ref="GF69:GF132" si="104">$GF$3</f>
        <v>308.77220155372902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26.61590414931587</v>
      </c>
      <c r="GN69" s="21">
        <f>EXP(-LN(2)/2)*GN68+(1-EXP(-LN(2)/2))/(LN(2)/2)*GH69*GK69*VLOOKUP('Données projet'!$B$17,Paramètres!$A$1:$I$89,3,0)*0.475*44/12</f>
        <v>1.9574493344298793</v>
      </c>
      <c r="GO69" s="21">
        <f t="shared" si="81"/>
        <v>28.573353483745748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13.374285714285715</v>
      </c>
      <c r="N70" s="13">
        <f>IF('Données projet'!$A$36&gt;35,N69+M70-V69,IF(A70&lt;'Données projet'!$A$36,$K$205^A70,IF(A70='Données projet'!$A$36,'Données projet'!$B$36,N69+M70-V69)))</f>
        <v>318.14857142857124</v>
      </c>
      <c r="O70" s="13">
        <f>N70*VLOOKUP('Données projet'!$B$9,Paramètres!$A$1:$I$89,3,0)*VLOOKUP('Données projet'!$B$9,Paramètres!$A$1:$I$89,5,0)</f>
        <v>268.00835657142841</v>
      </c>
      <c r="P70" s="13">
        <f t="shared" si="87"/>
        <v>64.426410327143714</v>
      </c>
      <c r="Q70" s="20">
        <f t="shared" si="54"/>
        <v>578.99055234834634</v>
      </c>
      <c r="R70" s="59">
        <f t="shared" si="55"/>
        <v>843.94461965656319</v>
      </c>
      <c r="S70" s="59">
        <f ca="1">AVERAGE(OFFSET($R$3,0,0,'Données projet'!$E$9+1,1))-AVERAGE(OFFSET($H$3,0,0,'Données projet'!$E$9+1,1))</f>
        <v>456.35333554128226</v>
      </c>
      <c r="T70" s="59">
        <f t="shared" si="88"/>
        <v>296.4517290984877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24.631568211598857</v>
      </c>
      <c r="AA70" s="21">
        <f>EXP(-LN(2)/25)*AA69+(1-EXP(-LN(2)/25))/(LN(2)/25)*Calculateur!V70*Calculateur!X70*VLOOKUP('Données projet'!$B$9,Paramètres!$A$1:$I$89,3,0)*0.475*44/12</f>
        <v>26.67551356298101</v>
      </c>
      <c r="AB70" s="21">
        <f>EXP(-LN(2)/2)*AB69+(1-EXP(-LN(2)/2))/(LN(2)/2)*V70*Y70*VLOOKUP('Données projet'!$B$9,Paramètres!$A$1:$I$89,3,0)*0.475*44/12</f>
        <v>2.4591345727520411</v>
      </c>
      <c r="AC70" s="22">
        <f t="shared" si="57"/>
        <v>53.766216347331913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4.5999999999999996</v>
      </c>
      <c r="AI70" s="13">
        <f>IF('Données projet'!$A$62&gt;35,AI69+AH70-AQ69,IF(A70&lt;'Données projet'!$A$62,$AF$205^A70,IF(A70='Données projet'!$A$62,'Données projet'!$B$62,AI69+AH70-AQ69)))</f>
        <v>302.19999999999987</v>
      </c>
      <c r="AJ70" s="13">
        <f>AI70*VLOOKUP('Données projet'!$B$10,Paramètres!$A$1:$I$89,3,0)*VLOOKUP('Données projet'!$B$10,Paramètres!$A$1:$I$89,5,0)</f>
        <v>264.00191999999993</v>
      </c>
      <c r="AK70" s="13">
        <f t="shared" si="89"/>
        <v>63.574665748345318</v>
      </c>
      <c r="AL70" s="20">
        <f t="shared" si="58"/>
        <v>570.52922017836795</v>
      </c>
      <c r="AM70" s="59">
        <f t="shared" si="59"/>
        <v>835.48328748658491</v>
      </c>
      <c r="AN70" s="59">
        <f ca="1">AVERAGE(OFFSET($AM$3,0,0,'Données projet'!$E$10+1,1))-AVERAGE(OFFSET($H$3,0,0,'Données projet'!$E$10+1,1))</f>
        <v>408.246209980743</v>
      </c>
      <c r="AO70" s="59">
        <f t="shared" si="90"/>
        <v>394.10236303013903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15.647864104633053</v>
      </c>
      <c r="AV70" s="21">
        <f>EXP(-LN(2)/25)*AV69+(1-EXP(-LN(2)/25))/(LN(2)/25)*Calculateur!AQ70*Calculateur!AS70*VLOOKUP('Données projet'!$B$10,Paramètres!$A$1:$I$89,3,0)*0.475*44/12</f>
        <v>16.7881812945141</v>
      </c>
      <c r="AW70" s="21">
        <f>EXP(-LN(2)/2)*AW69+(1-EXP(-LN(2)/2))/(LN(2)/2)*AQ70*AT70*VLOOKUP('Données projet'!$B$10,Paramètres!$A$1:$I$89,3,0)*0.475*44/12</f>
        <v>1.6599268994882945</v>
      </c>
      <c r="AX70" s="21">
        <f t="shared" si="60"/>
        <v>34.095972298635452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6.8933333333333326</v>
      </c>
      <c r="BD70" s="12">
        <f>IF('Données projet'!$A$88&gt;35,BD69+BC70-BL69,IF(A70&lt;'Données projet'!$A$88,$BA$205^A70,IF(A70='Données projet'!$A$88,'Données projet'!$B$88,BD69+BC70-BL69)))</f>
        <v>177.0033333333333</v>
      </c>
      <c r="BE70" s="13">
        <f>BD70*VLOOKUP('Données projet'!$B$11,Paramètres!$A$1:$I$89,3,0)*VLOOKUP('Données projet'!$B$11,Paramètres!$A$1:$I$89,5,0)</f>
        <v>179.48137999999997</v>
      </c>
      <c r="BF70" s="13">
        <f t="shared" si="91"/>
        <v>45.20678340248292</v>
      </c>
      <c r="BG70" s="20">
        <f t="shared" si="61"/>
        <v>391.33188459265767</v>
      </c>
      <c r="BH70" s="59">
        <f t="shared" si="62"/>
        <v>656.28595190087458</v>
      </c>
      <c r="BI70" s="59">
        <f ca="1">AVERAGE(OFFSET($BH$3,0,0,'Données projet'!$E$11+1,1))-AVERAGE(OFFSET($H$3,0,0,'Données projet'!$E$11+1,1))</f>
        <v>580.02848304986492</v>
      </c>
      <c r="BJ70" s="59">
        <f t="shared" si="92"/>
        <v>281.68891895586728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23.051039798553585</v>
      </c>
      <c r="BR70" s="21">
        <f>EXP(-LN(2)/2)*BR69+(1-EXP(-LN(2)/2))/(LN(2)/2)*BL70*BO70*VLOOKUP('Données projet'!$B$11,Paramètres!$A$1:$I$89,3,0)*0.475*44/12</f>
        <v>1.2324406901820553</v>
      </c>
      <c r="BS70" s="22">
        <f t="shared" si="63"/>
        <v>24.283480488735641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8.6666666666666661</v>
      </c>
      <c r="BY70" s="12">
        <f>IF('Données projet'!$A$114&gt;35,BY69+BX70-CG69,IF(A70&lt;'Données projet'!$A$114,$BV$205^A70,IF(A70='Données projet'!$A$114,'Données projet'!$B$114,BY69+BX70-CG69)))</f>
        <v>310.66666666666669</v>
      </c>
      <c r="BZ70" s="13">
        <f>BY70*VLOOKUP('Données projet'!$B$12,Paramètres!$A$1:$I$89,3,0)*VLOOKUP('Données projet'!$B$12,Paramètres!$A$1:$I$89,5,0)</f>
        <v>242.32000000000002</v>
      </c>
      <c r="CA70" s="13">
        <f t="shared" si="93"/>
        <v>58.938409961900859</v>
      </c>
      <c r="CB70" s="20">
        <f t="shared" si="64"/>
        <v>524.69173068364398</v>
      </c>
      <c r="CC70" s="59">
        <f t="shared" si="65"/>
        <v>789.64579799186095</v>
      </c>
      <c r="CD70" s="59">
        <f ca="1">AVERAGE(OFFSET($CC$3,0,0,'Données projet'!$E$12+1,1))-AVERAGE(OFFSET($H$3,0,0,'Données projet'!$E$12+1,1))</f>
        <v>308.85018589589453</v>
      </c>
      <c r="CE70" s="59">
        <f t="shared" si="94"/>
        <v>302.59481222418219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13.10393070130451</v>
      </c>
      <c r="CL70" s="21">
        <f>EXP(-LN(2)/25)*CL69+(1-EXP(-LN(2)/25))/(LN(2)/25)*Calculateur!CG70*Calculateur!CI70*VLOOKUP('Données projet'!$B$12,Paramètres!$A$1:$I$89,3,0)*0.475*44/12</f>
        <v>12.738506467110703</v>
      </c>
      <c r="CM70" s="21">
        <f>EXP(-LN(2)/2)*CM69+(1-EXP(-LN(2)/2))/(LN(2)/2)*CG70*CJ70*VLOOKUP('Données projet'!$B$12,Paramètres!$A$1:$I$89,3,0)*0.475*44/12</f>
        <v>0.81608039024549928</v>
      </c>
      <c r="CN70" s="22">
        <f t="shared" si="66"/>
        <v>26.658517558660712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4.9999999999999947</v>
      </c>
      <c r="CT70" s="12">
        <f>IF('Données projet'!$A$140&gt;35,CT69+CS70-DB69,IF(A70&lt;'Données projet'!$A$140,$CQ$205^A70,IF(A70='Données projet'!$A$140,'Données projet'!$B$140,CT69+CS70-DB69)))</f>
        <v>236.92307692307699</v>
      </c>
      <c r="CU70" s="17">
        <f>CT70*VLOOKUP('Données projet'!$B$13,Paramètres!$A$1:$I$89,3,0)*VLOOKUP('Données projet'!$B$13,Paramètres!$A$1:$I$89,5,0)</f>
        <v>158.92800000000005</v>
      </c>
      <c r="CV70" s="13">
        <f t="shared" si="95"/>
        <v>40.60062829386689</v>
      </c>
      <c r="CW70" s="20">
        <f t="shared" si="67"/>
        <v>347.51236094515156</v>
      </c>
      <c r="CX70" s="59">
        <f t="shared" si="68"/>
        <v>612.46642825336846</v>
      </c>
      <c r="CY70" s="59">
        <f ca="1">AVERAGE(OFFSET($CX$3,0,0,'Données projet'!$E$13+1,1))-AVERAGE(OFFSET($H$3,0,0,'Données projet'!$E$13+1,1))</f>
        <v>335.73816489539837</v>
      </c>
      <c r="CZ70" s="59">
        <f t="shared" si="96"/>
        <v>254.09787950201044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2.5324137677778964</v>
      </c>
      <c r="DG70" s="21">
        <f>EXP(-LN(2)/25)*DG69+(1-EXP(-LN(2)/25))/(LN(2)/25)*Calculateur!DB70*Calculateur!DD70*VLOOKUP('Données projet'!$B$13,Paramètres!$A$1:$I$89,3,0)*0.475*44/12</f>
        <v>8.5649478829957992</v>
      </c>
      <c r="DH70" s="21">
        <f>EXP(-LN(2)/2)*DH69+(1-EXP(-LN(2)/2))/(LN(2)/2)*DB70*DE70*VLOOKUP('Données projet'!$B$13,Paramètres!$A$1:$I$89,3,0)*0.475*44/12</f>
        <v>1.3178188942100106</v>
      </c>
      <c r="DI70" s="22">
        <f t="shared" si="69"/>
        <v>12.415180544983706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>
        <f>VLOOKUP(A70,'Données projet'!$A$165:$I$185,2,0)</f>
        <v>239.06</v>
      </c>
      <c r="DM70" s="12">
        <f>VLOOKUP(A70,'Données projet'!$A$165:$I$185,9,0)</f>
        <v>9.7525000000000013</v>
      </c>
      <c r="DN70" s="12">
        <f t="array" ref="DN70">INDEX(DM:DM,MIN(IF(ISNUMBER(DM70:DM266),ROW(DM70:DM266),"")))</f>
        <v>9.7525000000000013</v>
      </c>
      <c r="DO70" s="12">
        <f>IF('Données projet'!$A$166&gt;35,DO69+DN70-DW69,IF(A70&lt;'Données projet'!$A$166,$DL$205^A70,IF(A70='Données projet'!$A$166,'Données projet'!$B$166,DO69+DN70-DW69)))</f>
        <v>239.05999999999997</v>
      </c>
      <c r="DP70" s="17">
        <f>DO70*VLOOKUP('Données projet'!$B$14,Paramètres!$A$1:$I$89,3,0)*VLOOKUP('Données projet'!$B$14,Paramètres!$A$1:$I$89,5,0)</f>
        <v>231.21883199999999</v>
      </c>
      <c r="DQ70" s="13">
        <f t="shared" si="97"/>
        <v>56.546140385340578</v>
      </c>
      <c r="DR70" s="20">
        <f t="shared" si="70"/>
        <v>501.19066023780152</v>
      </c>
      <c r="DS70" s="59">
        <f t="shared" si="71"/>
        <v>766.14472754601843</v>
      </c>
      <c r="DT70" s="59">
        <f ca="1">AVERAGE(OFFSET($DS$3,0,0,'Données projet'!$E$14+1,1))-AVERAGE(OFFSET($H$3,0,0,'Données projet'!$E$14+1,1))</f>
        <v>493.03862850474161</v>
      </c>
      <c r="DU70" s="59">
        <f t="shared" si="98"/>
        <v>312.51819065560528</v>
      </c>
      <c r="DV70" s="15">
        <f>IF(ISNA(VLOOKUP(A70,'Données projet'!$A$165:$I$185,3,0)),0,VLOOKUP(A70,'Données projet'!$A$165:$I$185,3,0))</f>
        <v>5</v>
      </c>
      <c r="DW70" s="15">
        <f>IF(ISNA(VLOOKUP(A70,'Données projet'!$A$165:$I$185,4,0)),0,VLOOKUP(A70,'Données projet'!$A$165:$I$185,4,0))</f>
        <v>42.550000000000011</v>
      </c>
      <c r="DX70" s="16">
        <f>IF(ISNA(VLOOKUP(A70,'Données projet'!$A$165:$I$185,5,0)),0%,VLOOKUP(A70,'Données projet'!$A$165:$I$185,5,0)*VLOOKUP('Données projet'!$B$14,Paramètres!$A$1:$I$89,7,0))</f>
        <v>0.15049999999999999</v>
      </c>
      <c r="DY70" s="16">
        <f>IF(ISNA(VLOOKUP(A70,'Données projet'!$A$165:$I$185,6,0)),0%,VLOOKUP(A70,'Données projet'!$A$165:$I$185,6,0)*VLOOKUP('Données projet'!$B$14,Paramètres!$A$1:$I$89,7,0))</f>
        <v>8.6000000000000007E-2</v>
      </c>
      <c r="DZ70" s="16">
        <f>IF(ISNA(VLOOKUP(A70,'Données projet'!$A$165:$I$185,7,0)),0%,VLOOKUP(A70,'Données projet'!$A$165:$I$185,7,0))</f>
        <v>0.1</v>
      </c>
      <c r="EA70" s="21">
        <f>EXP(-LN(2)/35)*EA69+(1-EXP(-LN(2)/35))/(LN(2)/35)*DW70*DX70*VLOOKUP('Données projet'!$B$14,Paramètres!$A$1:$I$89,3,0)*0.475*44/12</f>
        <v>17.897596749261165</v>
      </c>
      <c r="EB70" s="21">
        <f>EXP(-LN(2)/25)*EB69+(1-EXP(-LN(2)/25))/(LN(2)/25)*Calculateur!DW70*Calculateur!DY70*VLOOKUP('Données projet'!$B$14,Paramètres!$A$1:$I$89,3,0)*0.475*44/12</f>
        <v>29.680835949786978</v>
      </c>
      <c r="EC70" s="21">
        <f>EXP(-LN(2)/2)*EC69+(1-EXP(-LN(2)/2))/(LN(2)/2)*DW70*DZ70*VLOOKUP('Données projet'!$B$14,Paramètres!$A$1:$I$89,3,0)*0.475*44/12</f>
        <v>4.1481556590909854</v>
      </c>
      <c r="ED70" s="22">
        <f t="shared" si="72"/>
        <v>51.726588358139125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239.06</v>
      </c>
      <c r="EH70" s="12">
        <f>VLOOKUP(A70,'Données projet'!$A$191:$I$211,9,0)</f>
        <v>9.7525000000000013</v>
      </c>
      <c r="EI70" s="12">
        <f t="array" ref="EI70">INDEX(EH:EH,MIN(IF(ISNUMBER(EH70:EH266),ROW(EH70:EH266),"")))</f>
        <v>9.7525000000000013</v>
      </c>
      <c r="EJ70" s="12">
        <f>IF('Données projet'!$A$192&gt;35,EJ69+EI70-ER69,IF(A70&lt;'Données projet'!$A$192,$EG$205^A70,IF(A70='Données projet'!$A$192,'Données projet'!$B$192,EJ69+EI70-ER69)))</f>
        <v>239.05999999999997</v>
      </c>
      <c r="EK70" s="17">
        <f>EJ70*VLOOKUP('Données projet'!$B$15,Paramètres!$A$1:$I$89,3,0)*VLOOKUP('Données projet'!$B$15,Paramètres!$A$1:$I$89,5,0)</f>
        <v>257.324184</v>
      </c>
      <c r="EL70" s="13">
        <f t="shared" si="99"/>
        <v>62.151659162886212</v>
      </c>
      <c r="EM70" s="20">
        <f t="shared" si="73"/>
        <v>556.42042684202681</v>
      </c>
      <c r="EN70" s="59">
        <f t="shared" si="74"/>
        <v>821.37449415024366</v>
      </c>
      <c r="EO70" s="59">
        <f ca="1">AVERAGE(OFFSET($EN$3,0,0,'Données projet'!$E$15+1,1))-AVERAGE(OFFSET($H$3,0,0,'Données projet'!$E$15+1,1))</f>
        <v>539.72194201710272</v>
      </c>
      <c r="EP70" s="59">
        <f t="shared" si="100"/>
        <v>340.76505385159362</v>
      </c>
      <c r="EQ70" s="15">
        <f>IF(ISNA(VLOOKUP(A70,'Données projet'!$A$191:$I$211,3,0)),0,VLOOKUP(A70,'Données projet'!$A$191:$I$211,3,0))</f>
        <v>5</v>
      </c>
      <c r="ER70" s="15">
        <f>IF(ISNA(VLOOKUP(A70,'Données projet'!$A$191:$I$211,4,0)),0,VLOOKUP(A70,'Données projet'!$A$191:$I$211,4,0))</f>
        <v>42.550000000000011</v>
      </c>
      <c r="ES70" s="16">
        <f>IF(ISNA(VLOOKUP(A70,'Données projet'!$A$191:$I$211,5,0)),0%,VLOOKUP(A70,'Données projet'!$A$191:$I$211,5,0)*VLOOKUP('Données projet'!$B$15,Paramètres!$A$1:$I$89,7,0))</f>
        <v>0.15049999999999999</v>
      </c>
      <c r="ET70" s="16">
        <f>IF(ISNA(VLOOKUP(A70,'Données projet'!$A$191:$I$211,6,0)),0%,VLOOKUP(A70,'Données projet'!$A$191:$I$211,6,0)*VLOOKUP('Données projet'!$B$15,Paramètres!$A$1:$I$89,7,0))</f>
        <v>8.6000000000000007E-2</v>
      </c>
      <c r="EU70" s="16">
        <f>IF(ISNA(VLOOKUP(A70,'Données projet'!$A$191:$I$211,7,0)),0%,VLOOKUP(A70,'Données projet'!$A$191:$I$211,7,0))</f>
        <v>0.1</v>
      </c>
      <c r="EV70" s="21">
        <f>EXP(-LN(2)/35)*EV69+(1-EXP(-LN(2)/35))/(LN(2)/35)*ER70*ES70*VLOOKUP('Données projet'!$B$15,Paramètres!$A$1:$I$89,3,0)*0.475*44/12</f>
        <v>19.918293156435809</v>
      </c>
      <c r="EW70" s="21">
        <f>EXP(-LN(2)/25)*EW69+(1-EXP(-LN(2)/25))/(LN(2)/25)*Calculateur!ER70*Calculateur!ET70*VLOOKUP('Données projet'!$B$15,Paramètres!$A$1:$I$89,3,0)*0.475*44/12</f>
        <v>33.031898073150039</v>
      </c>
      <c r="EX70" s="21">
        <f>EXP(-LN(2)/2)*EX69+(1-EXP(-LN(2)/2))/(LN(2)/2)*ER70*EU70*VLOOKUP('Données projet'!$B$15,Paramètres!$A$1:$I$89,3,0)*0.475*44/12</f>
        <v>4.6164958141496442</v>
      </c>
      <c r="EY70" s="22">
        <f t="shared" si="75"/>
        <v>57.566687043735492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4.5999999999999996</v>
      </c>
      <c r="FE70" s="12">
        <f>IF('Données projet'!$A$218&gt;35,FE69+FD70-FM69,IF(A70&lt;'Données projet'!$A$218,$FB$205^A70,IF(A70='Données projet'!$A$218,'Données projet'!$B$218,FE69+FD70-FM69)))</f>
        <v>302.19999999999987</v>
      </c>
      <c r="FF70" s="17">
        <f>FE70*VLOOKUP('Données projet'!$B$16,Paramètres!$A$1:$I$89,3,0)*VLOOKUP('Données projet'!$B$16,Paramètres!$A$1:$I$89,5,0)</f>
        <v>245.14463999999992</v>
      </c>
      <c r="FG70" s="13">
        <f t="shared" si="101"/>
        <v>59.545054798309039</v>
      </c>
      <c r="FH70" s="20">
        <f t="shared" si="76"/>
        <v>530.66788510705476</v>
      </c>
      <c r="FI70" s="59">
        <f t="shared" si="77"/>
        <v>795.62195241527161</v>
      </c>
      <c r="FJ70" s="59">
        <f ca="1">AVERAGE(OFFSET($FI$3,0,0,'Données projet'!$E$16+1,1))-AVERAGE(OFFSET($H$3,0,0,'Données projet'!$E$16+1,1))</f>
        <v>383.47860767209028</v>
      </c>
      <c r="FK70" s="59">
        <f t="shared" si="102"/>
        <v>370.49129421395628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14.530159525730687</v>
      </c>
      <c r="FR70" s="21">
        <f>EXP(-LN(2)/25)*FR69+(1-EXP(-LN(2)/25))/(LN(2)/25)*Calculateur!FM70*Calculateur!FO70*VLOOKUP('Données projet'!$B$16,Paramètres!$A$1:$I$89,3,0)*0.475*44/12</f>
        <v>15.589025487763104</v>
      </c>
      <c r="FS70" s="21">
        <f>EXP(-LN(2)/2)*FS69+(1-EXP(-LN(2)/2))/(LN(2)/2)*FM70*FP70*VLOOKUP('Données projet'!$B$16,Paramètres!$A$1:$I$89,3,0)*0.475*44/12</f>
        <v>1.5413606923819871</v>
      </c>
      <c r="FT70" s="22">
        <f t="shared" si="78"/>
        <v>31.660545705875776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6.8933333333333326</v>
      </c>
      <c r="FZ70" s="12">
        <f>IF('Données projet'!$A$244&gt;35,FZ69+FY70-GH69,IF(A70&lt;'Données projet'!$A$244,$FW$205^A70,IF(A70='Données projet'!$A$244,'Données projet'!$B$244,FZ69+FY70-GH69)))</f>
        <v>177.0033333333333</v>
      </c>
      <c r="GA70" s="17">
        <f>FZ70*VLOOKUP('Données projet'!$B$17,Paramètres!$A$1:$I$89,3,0)*VLOOKUP('Données projet'!$B$17,Paramètres!$A$1:$I$89,5,0)</f>
        <v>201.57139599999996</v>
      </c>
      <c r="GB70" s="13">
        <f t="shared" si="103"/>
        <v>50.089355546385931</v>
      </c>
      <c r="GC70" s="20">
        <f t="shared" si="79"/>
        <v>438.30914227662203</v>
      </c>
      <c r="GD70" s="59">
        <f t="shared" si="80"/>
        <v>703.26320958483893</v>
      </c>
      <c r="GE70" s="59">
        <f ca="1">AVERAGE(OFFSET($GD$3,0,0,'Données projet'!$E$17+1,1))-AVERAGE(OFFSET($H$3,0,0,'Données projet'!$E$17+1,1))</f>
        <v>640.05156427113661</v>
      </c>
      <c r="GF70" s="59">
        <f t="shared" si="104"/>
        <v>308.77220155372902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25.888090850683259</v>
      </c>
      <c r="GN70" s="21">
        <f>EXP(-LN(2)/2)*GN69+(1-EXP(-LN(2)/2))/(LN(2)/2)*GH70*GK70*VLOOKUP('Données projet'!$B$17,Paramètres!$A$1:$I$89,3,0)*0.475*44/12</f>
        <v>1.3841256982044619</v>
      </c>
      <c r="GO70" s="21">
        <f t="shared" si="81"/>
        <v>27.27221654888772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13.374285714285715</v>
      </c>
      <c r="N71" s="13">
        <f>IF('Données projet'!$A$36&gt;35,N70+M71-V70,IF(A71&lt;'Données projet'!$A$36,$K$205^A71,IF(A71='Données projet'!$A$36,'Données projet'!$B$36,N70+M71-V70)))</f>
        <v>331.52285714285694</v>
      </c>
      <c r="O71" s="13">
        <f>N71*VLOOKUP('Données projet'!$B$9,Paramètres!$A$1:$I$89,3,0)*VLOOKUP('Données projet'!$B$9,Paramètres!$A$1:$I$89,5,0)</f>
        <v>279.27485485714271</v>
      </c>
      <c r="P71" s="13">
        <f t="shared" si="87"/>
        <v>66.813741746726478</v>
      </c>
      <c r="Q71" s="20">
        <f t="shared" si="54"/>
        <v>602.77097241840545</v>
      </c>
      <c r="R71" s="59">
        <f t="shared" si="55"/>
        <v>868.21735654562428</v>
      </c>
      <c r="S71" s="59">
        <f ca="1">AVERAGE(OFFSET($R$3,0,0,'Données projet'!$E$9+1,1))-AVERAGE(OFFSET($H$3,0,0,'Données projet'!$E$9+1,1))</f>
        <v>456.35333554128226</v>
      </c>
      <c r="T71" s="59">
        <f t="shared" si="88"/>
        <v>296.4517290984877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24.148558182742537</v>
      </c>
      <c r="AA71" s="21">
        <f>EXP(-LN(2)/25)*AA70+(1-EXP(-LN(2)/25))/(LN(2)/25)*Calculateur!V71*Calculateur!X71*VLOOKUP('Données projet'!$B$9,Paramètres!$A$1:$I$89,3,0)*0.475*44/12</f>
        <v>25.946070241797003</v>
      </c>
      <c r="AB71" s="21">
        <f>EXP(-LN(2)/2)*AB70+(1-EXP(-LN(2)/2))/(LN(2)/2)*V71*Y71*VLOOKUP('Données projet'!$B$9,Paramètres!$A$1:$I$89,3,0)*0.475*44/12</f>
        <v>1.7388707322432517</v>
      </c>
      <c r="AC71" s="22">
        <f t="shared" si="57"/>
        <v>51.833499156782786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4.5999999999999996</v>
      </c>
      <c r="AI71" s="13">
        <f>IF('Données projet'!$A$62&gt;35,AI70+AH71-AQ70,IF(A71&lt;'Données projet'!$A$62,$AF$205^A71,IF(A71='Données projet'!$A$62,'Données projet'!$B$62,AI70+AH71-AQ70)))</f>
        <v>306.7999999999999</v>
      </c>
      <c r="AJ71" s="13">
        <f>AI71*VLOOKUP('Données projet'!$B$10,Paramètres!$A$1:$I$89,3,0)*VLOOKUP('Données projet'!$B$10,Paramètres!$A$1:$I$89,5,0)</f>
        <v>268.02047999999996</v>
      </c>
      <c r="AK71" s="13">
        <f t="shared" si="89"/>
        <v>64.42898543616613</v>
      </c>
      <c r="AL71" s="20">
        <f t="shared" si="58"/>
        <v>579.01615230132256</v>
      </c>
      <c r="AM71" s="59">
        <f t="shared" si="59"/>
        <v>844.4625364285414</v>
      </c>
      <c r="AN71" s="59">
        <f ca="1">AVERAGE(OFFSET($AM$3,0,0,'Données projet'!$E$10+1,1))-AVERAGE(OFFSET($H$3,0,0,'Données projet'!$E$10+1,1))</f>
        <v>408.246209980743</v>
      </c>
      <c r="AO71" s="59">
        <f t="shared" si="90"/>
        <v>394.10236303013903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15.341019033795886</v>
      </c>
      <c r="AV71" s="21">
        <f>EXP(-LN(2)/25)*AV70+(1-EXP(-LN(2)/25))/(LN(2)/25)*Calculateur!AQ71*Calculateur!AS71*VLOOKUP('Données projet'!$B$10,Paramètres!$A$1:$I$89,3,0)*0.475*44/12</f>
        <v>16.329107594163528</v>
      </c>
      <c r="AW71" s="21">
        <f>EXP(-LN(2)/2)*AW70+(1-EXP(-LN(2)/2))/(LN(2)/2)*AQ71*AT71*VLOOKUP('Données projet'!$B$10,Paramètres!$A$1:$I$89,3,0)*0.475*44/12</f>
        <v>1.1737455669021337</v>
      </c>
      <c r="AX71" s="21">
        <f t="shared" si="60"/>
        <v>32.843872194861547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6.8933333333333326</v>
      </c>
      <c r="BD71" s="12">
        <f>IF('Données projet'!$A$88&gt;35,BD70+BC71-BL70,IF(A71&lt;'Données projet'!$A$88,$BA$205^A71,IF(A71='Données projet'!$A$88,'Données projet'!$B$88,BD70+BC71-BL70)))</f>
        <v>183.89666666666665</v>
      </c>
      <c r="BE71" s="13">
        <f>BD71*VLOOKUP('Données projet'!$B$11,Paramètres!$A$1:$I$89,3,0)*VLOOKUP('Données projet'!$B$11,Paramètres!$A$1:$I$89,5,0)</f>
        <v>186.47121999999999</v>
      </c>
      <c r="BF71" s="13">
        <f t="shared" si="91"/>
        <v>46.758940514498235</v>
      </c>
      <c r="BG71" s="20">
        <f t="shared" si="61"/>
        <v>406.20919622941773</v>
      </c>
      <c r="BH71" s="59">
        <f t="shared" si="62"/>
        <v>671.65558035663662</v>
      </c>
      <c r="BI71" s="59">
        <f ca="1">AVERAGE(OFFSET($BH$3,0,0,'Données projet'!$E$11+1,1))-AVERAGE(OFFSET($H$3,0,0,'Données projet'!$E$11+1,1))</f>
        <v>580.02848304986492</v>
      </c>
      <c r="BJ71" s="59">
        <f t="shared" si="92"/>
        <v>281.68891895586728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22.420707903060638</v>
      </c>
      <c r="BR71" s="21">
        <f>EXP(-LN(2)/2)*BR70+(1-EXP(-LN(2)/2))/(LN(2)/2)*BL71*BO71*VLOOKUP('Données projet'!$B$11,Paramètres!$A$1:$I$89,3,0)*0.475*44/12</f>
        <v>0.87146716943796021</v>
      </c>
      <c r="BS71" s="22">
        <f t="shared" si="63"/>
        <v>23.292175072498598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8.6666666666666661</v>
      </c>
      <c r="BY71" s="12">
        <f>IF('Données projet'!$A$114&gt;35,BY70+BX71-CG70,IF(A71&lt;'Données projet'!$A$114,$BV$205^A71,IF(A71='Données projet'!$A$114,'Données projet'!$B$114,BY70+BX71-CG70)))</f>
        <v>319.33333333333337</v>
      </c>
      <c r="BZ71" s="13">
        <f>BY71*VLOOKUP('Données projet'!$B$12,Paramètres!$A$1:$I$89,3,0)*VLOOKUP('Données projet'!$B$12,Paramètres!$A$1:$I$89,5,0)</f>
        <v>249.08000000000004</v>
      </c>
      <c r="CA71" s="13">
        <f t="shared" si="93"/>
        <v>60.388894447487807</v>
      </c>
      <c r="CB71" s="20">
        <f t="shared" si="64"/>
        <v>538.99165782937473</v>
      </c>
      <c r="CC71" s="59">
        <f t="shared" si="65"/>
        <v>804.43804195659357</v>
      </c>
      <c r="CD71" s="59">
        <f ca="1">AVERAGE(OFFSET($CC$3,0,0,'Données projet'!$E$12+1,1))-AVERAGE(OFFSET($H$3,0,0,'Données projet'!$E$12+1,1))</f>
        <v>308.85018589589453</v>
      </c>
      <c r="CE71" s="59">
        <f t="shared" si="94"/>
        <v>302.59481222418219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12.846970612860451</v>
      </c>
      <c r="CL71" s="21">
        <f>EXP(-LN(2)/25)*CL70+(1-EXP(-LN(2)/25))/(LN(2)/25)*Calculateur!CG71*Calculateur!CI71*VLOOKUP('Données projet'!$B$12,Paramètres!$A$1:$I$89,3,0)*0.475*44/12</f>
        <v>12.39017133787862</v>
      </c>
      <c r="CM71" s="21">
        <f>EXP(-LN(2)/2)*CM70+(1-EXP(-LN(2)/2))/(LN(2)/2)*CG71*CJ71*VLOOKUP('Données projet'!$B$12,Paramètres!$A$1:$I$89,3,0)*0.475*44/12</f>
        <v>0.57705597793595664</v>
      </c>
      <c r="CN71" s="22">
        <f t="shared" si="66"/>
        <v>25.814197928675028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4.9999999999999947</v>
      </c>
      <c r="CT71" s="12">
        <f>IF('Données projet'!$A$140&gt;35,CT70+CS71-DB70,IF(A71&lt;'Données projet'!$A$140,$CQ$205^A71,IF(A71='Données projet'!$A$140,'Données projet'!$B$140,CT70+CS71-DB70)))</f>
        <v>241.92307692307699</v>
      </c>
      <c r="CU71" s="17">
        <f>CT71*VLOOKUP('Données projet'!$B$13,Paramètres!$A$1:$I$89,3,0)*VLOOKUP('Données projet'!$B$13,Paramètres!$A$1:$I$89,5,0)</f>
        <v>162.28200000000007</v>
      </c>
      <c r="CV71" s="13">
        <f t="shared" si="95"/>
        <v>41.35680187680066</v>
      </c>
      <c r="CW71" s="20">
        <f t="shared" si="67"/>
        <v>354.67091326876124</v>
      </c>
      <c r="CX71" s="59">
        <f t="shared" si="68"/>
        <v>620.11729739598013</v>
      </c>
      <c r="CY71" s="59">
        <f ca="1">AVERAGE(OFFSET($CX$3,0,0,'Données projet'!$E$13+1,1))-AVERAGE(OFFSET($H$3,0,0,'Données projet'!$E$13+1,1))</f>
        <v>335.73816489539837</v>
      </c>
      <c r="CZ71" s="59">
        <f t="shared" si="96"/>
        <v>254.09787950201044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2.4827546784116516</v>
      </c>
      <c r="DG71" s="21">
        <f>EXP(-LN(2)/25)*DG70+(1-EXP(-LN(2)/25))/(LN(2)/25)*Calculateur!DB71*Calculateur!DD71*VLOOKUP('Données projet'!$B$13,Paramètres!$A$1:$I$89,3,0)*0.475*44/12</f>
        <v>8.3307389327242447</v>
      </c>
      <c r="DH71" s="21">
        <f>EXP(-LN(2)/2)*DH70+(1-EXP(-LN(2)/2))/(LN(2)/2)*DB71*DE71*VLOOKUP('Données projet'!$B$13,Paramètres!$A$1:$I$89,3,0)*0.475*44/12</f>
        <v>0.93183867647165608</v>
      </c>
      <c r="DI71" s="22">
        <f t="shared" si="69"/>
        <v>11.745332287607553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9.65625</v>
      </c>
      <c r="DO71" s="12">
        <f>IF('Données projet'!$A$166&gt;35,DO70+DN71-DW70,IF(A71&lt;'Données projet'!$A$166,$DL$205^A71,IF(A71='Données projet'!$A$166,'Données projet'!$B$166,DO70+DN71-DW70)))</f>
        <v>206.16624999999996</v>
      </c>
      <c r="DP71" s="17">
        <f>DO71*VLOOKUP('Données projet'!$B$14,Paramètres!$A$1:$I$89,3,0)*VLOOKUP('Données projet'!$B$14,Paramètres!$A$1:$I$89,5,0)</f>
        <v>199.40399699999998</v>
      </c>
      <c r="DQ71" s="13">
        <f t="shared" si="97"/>
        <v>49.613161562612241</v>
      </c>
      <c r="DR71" s="20">
        <f t="shared" si="70"/>
        <v>433.7048844965496</v>
      </c>
      <c r="DS71" s="59">
        <f t="shared" si="71"/>
        <v>699.15126862376837</v>
      </c>
      <c r="DT71" s="59">
        <f ca="1">AVERAGE(OFFSET($DS$3,0,0,'Données projet'!$E$14+1,1))-AVERAGE(OFFSET($H$3,0,0,'Données projet'!$E$14+1,1))</f>
        <v>493.03862850474161</v>
      </c>
      <c r="DU71" s="59">
        <f t="shared" si="98"/>
        <v>312.51819065560528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17.546635793464262</v>
      </c>
      <c r="EB71" s="21">
        <f>EXP(-LN(2)/25)*EB70+(1-EXP(-LN(2)/25))/(LN(2)/25)*Calculateur!DW71*Calculateur!DY71*VLOOKUP('Données projet'!$B$14,Paramètres!$A$1:$I$89,3,0)*0.475*44/12</f>
        <v>28.869211929892728</v>
      </c>
      <c r="EC71" s="21">
        <f>EXP(-LN(2)/2)*EC70+(1-EXP(-LN(2)/2))/(LN(2)/2)*DW71*DZ71*VLOOKUP('Données projet'!$B$14,Paramètres!$A$1:$I$89,3,0)*0.475*44/12</f>
        <v>2.9331889959605886</v>
      </c>
      <c r="ED71" s="22">
        <f t="shared" si="72"/>
        <v>49.349036719317581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9.65625</v>
      </c>
      <c r="EJ71" s="12">
        <f>IF('Données projet'!$A$192&gt;35,EJ70+EI71-ER70,IF(A71&lt;'Données projet'!$A$192,$EG$205^A71,IF(A71='Données projet'!$A$192,'Données projet'!$B$192,EJ70+EI71-ER70)))</f>
        <v>206.16624999999996</v>
      </c>
      <c r="EK71" s="17">
        <f>EJ71*VLOOKUP('Données projet'!$B$15,Paramètres!$A$1:$I$89,3,0)*VLOOKUP('Données projet'!$B$15,Paramètres!$A$1:$I$89,5,0)</f>
        <v>221.91735149999994</v>
      </c>
      <c r="EL71" s="13">
        <f t="shared" si="99"/>
        <v>54.531401903286778</v>
      </c>
      <c r="EM71" s="20">
        <f t="shared" si="73"/>
        <v>481.48157884405776</v>
      </c>
      <c r="EN71" s="59">
        <f t="shared" si="74"/>
        <v>746.92796297127666</v>
      </c>
      <c r="EO71" s="59">
        <f ca="1">AVERAGE(OFFSET($EN$3,0,0,'Données projet'!$E$15+1,1))-AVERAGE(OFFSET($H$3,0,0,'Données projet'!$E$15+1,1))</f>
        <v>539.72194201710272</v>
      </c>
      <c r="EP71" s="59">
        <f t="shared" si="100"/>
        <v>340.76505385159362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19.527707576597319</v>
      </c>
      <c r="EW71" s="21">
        <f>EXP(-LN(2)/25)*EW70+(1-EXP(-LN(2)/25))/(LN(2)/25)*Calculateur!ER71*Calculateur!ET71*VLOOKUP('Données projet'!$B$15,Paramètres!$A$1:$I$89,3,0)*0.475*44/12</f>
        <v>32.128639083267728</v>
      </c>
      <c r="EX71" s="21">
        <f>EXP(-LN(2)/2)*EX70+(1-EXP(-LN(2)/2))/(LN(2)/2)*ER71*EU71*VLOOKUP('Données projet'!$B$15,Paramètres!$A$1:$I$89,3,0)*0.475*44/12</f>
        <v>3.2643554955045251</v>
      </c>
      <c r="EY71" s="22">
        <f t="shared" si="75"/>
        <v>54.920702155369575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4.5999999999999996</v>
      </c>
      <c r="FE71" s="12">
        <f>IF('Données projet'!$A$218&gt;35,FE70+FD71-FM70,IF(A71&lt;'Données projet'!$A$218,$FB$205^A71,IF(A71='Données projet'!$A$218,'Données projet'!$B$218,FE70+FD71-FM70)))</f>
        <v>306.7999999999999</v>
      </c>
      <c r="FF71" s="17">
        <f>FE71*VLOOKUP('Données projet'!$B$16,Paramètres!$A$1:$I$89,3,0)*VLOOKUP('Données projet'!$B$16,Paramètres!$A$1:$I$89,5,0)</f>
        <v>248.87615999999991</v>
      </c>
      <c r="FG71" s="13">
        <f t="shared" si="101"/>
        <v>60.345224363146883</v>
      </c>
      <c r="FH71" s="20">
        <f t="shared" si="76"/>
        <v>538.56057776581395</v>
      </c>
      <c r="FI71" s="59">
        <f t="shared" si="77"/>
        <v>804.00696189303278</v>
      </c>
      <c r="FJ71" s="59">
        <f ca="1">AVERAGE(OFFSET($FI$3,0,0,'Données projet'!$E$16+1,1))-AVERAGE(OFFSET($H$3,0,0,'Données projet'!$E$16+1,1))</f>
        <v>383.47860767209028</v>
      </c>
      <c r="FK71" s="59">
        <f t="shared" si="102"/>
        <v>370.49129421395628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14.245231959953317</v>
      </c>
      <c r="FR71" s="21">
        <f>EXP(-LN(2)/25)*FR70+(1-EXP(-LN(2)/25))/(LN(2)/25)*Calculateur!FM71*Calculateur!FO71*VLOOKUP('Données projet'!$B$16,Paramètres!$A$1:$I$89,3,0)*0.475*44/12</f>
        <v>15.162742766009</v>
      </c>
      <c r="FS71" s="21">
        <f>EXP(-LN(2)/2)*FS70+(1-EXP(-LN(2)/2))/(LN(2)/2)*FM71*FP71*VLOOKUP('Données projet'!$B$16,Paramètres!$A$1:$I$89,3,0)*0.475*44/12</f>
        <v>1.0899065978376952</v>
      </c>
      <c r="FT71" s="22">
        <f t="shared" si="78"/>
        <v>30.497881323800016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6.8933333333333326</v>
      </c>
      <c r="FZ71" s="12">
        <f>IF('Données projet'!$A$244&gt;35,FZ70+FY71-GH70,IF(A71&lt;'Données projet'!$A$244,$FW$205^A71,IF(A71='Données projet'!$A$244,'Données projet'!$B$244,FZ70+FY71-GH70)))</f>
        <v>183.89666666666665</v>
      </c>
      <c r="GA71" s="17">
        <f>FZ71*VLOOKUP('Données projet'!$B$17,Paramètres!$A$1:$I$89,3,0)*VLOOKUP('Données projet'!$B$17,Paramètres!$A$1:$I$89,5,0)</f>
        <v>209.42152400000001</v>
      </c>
      <c r="GB71" s="13">
        <f t="shared" si="103"/>
        <v>51.809153850888102</v>
      </c>
      <c r="GC71" s="20">
        <f t="shared" si="79"/>
        <v>454.97676392363013</v>
      </c>
      <c r="GD71" s="59">
        <f t="shared" si="80"/>
        <v>720.42314805084902</v>
      </c>
      <c r="GE71" s="59">
        <f ca="1">AVERAGE(OFFSET($GD$3,0,0,'Données projet'!$E$17+1,1))-AVERAGE(OFFSET($H$3,0,0,'Données projet'!$E$17+1,1))</f>
        <v>640.05156427113661</v>
      </c>
      <c r="GF71" s="59">
        <f t="shared" si="104"/>
        <v>308.77220155372902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25.180179644975794</v>
      </c>
      <c r="GN71" s="21">
        <f>EXP(-LN(2)/2)*GN70+(1-EXP(-LN(2)/2))/(LN(2)/2)*GH71*GK71*VLOOKUP('Données projet'!$B$17,Paramètres!$A$1:$I$89,3,0)*0.475*44/12</f>
        <v>0.97872466721493978</v>
      </c>
      <c r="GO71" s="21">
        <f t="shared" si="81"/>
        <v>26.158904312190735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13.374285714285715</v>
      </c>
      <c r="N72" s="13">
        <f>IF('Données projet'!$A$36&gt;35,N71+M72-V71,IF(A72&lt;'Données projet'!$A$36,$K$205^A72,IF(A72='Données projet'!$A$36,'Données projet'!$B$36,N71+M72-V71)))</f>
        <v>344.89714285714263</v>
      </c>
      <c r="O72" s="13">
        <f>N72*VLOOKUP('Données projet'!$B$9,Paramètres!$A$1:$I$89,3,0)*VLOOKUP('Données projet'!$B$9,Paramètres!$A$1:$I$89,5,0)</f>
        <v>290.54135314285702</v>
      </c>
      <c r="P72" s="13">
        <f t="shared" si="87"/>
        <v>69.1898857973042</v>
      </c>
      <c r="Q72" s="20">
        <f t="shared" si="54"/>
        <v>626.53190782078082</v>
      </c>
      <c r="R72" s="59">
        <f t="shared" si="55"/>
        <v>892.46206817084737</v>
      </c>
      <c r="S72" s="59">
        <f ca="1">AVERAGE(OFFSET($R$3,0,0,'Données projet'!$E$9+1,1))-AVERAGE(OFFSET($H$3,0,0,'Données projet'!$E$9+1,1))</f>
        <v>456.35333554128226</v>
      </c>
      <c r="T72" s="59">
        <f t="shared" si="88"/>
        <v>296.4517290984877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23.675019685945063</v>
      </c>
      <c r="AA72" s="21">
        <f>EXP(-LN(2)/25)*AA71+(1-EXP(-LN(2)/25))/(LN(2)/25)*Calculateur!V72*Calculateur!X72*VLOOKUP('Données projet'!$B$9,Paramètres!$A$1:$I$89,3,0)*0.475*44/12</f>
        <v>25.236573586590531</v>
      </c>
      <c r="AB72" s="21">
        <f>EXP(-LN(2)/2)*AB71+(1-EXP(-LN(2)/2))/(LN(2)/2)*V72*Y72*VLOOKUP('Données projet'!$B$9,Paramètres!$A$1:$I$89,3,0)*0.475*44/12</f>
        <v>1.2295672863760208</v>
      </c>
      <c r="AC72" s="22">
        <f t="shared" si="57"/>
        <v>50.141160558911615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4.5999999999999996</v>
      </c>
      <c r="AI72" s="13">
        <f>IF('Données projet'!$A$62&gt;35,AI71+AH72-AQ71,IF(A72&lt;'Données projet'!$A$62,$AF$205^A72,IF(A72='Données projet'!$A$62,'Données projet'!$B$62,AI71+AH72-AQ71)))</f>
        <v>311.39999999999992</v>
      </c>
      <c r="AJ72" s="13">
        <f>AI72*VLOOKUP('Données projet'!$B$10,Paramètres!$A$1:$I$89,3,0)*VLOOKUP('Données projet'!$B$10,Paramètres!$A$1:$I$89,5,0)</f>
        <v>272.03904</v>
      </c>
      <c r="AK72" s="13">
        <f t="shared" si="89"/>
        <v>65.281815371368268</v>
      </c>
      <c r="AL72" s="20">
        <f t="shared" si="58"/>
        <v>587.50048977179972</v>
      </c>
      <c r="AM72" s="59">
        <f t="shared" si="59"/>
        <v>853.43065012186628</v>
      </c>
      <c r="AN72" s="59">
        <f ca="1">AVERAGE(OFFSET($AM$3,0,0,'Données projet'!$E$10+1,1))-AVERAGE(OFFSET($H$3,0,0,'Données projet'!$E$10+1,1))</f>
        <v>408.246209980743</v>
      </c>
      <c r="AO72" s="59">
        <f t="shared" si="90"/>
        <v>394.10236303013903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15.040191007640823</v>
      </c>
      <c r="AV72" s="21">
        <f>EXP(-LN(2)/25)*AV71+(1-EXP(-LN(2)/25))/(LN(2)/25)*Calculateur!AQ72*Calculateur!AS72*VLOOKUP('Données projet'!$B$10,Paramètres!$A$1:$I$89,3,0)*0.475*44/12</f>
        <v>15.882587288290678</v>
      </c>
      <c r="AW72" s="21">
        <f>EXP(-LN(2)/2)*AW71+(1-EXP(-LN(2)/2))/(LN(2)/2)*AQ72*AT72*VLOOKUP('Données projet'!$B$10,Paramètres!$A$1:$I$89,3,0)*0.475*44/12</f>
        <v>0.82996344974414726</v>
      </c>
      <c r="AX72" s="21">
        <f t="shared" si="60"/>
        <v>31.75274174567565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>
        <f>VLOOKUP(A72,'Données projet'!$A$87:$I$107,2,0)</f>
        <v>190.79</v>
      </c>
      <c r="BB72" s="12">
        <f>VLOOKUP(A72,'Données projet'!$A$87:$I$107,9,0)</f>
        <v>6.8933333333333326</v>
      </c>
      <c r="BC72" s="12">
        <f t="array" ref="BC72">INDEX(BB:BB,MIN(IF(ISNUMBER(BB72:BB268),ROW(BB72:BB268),"")))</f>
        <v>6.8933333333333326</v>
      </c>
      <c r="BD72" s="12">
        <f>IF('Données projet'!$A$88&gt;35,BD71+BC72-BL71,IF(A72&lt;'Données projet'!$A$88,$BA$205^A72,IF(A72='Données projet'!$A$88,'Données projet'!$B$88,BD71+BC72-BL71)))</f>
        <v>190.79</v>
      </c>
      <c r="BE72" s="13">
        <f>BD72*VLOOKUP('Données projet'!$B$11,Paramètres!$A$1:$I$89,3,0)*VLOOKUP('Données projet'!$B$11,Paramètres!$A$1:$I$89,5,0)</f>
        <v>193.46106</v>
      </c>
      <c r="BF72" s="13">
        <f t="shared" si="91"/>
        <v>48.304338284801261</v>
      </c>
      <c r="BG72" s="20">
        <f t="shared" si="61"/>
        <v>421.07473534602883</v>
      </c>
      <c r="BH72" s="59">
        <f t="shared" si="62"/>
        <v>687.00489569609545</v>
      </c>
      <c r="BI72" s="59">
        <f ca="1">AVERAGE(OFFSET($BH$3,0,0,'Données projet'!$E$11+1,1))-AVERAGE(OFFSET($H$3,0,0,'Données projet'!$E$11+1,1))</f>
        <v>580.02848304986492</v>
      </c>
      <c r="BJ72" s="59">
        <f t="shared" si="92"/>
        <v>281.68891895586728</v>
      </c>
      <c r="BK72" s="15">
        <f>IF(ISNA(VLOOKUP(A72,'Données projet'!$A$87:$I$107,3,0)),0,VLOOKUP(A72,'Données projet'!$A$87:$I$107,3,0))</f>
        <v>2</v>
      </c>
      <c r="BL72" s="15">
        <f>IF(ISNA(VLOOKUP(A72,'Données projet'!$A$87:$I$107,4,0)),0,VLOOKUP(A72,'Données projet'!$A$87:$I$107,4,0))</f>
        <v>42.22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0.34400000000000003</v>
      </c>
      <c r="BO72" s="16">
        <f>IF(ISNA(VLOOKUP(A72,'Données projet'!$A$87:$I$107,7,0)),0%,VLOOKUP(A72,'Données projet'!$A$87:$I$107,7,0))</f>
        <v>0.2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38.02378583479539</v>
      </c>
      <c r="BR72" s="21">
        <f>EXP(-LN(2)/2)*BR71+(1-EXP(-LN(2)/2))/(LN(2)/2)*BL72*BO72*VLOOKUP('Données projet'!$B$11,Paramètres!$A$1:$I$89,3,0)*0.475*44/12</f>
        <v>8.6949015897559168</v>
      </c>
      <c r="BS72" s="22">
        <f t="shared" si="63"/>
        <v>46.718687424551305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>
        <f>VLOOKUP(A72,'Données projet'!$A$113:$I$133,2,0)</f>
        <v>328</v>
      </c>
      <c r="BW72" s="12">
        <f>VLOOKUP(A72,'Données projet'!$A$113:$I$133,9,0)</f>
        <v>8.6666666666666661</v>
      </c>
      <c r="BX72" s="12">
        <f t="array" ref="BX72">INDEX(BW:BW,MIN(IF(ISNUMBER(BW72:BW268),ROW(BW72:BW268),"")))</f>
        <v>8.6666666666666661</v>
      </c>
      <c r="BY72" s="12">
        <f>IF('Données projet'!$A$114&gt;35,BY71+BX72-CG71,IF(A72&lt;'Données projet'!$A$114,$BV$205^A72,IF(A72='Données projet'!$A$114,'Données projet'!$B$114,BY71+BX72-CG71)))</f>
        <v>328.00000000000006</v>
      </c>
      <c r="BZ72" s="13">
        <f>BY72*VLOOKUP('Données projet'!$B$12,Paramètres!$A$1:$I$89,3,0)*VLOOKUP('Données projet'!$B$12,Paramètres!$A$1:$I$89,5,0)</f>
        <v>255.84000000000006</v>
      </c>
      <c r="CA72" s="13">
        <f t="shared" si="93"/>
        <v>61.834803371075836</v>
      </c>
      <c r="CB72" s="20">
        <f t="shared" si="64"/>
        <v>553.28361587129041</v>
      </c>
      <c r="CC72" s="59">
        <f t="shared" si="65"/>
        <v>819.21377622135697</v>
      </c>
      <c r="CD72" s="59">
        <f ca="1">AVERAGE(OFFSET($CC$3,0,0,'Données projet'!$E$12+1,1))-AVERAGE(OFFSET($H$3,0,0,'Données projet'!$E$12+1,1))</f>
        <v>308.85018589589453</v>
      </c>
      <c r="CE72" s="59">
        <f t="shared" si="94"/>
        <v>302.59481222418219</v>
      </c>
      <c r="CF72" s="15">
        <f>IF(ISNA(VLOOKUP(A72,'Données projet'!$A$113:$I$133,3,0)),0,VLOOKUP(A72,'Données projet'!$A$113:$I$133,3,0))</f>
        <v>9</v>
      </c>
      <c r="CG72" s="15">
        <f>IF(ISNA(VLOOKUP(A72,'Données projet'!$A$113:$I$133,4,0)),0,VLOOKUP(A72,'Données projet'!$A$113:$I$133,4,0))</f>
        <v>328</v>
      </c>
      <c r="CH72" s="16">
        <f>IF(ISNA(VLOOKUP(A72,'Données projet'!$A$113:$I$133,5,0)),0%,VLOOKUP(A72,'Données projet'!$A$113:$I$133,5,0)*VLOOKUP('Données projet'!$B$12,Paramètres!$A$1:$I$89,7,0))</f>
        <v>0.1075</v>
      </c>
      <c r="CI72" s="16">
        <f>IF(ISNA(VLOOKUP(A72,'Données projet'!$A$113:$I$133,6,0)),0%,VLOOKUP(A72,'Données projet'!$A$113:$I$133,6,0)*VLOOKUP('Données projet'!$B$12,Paramètres!$A$1:$I$89,7,0))</f>
        <v>0.1075</v>
      </c>
      <c r="CJ72" s="16">
        <f>IF(ISNA(VLOOKUP(A72,'Données projet'!$A$113:$I$133,7,0)),0%,VLOOKUP(A72,'Données projet'!$A$113:$I$133,7,0))</f>
        <v>0.25</v>
      </c>
      <c r="CK72" s="21">
        <f>EXP(-LN(2)/35)*CK71+(1-EXP(-LN(2)/35))/(LN(2)/35)*CG72*CH72*VLOOKUP('Données projet'!$B$12,Paramètres!$A$1:$I$89,3,0)*0.475*44/12</f>
        <v>42.998580109239427</v>
      </c>
      <c r="CL72" s="21">
        <f>EXP(-LN(2)/25)*CL71+(1-EXP(-LN(2)/25))/(LN(2)/25)*Calculateur!CG72*Calculateur!CI72*VLOOKUP('Données projet'!$B$12,Paramètres!$A$1:$I$89,3,0)*0.475*44/12</f>
        <v>42.335181920059554</v>
      </c>
      <c r="CM72" s="21">
        <f>EXP(-LN(2)/2)*CM71+(1-EXP(-LN(2)/2))/(LN(2)/2)*CG72*CJ72*VLOOKUP('Données projet'!$B$12,Paramètres!$A$1:$I$89,3,0)*0.475*44/12</f>
        <v>60.756021653283376</v>
      </c>
      <c r="CN72" s="22">
        <f t="shared" si="66"/>
        <v>146.08978368258235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4.9999999999999947</v>
      </c>
      <c r="CT72" s="12">
        <f>IF('Données projet'!$A$140&gt;35,CT71+CS72-DB71,IF(A72&lt;'Données projet'!$A$140,$CQ$205^A72,IF(A72='Données projet'!$A$140,'Données projet'!$B$140,CT71+CS72-DB71)))</f>
        <v>246.92307692307699</v>
      </c>
      <c r="CU72" s="17">
        <f>CT72*VLOOKUP('Données projet'!$B$13,Paramètres!$A$1:$I$89,3,0)*VLOOKUP('Données projet'!$B$13,Paramètres!$A$1:$I$89,5,0)</f>
        <v>165.63600000000005</v>
      </c>
      <c r="CV72" s="13">
        <f t="shared" si="95"/>
        <v>42.111158364957326</v>
      </c>
      <c r="CW72" s="20">
        <f t="shared" si="67"/>
        <v>361.82630081896741</v>
      </c>
      <c r="CX72" s="59">
        <f t="shared" si="68"/>
        <v>627.75646116903397</v>
      </c>
      <c r="CY72" s="59">
        <f ca="1">AVERAGE(OFFSET($CX$3,0,0,'Données projet'!$E$13+1,1))-AVERAGE(OFFSET($H$3,0,0,'Données projet'!$E$13+1,1))</f>
        <v>335.73816489539837</v>
      </c>
      <c r="CZ72" s="59">
        <f t="shared" si="96"/>
        <v>254.09787950201044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2.4340693734988252</v>
      </c>
      <c r="DG72" s="21">
        <f>EXP(-LN(2)/25)*DG71+(1-EXP(-LN(2)/25))/(LN(2)/25)*Calculateur!DB72*Calculateur!DD72*VLOOKUP('Données projet'!$B$13,Paramètres!$A$1:$I$89,3,0)*0.475*44/12</f>
        <v>8.1029344385143798</v>
      </c>
      <c r="DH72" s="21">
        <f>EXP(-LN(2)/2)*DH71+(1-EXP(-LN(2)/2))/(LN(2)/2)*DB72*DE72*VLOOKUP('Données projet'!$B$13,Paramètres!$A$1:$I$89,3,0)*0.475*44/12</f>
        <v>0.65890944710500543</v>
      </c>
      <c r="DI72" s="22">
        <f t="shared" si="69"/>
        <v>11.19591325911821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9.65625</v>
      </c>
      <c r="DO72" s="12">
        <f>IF('Données projet'!$A$166&gt;35,DO71+DN72-DW71,IF(A72&lt;'Données projet'!$A$166,$DL$205^A72,IF(A72='Données projet'!$A$166,'Données projet'!$B$166,DO71+DN72-DW71)))</f>
        <v>215.82249999999996</v>
      </c>
      <c r="DP72" s="17">
        <f>DO72*VLOOKUP('Données projet'!$B$14,Paramètres!$A$1:$I$89,3,0)*VLOOKUP('Données projet'!$B$14,Paramètres!$A$1:$I$89,5,0)</f>
        <v>208.74352199999998</v>
      </c>
      <c r="DQ72" s="13">
        <f t="shared" si="97"/>
        <v>51.660917816658831</v>
      </c>
      <c r="DR72" s="20">
        <f t="shared" si="70"/>
        <v>453.53773268068068</v>
      </c>
      <c r="DS72" s="59">
        <f t="shared" si="71"/>
        <v>719.46789303074729</v>
      </c>
      <c r="DT72" s="59">
        <f ca="1">AVERAGE(OFFSET($DS$3,0,0,'Données projet'!$E$14+1,1))-AVERAGE(OFFSET($H$3,0,0,'Données projet'!$E$14+1,1))</f>
        <v>493.03862850474161</v>
      </c>
      <c r="DU72" s="59">
        <f t="shared" si="98"/>
        <v>312.51819065560528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17.202556967945487</v>
      </c>
      <c r="EB72" s="21">
        <f>EXP(-LN(2)/25)*EB71+(1-EXP(-LN(2)/25))/(LN(2)/25)*Calculateur!DW72*Calculateur!DY72*VLOOKUP('Données projet'!$B$14,Paramètres!$A$1:$I$89,3,0)*0.475*44/12</f>
        <v>28.079781811503938</v>
      </c>
      <c r="EC72" s="21">
        <f>EXP(-LN(2)/2)*EC71+(1-EXP(-LN(2)/2))/(LN(2)/2)*DW72*DZ72*VLOOKUP('Données projet'!$B$14,Paramètres!$A$1:$I$89,3,0)*0.475*44/12</f>
        <v>2.0740778295454931</v>
      </c>
      <c r="ED72" s="22">
        <f t="shared" si="72"/>
        <v>47.35641660899492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9.65625</v>
      </c>
      <c r="EJ72" s="12">
        <f>IF('Données projet'!$A$192&gt;35,EJ71+EI72-ER71,IF(A72&lt;'Données projet'!$A$192,$EG$205^A72,IF(A72='Données projet'!$A$192,'Données projet'!$B$192,EJ71+EI72-ER71)))</f>
        <v>215.82249999999996</v>
      </c>
      <c r="EK72" s="17">
        <f>EJ72*VLOOKUP('Données projet'!$B$15,Paramètres!$A$1:$I$89,3,0)*VLOOKUP('Données projet'!$B$15,Paramètres!$A$1:$I$89,5,0)</f>
        <v>232.31133899999995</v>
      </c>
      <c r="EL72" s="13">
        <f t="shared" si="99"/>
        <v>56.782155851882791</v>
      </c>
      <c r="EM72" s="20">
        <f t="shared" si="73"/>
        <v>503.50450353369575</v>
      </c>
      <c r="EN72" s="59">
        <f t="shared" si="74"/>
        <v>769.43466388376237</v>
      </c>
      <c r="EO72" s="59">
        <f ca="1">AVERAGE(OFFSET($EN$3,0,0,'Données projet'!$E$15+1,1))-AVERAGE(OFFSET($H$3,0,0,'Données projet'!$E$15+1,1))</f>
        <v>539.72194201710272</v>
      </c>
      <c r="EP72" s="59">
        <f t="shared" si="100"/>
        <v>340.76505385159362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19.144781141745781</v>
      </c>
      <c r="EW72" s="21">
        <f>EXP(-LN(2)/25)*EW71+(1-EXP(-LN(2)/25))/(LN(2)/25)*Calculateur!ER72*Calculateur!ET72*VLOOKUP('Données projet'!$B$15,Paramètres!$A$1:$I$89,3,0)*0.475*44/12</f>
        <v>31.250079757964073</v>
      </c>
      <c r="EX72" s="21">
        <f>EXP(-LN(2)/2)*EX71+(1-EXP(-LN(2)/2))/(LN(2)/2)*ER72*EU72*VLOOKUP('Données projet'!$B$15,Paramètres!$A$1:$I$89,3,0)*0.475*44/12</f>
        <v>2.3082479070748221</v>
      </c>
      <c r="EY72" s="22">
        <f t="shared" si="75"/>
        <v>52.703108806784677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4.5999999999999996</v>
      </c>
      <c r="FE72" s="12">
        <f>IF('Données projet'!$A$218&gt;35,FE71+FD72-FM71,IF(A72&lt;'Données projet'!$A$218,$FB$205^A72,IF(A72='Données projet'!$A$218,'Données projet'!$B$218,FE71+FD72-FM71)))</f>
        <v>311.39999999999992</v>
      </c>
      <c r="FF72" s="17">
        <f>FE72*VLOOKUP('Données projet'!$B$16,Paramètres!$A$1:$I$89,3,0)*VLOOKUP('Données projet'!$B$16,Paramètres!$A$1:$I$89,5,0)</f>
        <v>252.60767999999996</v>
      </c>
      <c r="FG72" s="13">
        <f t="shared" si="101"/>
        <v>61.143998601713257</v>
      </c>
      <c r="FH72" s="20">
        <f t="shared" si="76"/>
        <v>546.4508402313171</v>
      </c>
      <c r="FI72" s="59">
        <f t="shared" si="77"/>
        <v>812.38100058138366</v>
      </c>
      <c r="FJ72" s="59">
        <f ca="1">AVERAGE(OFFSET($FI$3,0,0,'Données projet'!$E$16+1,1))-AVERAGE(OFFSET($H$3,0,0,'Données projet'!$E$16+1,1))</f>
        <v>383.47860767209028</v>
      </c>
      <c r="FK72" s="59">
        <f t="shared" si="102"/>
        <v>370.49129421395628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13.965891649952187</v>
      </c>
      <c r="FR72" s="21">
        <f>EXP(-LN(2)/25)*FR71+(1-EXP(-LN(2)/25))/(LN(2)/25)*Calculateur!FM72*Calculateur!FO72*VLOOKUP('Données projet'!$B$16,Paramètres!$A$1:$I$89,3,0)*0.475*44/12</f>
        <v>14.748116767698496</v>
      </c>
      <c r="FS72" s="21">
        <f>EXP(-LN(2)/2)*FS71+(1-EXP(-LN(2)/2))/(LN(2)/2)*FM72*FP72*VLOOKUP('Données projet'!$B$16,Paramètres!$A$1:$I$89,3,0)*0.475*44/12</f>
        <v>0.77068034619099357</v>
      </c>
      <c r="FT72" s="22">
        <f t="shared" si="78"/>
        <v>29.484688763841675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>
        <f>VLOOKUP(A72,'Données projet'!$A$243:$I$263,2,0)</f>
        <v>190.79</v>
      </c>
      <c r="FX72" s="12">
        <f>VLOOKUP(A72,'Données projet'!$A$243:$I$263,9,0)</f>
        <v>6.8933333333333326</v>
      </c>
      <c r="FY72" s="12">
        <f t="array" ref="FY72">INDEX(FX:FX,MIN(IF(ISNUMBER(FX72:FX268),ROW(FX72:FX268),"")))</f>
        <v>6.8933333333333326</v>
      </c>
      <c r="FZ72" s="12">
        <f>IF('Données projet'!$A$244&gt;35,FZ71+FY72-GH71,IF(A72&lt;'Données projet'!$A$244,$FW$205^A72,IF(A72='Données projet'!$A$244,'Données projet'!$B$244,FZ71+FY72-GH71)))</f>
        <v>190.79</v>
      </c>
      <c r="GA72" s="17">
        <f>FZ72*VLOOKUP('Données projet'!$B$17,Paramètres!$A$1:$I$89,3,0)*VLOOKUP('Données projet'!$B$17,Paramètres!$A$1:$I$89,5,0)</f>
        <v>217.27165199999996</v>
      </c>
      <c r="GB72" s="13">
        <f t="shared" si="103"/>
        <v>53.521462768957484</v>
      </c>
      <c r="GC72" s="20">
        <f t="shared" si="79"/>
        <v>471.63134155593411</v>
      </c>
      <c r="GD72" s="59">
        <f t="shared" si="80"/>
        <v>737.56150190600067</v>
      </c>
      <c r="GE72" s="59">
        <f ca="1">AVERAGE(OFFSET($GD$3,0,0,'Données projet'!$E$17+1,1))-AVERAGE(OFFSET($H$3,0,0,'Données projet'!$E$17+1,1))</f>
        <v>640.05156427113661</v>
      </c>
      <c r="GF72" s="59">
        <f t="shared" si="104"/>
        <v>308.77220155372902</v>
      </c>
      <c r="GG72" s="15">
        <f>IF(ISNA(VLOOKUP(A72,'Données projet'!$A$243:$I$263,3,0)),0,VLOOKUP(A72,'Données projet'!$A$243:$I$263,3,0))</f>
        <v>2</v>
      </c>
      <c r="GH72" s="15">
        <f>IF(ISNA(VLOOKUP(A72,'Données projet'!$A$243:$I$263,4,0)),0,VLOOKUP(A72,'Données projet'!$A$243:$I$263,4,0))</f>
        <v>42.22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0.34400000000000003</v>
      </c>
      <c r="GK72" s="16">
        <f>IF(ISNA(VLOOKUP(A72,'Données projet'!$A$243:$I$263,7,0)),0%,VLOOKUP(A72,'Données projet'!$A$243:$I$263,7,0))</f>
        <v>0.2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42.703636399077894</v>
      </c>
      <c r="GN72" s="21">
        <f>EXP(-LN(2)/2)*GN71+(1-EXP(-LN(2)/2))/(LN(2)/2)*GH72*GK72*VLOOKUP('Données projet'!$B$17,Paramètres!$A$1:$I$89,3,0)*0.475*44/12</f>
        <v>9.7650433238797198</v>
      </c>
      <c r="GO72" s="21">
        <f t="shared" si="81"/>
        <v>52.468679722957617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13.374285714285715</v>
      </c>
      <c r="N73" s="13">
        <f>IF('Données projet'!$A$36&gt;35,N72+M73-V72,IF(A73&lt;'Données projet'!$A$36,$K$205^A73,IF(A73='Données projet'!$A$36,'Données projet'!$B$36,N72+M73-V72)))</f>
        <v>358.27142857142832</v>
      </c>
      <c r="O73" s="13">
        <f>N73*VLOOKUP('Données projet'!$B$9,Paramètres!$A$1:$I$89,3,0)*VLOOKUP('Données projet'!$B$9,Paramètres!$A$1:$I$89,5,0)</f>
        <v>301.80785142857127</v>
      </c>
      <c r="P73" s="13">
        <f t="shared" si="87"/>
        <v>71.555325950227484</v>
      </c>
      <c r="Q73" s="20">
        <f t="shared" si="54"/>
        <v>650.27420060140787</v>
      </c>
      <c r="R73" s="59">
        <f t="shared" si="55"/>
        <v>916.67974473841741</v>
      </c>
      <c r="S73" s="59">
        <f ca="1">AVERAGE(OFFSET($R$3,0,0,'Données projet'!$E$9+1,1))-AVERAGE(OFFSET($H$3,0,0,'Données projet'!$E$9+1,1))</f>
        <v>456.35333554128226</v>
      </c>
      <c r="T73" s="59">
        <f t="shared" si="88"/>
        <v>296.4517290984877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23.210766990239826</v>
      </c>
      <c r="AA73" s="21">
        <f>EXP(-LN(2)/25)*AA72+(1-EXP(-LN(2)/25))/(LN(2)/25)*Calculateur!V73*Calculateur!X73*VLOOKUP('Données projet'!$B$9,Paramètres!$A$1:$I$89,3,0)*0.475*44/12</f>
        <v>24.546478154731485</v>
      </c>
      <c r="AB73" s="21">
        <f>EXP(-LN(2)/2)*AB72+(1-EXP(-LN(2)/2))/(LN(2)/2)*V73*Y73*VLOOKUP('Données projet'!$B$9,Paramètres!$A$1:$I$89,3,0)*0.475*44/12</f>
        <v>0.86943536612162597</v>
      </c>
      <c r="AC73" s="22">
        <f t="shared" si="57"/>
        <v>48.626680511092935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4.5999999999999996</v>
      </c>
      <c r="AH73" s="12">
        <f t="array" ref="AH73">INDEX(AG:AG,MIN(IF(ISNUMBER(AG73:AG269),ROW(AG73:AG269),"")))</f>
        <v>4.5999999999999996</v>
      </c>
      <c r="AI73" s="13">
        <f>IF('Données projet'!$A$62&gt;35,AI72+AH73-AQ72,IF(A73&lt;'Données projet'!$A$62,$AF$205^A73,IF(A73='Données projet'!$A$62,'Données projet'!$B$62,AI72+AH73-AQ72)))</f>
        <v>315.99999999999994</v>
      </c>
      <c r="AJ73" s="13">
        <f>AI73*VLOOKUP('Données projet'!$B$10,Paramètres!$A$1:$I$89,3,0)*VLOOKUP('Données projet'!$B$10,Paramètres!$A$1:$I$89,5,0)</f>
        <v>276.05759999999998</v>
      </c>
      <c r="AK73" s="13">
        <f t="shared" si="89"/>
        <v>66.133180102831929</v>
      </c>
      <c r="AL73" s="20">
        <f t="shared" si="58"/>
        <v>595.98227534576563</v>
      </c>
      <c r="AM73" s="59">
        <f t="shared" si="59"/>
        <v>862.38781948277506</v>
      </c>
      <c r="AN73" s="59">
        <f ca="1">AVERAGE(OFFSET($AM$3,0,0,'Données projet'!$E$10+1,1))-AVERAGE(OFFSET($H$3,0,0,'Données projet'!$E$10+1,1))</f>
        <v>408.246209980743</v>
      </c>
      <c r="AO73" s="59">
        <f t="shared" si="90"/>
        <v>394.10236303013903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13</v>
      </c>
      <c r="AR73" s="16">
        <f>IF(ISNA(VLOOKUP(A73,'Données projet'!$A$61:$I$81,5,0)),0%,VLOOKUP(A73,'Données projet'!$A$61:$I$81,5,0)*VLOOKUP('Données projet'!$B$10,Paramètres!$A$1:$I$89,7,0))</f>
        <v>0.13250000000000001</v>
      </c>
      <c r="AS73" s="16">
        <f>IF(ISNA(VLOOKUP(A73,'Données projet'!$A$61:$I$81,6,0)),0%,VLOOKUP(A73,'Données projet'!$A$61:$I$81,6,0)*VLOOKUP('Données projet'!$B$10,Paramètres!$A$1:$I$89,7,0))</f>
        <v>0.13250000000000001</v>
      </c>
      <c r="AT73" s="16">
        <f>IF(ISNA(VLOOKUP(A73,'Données projet'!$A$61:$I$81,7,0)),0%,VLOOKUP(A73,'Données projet'!$A$61:$I$81,7,0))</f>
        <v>0.25</v>
      </c>
      <c r="AU73" s="21">
        <f>EXP(-LN(2)/35)*AU72+(1-EXP(-LN(2)/35))/(LN(2)/35)*AQ73*AR73*VLOOKUP('Données projet'!$B$10,Paramètres!$A$1:$I$89,3,0)*0.475*44/12</f>
        <v>16.408747331423758</v>
      </c>
      <c r="AV73" s="21">
        <f>EXP(-LN(2)/25)*AV72+(1-EXP(-LN(2)/25))/(LN(2)/25)*Calculateur!AQ73*Calculateur!AS73*VLOOKUP('Données projet'!$B$10,Paramètres!$A$1:$I$89,3,0)*0.475*44/12</f>
        <v>17.1052126240482</v>
      </c>
      <c r="AW73" s="21">
        <f>EXP(-LN(2)/2)*AW72+(1-EXP(-LN(2)/2))/(LN(2)/2)*AQ73*AT73*VLOOKUP('Données projet'!$B$10,Paramètres!$A$1:$I$89,3,0)*0.475*44/12</f>
        <v>3.2657343993986849</v>
      </c>
      <c r="AX73" s="21">
        <f t="shared" si="60"/>
        <v>36.779694354870642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6.7437500000000021</v>
      </c>
      <c r="BD73" s="12">
        <f>IF('Données projet'!$A$88&gt;35,BD72+BC73-BL72,IF(A73&lt;'Données projet'!$A$88,$BA$205^A73,IF(A73='Données projet'!$A$88,'Données projet'!$B$88,BD72+BC73-BL72)))</f>
        <v>155.31375</v>
      </c>
      <c r="BE73" s="13">
        <f>BD73*VLOOKUP('Données projet'!$B$11,Paramètres!$A$1:$I$89,3,0)*VLOOKUP('Données projet'!$B$11,Paramètres!$A$1:$I$89,5,0)</f>
        <v>157.48814250000001</v>
      </c>
      <c r="BF73" s="13">
        <f t="shared" si="91"/>
        <v>40.275438230597821</v>
      </c>
      <c r="BG73" s="20">
        <f t="shared" si="61"/>
        <v>344.43823643912452</v>
      </c>
      <c r="BH73" s="59">
        <f t="shared" si="62"/>
        <v>610.84378057613401</v>
      </c>
      <c r="BI73" s="59">
        <f ca="1">AVERAGE(OFFSET($BH$3,0,0,'Données projet'!$E$11+1,1))-AVERAGE(OFFSET($H$3,0,0,'Données projet'!$E$11+1,1))</f>
        <v>580.02848304986492</v>
      </c>
      <c r="BJ73" s="59">
        <f t="shared" si="92"/>
        <v>281.68891895586728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36.984023411558915</v>
      </c>
      <c r="BR73" s="21">
        <f>EXP(-LN(2)/2)*BR72+(1-EXP(-LN(2)/2))/(LN(2)/2)*BL73*BO73*VLOOKUP('Données projet'!$B$11,Paramètres!$A$1:$I$89,3,0)*0.475*44/12</f>
        <v>6.1482238758661021</v>
      </c>
      <c r="BS73" s="22">
        <f t="shared" si="63"/>
        <v>43.132247287425017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5.6843418860808015E-14</v>
      </c>
      <c r="BZ73" s="13">
        <f>BY73*VLOOKUP('Données projet'!$B$12,Paramètres!$A$1:$I$89,3,0)*VLOOKUP('Données projet'!$B$12,Paramètres!$A$1:$I$89,5,0)</f>
        <v>4.4337866711430253E-14</v>
      </c>
      <c r="CA73" s="13">
        <f t="shared" si="93"/>
        <v>7.3222115536967035E-13</v>
      </c>
      <c r="CB73" s="20">
        <f t="shared" si="64"/>
        <v>1.3525069634579169E-12</v>
      </c>
      <c r="CC73" s="59">
        <f t="shared" si="65"/>
        <v>266.40554413701085</v>
      </c>
      <c r="CD73" s="59">
        <f ca="1">AVERAGE(OFFSET($CC$3,0,0,'Données projet'!$E$12+1,1))-AVERAGE(OFFSET($H$3,0,0,'Données projet'!$E$12+1,1))</f>
        <v>308.85018589589453</v>
      </c>
      <c r="CE73" s="59">
        <f t="shared" si="94"/>
        <v>302.59481222418219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42.155404179841454</v>
      </c>
      <c r="CL73" s="21">
        <f>EXP(-LN(2)/25)*CL72+(1-EXP(-LN(2)/25))/(LN(2)/25)*Calculateur!CG73*Calculateur!CI73*VLOOKUP('Données projet'!$B$12,Paramètres!$A$1:$I$89,3,0)*0.475*44/12</f>
        <v>41.177524144145067</v>
      </c>
      <c r="CM73" s="21">
        <f>EXP(-LN(2)/2)*CM72+(1-EXP(-LN(2)/2))/(LN(2)/2)*CG73*CJ73*VLOOKUP('Données projet'!$B$12,Paramètres!$A$1:$I$89,3,0)*0.475*44/12</f>
        <v>42.960994908953396</v>
      </c>
      <c r="CN73" s="22">
        <f t="shared" si="66"/>
        <v>126.29392323293992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251.92307692307691</v>
      </c>
      <c r="CR73" s="12">
        <f>VLOOKUP(A73,'Données projet'!$A$139:$I$159,9,0)</f>
        <v>4.9999999999999947</v>
      </c>
      <c r="CS73" s="12">
        <f t="array" ref="CS73">INDEX(CR:CR,MIN(IF(ISNUMBER(CR73:CR269),ROW(CR73:CR269),"")))</f>
        <v>4.9999999999999947</v>
      </c>
      <c r="CT73" s="12">
        <f>IF('Données projet'!$A$140&gt;35,CT72+CS73-DB72,IF(A73&lt;'Données projet'!$A$140,$CQ$205^A73,IF(A73='Données projet'!$A$140,'Données projet'!$B$140,CT72+CS73-DB72)))</f>
        <v>251.92307692307699</v>
      </c>
      <c r="CU73" s="17">
        <f>CT73*VLOOKUP('Données projet'!$B$13,Paramètres!$A$1:$I$89,3,0)*VLOOKUP('Données projet'!$B$13,Paramètres!$A$1:$I$89,5,0)</f>
        <v>168.99000000000007</v>
      </c>
      <c r="CV73" s="13">
        <f t="shared" si="95"/>
        <v>42.863738793288569</v>
      </c>
      <c r="CW73" s="20">
        <f t="shared" si="67"/>
        <v>368.9785950649777</v>
      </c>
      <c r="CX73" s="59">
        <f t="shared" si="68"/>
        <v>635.38413920198718</v>
      </c>
      <c r="CY73" s="59">
        <f ca="1">AVERAGE(OFFSET($CX$3,0,0,'Données projet'!$E$13+1,1))-AVERAGE(OFFSET($H$3,0,0,'Données projet'!$E$13+1,1))</f>
        <v>335.73816489539837</v>
      </c>
      <c r="CZ73" s="59">
        <f t="shared" si="96"/>
        <v>254.09787950201044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14.102564102564102</v>
      </c>
      <c r="DC73" s="16">
        <f>IF(ISNA(VLOOKUP(A73,'Données projet'!$A$139:$I$159,5,0)),0%,VLOOKUP(A73,'Données projet'!$A$139:$I$159,5,0)*VLOOKUP('Données projet'!$B$13,Paramètres!$A$1:$I$89,7,0))</f>
        <v>0.13250000000000001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3.7719906049458114</v>
      </c>
      <c r="DG73" s="21">
        <f>EXP(-LN(2)/25)*DG72+(1-EXP(-LN(2)/25))/(LN(2)/25)*Calculateur!DB73*Calculateur!DD73*VLOOKUP('Données projet'!$B$13,Paramètres!$A$1:$I$89,3,0)*0.475*44/12</f>
        <v>9.2615552781067034</v>
      </c>
      <c r="DH73" s="21">
        <f>EXP(-LN(2)/2)*DH72+(1-EXP(-LN(2)/2))/(LN(2)/2)*DB73*DE73*VLOOKUP('Données projet'!$B$13,Paramètres!$A$1:$I$89,3,0)*0.475*44/12</f>
        <v>2.6973604912775717</v>
      </c>
      <c r="DI73" s="22">
        <f t="shared" si="69"/>
        <v>15.730906374330086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9.65625</v>
      </c>
      <c r="DO73" s="12">
        <f>IF('Données projet'!$A$166&gt;35,DO72+DN73-DW72,IF(A73&lt;'Données projet'!$A$166,$DL$205^A73,IF(A73='Données projet'!$A$166,'Données projet'!$B$166,DO72+DN73-DW72)))</f>
        <v>225.47874999999996</v>
      </c>
      <c r="DP73" s="17">
        <f>DO73*VLOOKUP('Données projet'!$B$14,Paramètres!$A$1:$I$89,3,0)*VLOOKUP('Données projet'!$B$14,Paramètres!$A$1:$I$89,5,0)</f>
        <v>218.08304699999999</v>
      </c>
      <c r="DQ73" s="13">
        <f t="shared" si="97"/>
        <v>53.698033481941266</v>
      </c>
      <c r="DR73" s="20">
        <f t="shared" si="70"/>
        <v>473.35204850604765</v>
      </c>
      <c r="DS73" s="59">
        <f t="shared" si="71"/>
        <v>739.75759264305714</v>
      </c>
      <c r="DT73" s="59">
        <f ca="1">AVERAGE(OFFSET($DS$3,0,0,'Données projet'!$E$14+1,1))-AVERAGE(OFFSET($H$3,0,0,'Données projet'!$E$14+1,1))</f>
        <v>493.03862850474161</v>
      </c>
      <c r="DU73" s="59">
        <f t="shared" si="98"/>
        <v>312.51819065560528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16.865225318327777</v>
      </c>
      <c r="EB73" s="21">
        <f>EXP(-LN(2)/25)*EB72+(1-EXP(-LN(2)/25))/(LN(2)/25)*Calculateur!DW73*Calculateur!DY73*VLOOKUP('Données projet'!$B$14,Paramètres!$A$1:$I$89,3,0)*0.475*44/12</f>
        <v>27.311938701216814</v>
      </c>
      <c r="EC73" s="21">
        <f>EXP(-LN(2)/2)*EC72+(1-EXP(-LN(2)/2))/(LN(2)/2)*DW73*DZ73*VLOOKUP('Données projet'!$B$14,Paramètres!$A$1:$I$89,3,0)*0.475*44/12</f>
        <v>1.4665944979802945</v>
      </c>
      <c r="ED73" s="22">
        <f t="shared" si="72"/>
        <v>45.643758517524887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9.65625</v>
      </c>
      <c r="EJ73" s="12">
        <f>IF('Données projet'!$A$192&gt;35,EJ72+EI73-ER72,IF(A73&lt;'Données projet'!$A$192,$EG$205^A73,IF(A73='Données projet'!$A$192,'Données projet'!$B$192,EJ72+EI73-ER72)))</f>
        <v>225.47874999999996</v>
      </c>
      <c r="EK73" s="17">
        <f>EJ73*VLOOKUP('Données projet'!$B$15,Paramètres!$A$1:$I$89,3,0)*VLOOKUP('Données projet'!$B$15,Paramètres!$A$1:$I$89,5,0)</f>
        <v>242.70532649999993</v>
      </c>
      <c r="EL73" s="13">
        <f t="shared" si="99"/>
        <v>59.021214391355279</v>
      </c>
      <c r="EM73" s="20">
        <f t="shared" si="73"/>
        <v>525.50705871911032</v>
      </c>
      <c r="EN73" s="59">
        <f t="shared" si="74"/>
        <v>791.91260285611975</v>
      </c>
      <c r="EO73" s="59">
        <f ca="1">AVERAGE(OFFSET($EN$3,0,0,'Données projet'!$E$15+1,1))-AVERAGE(OFFSET($H$3,0,0,'Données projet'!$E$15+1,1))</f>
        <v>539.72194201710272</v>
      </c>
      <c r="EP73" s="59">
        <f t="shared" si="100"/>
        <v>340.76505385159362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18.76936366071962</v>
      </c>
      <c r="EW73" s="21">
        <f>EXP(-LN(2)/25)*EW72+(1-EXP(-LN(2)/25))/(LN(2)/25)*Calculateur!ER73*Calculateur!ET73*VLOOKUP('Données projet'!$B$15,Paramètres!$A$1:$I$89,3,0)*0.475*44/12</f>
        <v>30.395544683612275</v>
      </c>
      <c r="EX73" s="21">
        <f>EXP(-LN(2)/2)*EX72+(1-EXP(-LN(2)/2))/(LN(2)/2)*ER73*EU73*VLOOKUP('Données projet'!$B$15,Paramètres!$A$1:$I$89,3,0)*0.475*44/12</f>
        <v>1.6321777477522625</v>
      </c>
      <c r="EY73" s="22">
        <f t="shared" si="75"/>
        <v>50.797086092084157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4.5999999999999996</v>
      </c>
      <c r="FD73" s="12">
        <f t="array" ref="FD73">INDEX(FC:FC,MIN(IF(ISNUMBER(FC73:FC269),ROW(FC73:FC269),"")))</f>
        <v>4.5999999999999996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01"/>
        <v>61.941400506884484</v>
      </c>
      <c r="FH73" s="20">
        <f t="shared" si="76"/>
        <v>554.33871254949031</v>
      </c>
      <c r="FI73" s="59">
        <f t="shared" si="77"/>
        <v>820.74425668649974</v>
      </c>
      <c r="FJ73" s="59">
        <f ca="1">AVERAGE(OFFSET($FI$3,0,0,'Données projet'!$E$16+1,1))-AVERAGE(OFFSET($H$3,0,0,'Données projet'!$E$16+1,1))</f>
        <v>383.47860767209028</v>
      </c>
      <c r="FK73" s="59">
        <f t="shared" si="102"/>
        <v>370.49129421395628</v>
      </c>
      <c r="FL73" s="15">
        <f>IF(ISNA(VLOOKUP(A73,'Données projet'!$A$217:$I$237,3,0)),0,VLOOKUP(A73,'Données projet'!$A$217:$I$237,3,0))</f>
        <v>12</v>
      </c>
      <c r="FM73" s="15">
        <f>IF(ISNA(VLOOKUP(A73,'Données projet'!$A$217:$I$237,4,0)),0,VLOOKUP(A73,'Données projet'!$A$217:$I$237,4,0))</f>
        <v>13</v>
      </c>
      <c r="FN73" s="16">
        <f>IF(ISNA(VLOOKUP(A73,'Données projet'!$A$217:$I$237,5,0)),0%,VLOOKUP(A73,'Données projet'!$A$217:$I$237,5,0)*VLOOKUP('Données projet'!$B$16,Paramètres!$A$1:$I$89,7,0))</f>
        <v>0.13250000000000001</v>
      </c>
      <c r="FO73" s="16">
        <f>IF(ISNA(VLOOKUP(A73,'Données projet'!$A$217:$I$237,6,0)),0%,VLOOKUP(A73,'Données projet'!$A$217:$I$237,6,0)*VLOOKUP('Données projet'!$B$16,Paramètres!$A$1:$I$89,7,0))</f>
        <v>0.13250000000000001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15.236693950607769</v>
      </c>
      <c r="FR73" s="21">
        <f>EXP(-LN(2)/25)*FR72+(1-EXP(-LN(2)/25))/(LN(2)/25)*Calculateur!FM73*Calculateur!FO73*VLOOKUP('Données projet'!$B$16,Paramètres!$A$1:$I$89,3,0)*0.475*44/12</f>
        <v>15.883411722330479</v>
      </c>
      <c r="FS73" s="21">
        <f>EXP(-LN(2)/2)*FS72+(1-EXP(-LN(2)/2))/(LN(2)/2)*FM73*FP73*VLOOKUP('Données projet'!$B$16,Paramètres!$A$1:$I$89,3,0)*0.475*44/12</f>
        <v>3.0324676565844926</v>
      </c>
      <c r="FT73" s="22">
        <f t="shared" si="78"/>
        <v>34.152573329522738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6.7437500000000021</v>
      </c>
      <c r="FZ73" s="12">
        <f>IF('Données projet'!$A$244&gt;35,FZ72+FY73-GH72,IF(A73&lt;'Données projet'!$A$244,$FW$205^A73,IF(A73='Données projet'!$A$244,'Données projet'!$B$244,FZ72+FY73-GH72)))</f>
        <v>155.31375</v>
      </c>
      <c r="GA73" s="17">
        <f>FZ73*VLOOKUP('Données projet'!$B$17,Paramètres!$A$1:$I$89,3,0)*VLOOKUP('Données projet'!$B$17,Paramètres!$A$1:$I$89,5,0)</f>
        <v>176.87129849999999</v>
      </c>
      <c r="GB73" s="13">
        <f t="shared" si="103"/>
        <v>44.625398966300217</v>
      </c>
      <c r="GC73" s="20">
        <f t="shared" si="79"/>
        <v>385.77341475380621</v>
      </c>
      <c r="GD73" s="59">
        <f t="shared" si="80"/>
        <v>652.17895889081569</v>
      </c>
      <c r="GE73" s="59">
        <f ca="1">AVERAGE(OFFSET($GD$3,0,0,'Données projet'!$E$17+1,1))-AVERAGE(OFFSET($H$3,0,0,'Données projet'!$E$17+1,1))</f>
        <v>640.05156427113661</v>
      </c>
      <c r="GF73" s="59">
        <f t="shared" si="104"/>
        <v>308.77220155372902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41.535903216058472</v>
      </c>
      <c r="GN73" s="21">
        <f>EXP(-LN(2)/2)*GN72+(1-EXP(-LN(2)/2))/(LN(2)/2)*GH73*GK73*VLOOKUP('Données projet'!$B$17,Paramètres!$A$1:$I$89,3,0)*0.475*44/12</f>
        <v>6.9049283528957739</v>
      </c>
      <c r="GO73" s="21">
        <f t="shared" si="81"/>
        <v>48.440831568954245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13.374285714285715</v>
      </c>
      <c r="N74" s="13">
        <f>IF('Données projet'!$A$36&gt;35,N73+M74-V73,IF(A74&lt;'Données projet'!$A$36,$K$205^A74,IF(A74='Données projet'!$A$36,'Données projet'!$B$36,N73+M74-V73)))</f>
        <v>371.64571428571401</v>
      </c>
      <c r="O74" s="13">
        <f>N74*VLOOKUP('Données projet'!$B$9,Paramètres!$A$1:$I$89,3,0)*VLOOKUP('Données projet'!$B$9,Paramètres!$A$1:$I$89,5,0)</f>
        <v>313.07434971428552</v>
      </c>
      <c r="P74" s="13">
        <f t="shared" si="87"/>
        <v>73.910507535868305</v>
      </c>
      <c r="Q74" s="20">
        <f t="shared" si="54"/>
        <v>673.99862637735123</v>
      </c>
      <c r="R74" s="59">
        <f t="shared" si="55"/>
        <v>940.87130745539912</v>
      </c>
      <c r="S74" s="59">
        <f ca="1">AVERAGE(OFFSET($R$3,0,0,'Données projet'!$E$9+1,1))-AVERAGE(OFFSET($H$3,0,0,'Données projet'!$E$9+1,1))</f>
        <v>456.35333554128226</v>
      </c>
      <c r="T74" s="59">
        <f t="shared" si="88"/>
        <v>296.4517290984877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22.755618006731183</v>
      </c>
      <c r="AA74" s="21">
        <f>EXP(-LN(2)/25)*AA73+(1-EXP(-LN(2)/25))/(LN(2)/25)*Calculateur!V74*Calculateur!X74*VLOOKUP('Données projet'!$B$9,Paramètres!$A$1:$I$89,3,0)*0.475*44/12</f>
        <v>23.875253418747167</v>
      </c>
      <c r="AB74" s="21">
        <f>EXP(-LN(2)/2)*AB73+(1-EXP(-LN(2)/2))/(LN(2)/2)*V74*Y74*VLOOKUP('Données projet'!$B$9,Paramètres!$A$1:$I$89,3,0)*0.475*44/12</f>
        <v>0.61478364318801049</v>
      </c>
      <c r="AC74" s="22">
        <f t="shared" si="57"/>
        <v>47.245655068666359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4.2</v>
      </c>
      <c r="AI74" s="13">
        <f>IF('Données projet'!$A$62&gt;35,AI73+AH74-AQ73,IF(A74&lt;'Données projet'!$A$62,$AF$205^A74,IF(A74='Données projet'!$A$62,'Données projet'!$B$62,AI73+AH74-AQ73)))</f>
        <v>307.19999999999993</v>
      </c>
      <c r="AJ74" s="13">
        <f>AI74*VLOOKUP('Données projet'!$B$10,Paramètres!$A$1:$I$89,3,0)*VLOOKUP('Données projet'!$B$10,Paramètres!$A$1:$I$89,5,0)</f>
        <v>268.36991999999998</v>
      </c>
      <c r="AK74" s="13">
        <f t="shared" si="89"/>
        <v>64.503203342054107</v>
      </c>
      <c r="AL74" s="20">
        <f t="shared" si="58"/>
        <v>579.75402315407757</v>
      </c>
      <c r="AM74" s="59">
        <f t="shared" si="59"/>
        <v>846.62670423212558</v>
      </c>
      <c r="AN74" s="59">
        <f ca="1">AVERAGE(OFFSET($AM$3,0,0,'Données projet'!$E$10+1,1))-AVERAGE(OFFSET($H$3,0,0,'Données projet'!$E$10+1,1))</f>
        <v>408.246209980743</v>
      </c>
      <c r="AO74" s="59">
        <f t="shared" si="90"/>
        <v>394.10236303013903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16.086981804602168</v>
      </c>
      <c r="AV74" s="21">
        <f>EXP(-LN(2)/25)*AV73+(1-EXP(-LN(2)/25))/(LN(2)/25)*Calculateur!AQ74*Calculateur!AS74*VLOOKUP('Données projet'!$B$10,Paramètres!$A$1:$I$89,3,0)*0.475*44/12</f>
        <v>16.637469685319566</v>
      </c>
      <c r="AW74" s="21">
        <f>EXP(-LN(2)/2)*AW73+(1-EXP(-LN(2)/2))/(LN(2)/2)*AQ74*AT74*VLOOKUP('Données projet'!$B$10,Paramètres!$A$1:$I$89,3,0)*0.475*44/12</f>
        <v>2.3092229393689871</v>
      </c>
      <c r="AX74" s="21">
        <f t="shared" si="60"/>
        <v>35.03367442929072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6.7437500000000021</v>
      </c>
      <c r="BD74" s="12">
        <f>IF('Données projet'!$A$88&gt;35,BD73+BC74-BL73,IF(A74&lt;'Données projet'!$A$88,$BA$205^A74,IF(A74='Données projet'!$A$88,'Données projet'!$B$88,BD73+BC74-BL73)))</f>
        <v>162.0575</v>
      </c>
      <c r="BE74" s="13">
        <f>BD74*VLOOKUP('Données projet'!$B$11,Paramètres!$A$1:$I$89,3,0)*VLOOKUP('Données projet'!$B$11,Paramètres!$A$1:$I$89,5,0)</f>
        <v>164.32630500000002</v>
      </c>
      <c r="BF74" s="13">
        <f t="shared" si="91"/>
        <v>41.816805184010924</v>
      </c>
      <c r="BG74" s="20">
        <f t="shared" si="61"/>
        <v>359.03258357048571</v>
      </c>
      <c r="BH74" s="59">
        <f t="shared" si="62"/>
        <v>625.9052646485336</v>
      </c>
      <c r="BI74" s="59">
        <f ca="1">AVERAGE(OFFSET($BH$3,0,0,'Données projet'!$E$11+1,1))-AVERAGE(OFFSET($H$3,0,0,'Données projet'!$E$11+1,1))</f>
        <v>580.02848304986492</v>
      </c>
      <c r="BJ74" s="59">
        <f t="shared" si="92"/>
        <v>281.68891895586728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35.972693346464574</v>
      </c>
      <c r="BR74" s="21">
        <f>EXP(-LN(2)/2)*BR73+(1-EXP(-LN(2)/2))/(LN(2)/2)*BL74*BO74*VLOOKUP('Données projet'!$B$11,Paramètres!$A$1:$I$89,3,0)*0.475*44/12</f>
        <v>4.3474507948779593</v>
      </c>
      <c r="BS74" s="22">
        <f t="shared" si="63"/>
        <v>40.320144141342531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5.6843418860808015E-14</v>
      </c>
      <c r="BZ74" s="13">
        <f>BY74*VLOOKUP('Données projet'!$B$12,Paramètres!$A$1:$I$89,3,0)*VLOOKUP('Données projet'!$B$12,Paramètres!$A$1:$I$89,5,0)</f>
        <v>4.4337866711430253E-14</v>
      </c>
      <c r="CA74" s="13">
        <f t="shared" si="93"/>
        <v>7.3222115536967035E-13</v>
      </c>
      <c r="CB74" s="20">
        <f t="shared" si="64"/>
        <v>1.3525069634579169E-12</v>
      </c>
      <c r="CC74" s="59">
        <f t="shared" si="65"/>
        <v>266.87268107804931</v>
      </c>
      <c r="CD74" s="59">
        <f ca="1">AVERAGE(OFFSET($CC$3,0,0,'Données projet'!$E$12+1,1))-AVERAGE(OFFSET($H$3,0,0,'Données projet'!$E$12+1,1))</f>
        <v>308.85018589589453</v>
      </c>
      <c r="CE74" s="59">
        <f t="shared" si="94"/>
        <v>302.59481222418219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41.328762416132442</v>
      </c>
      <c r="CL74" s="21">
        <f>EXP(-LN(2)/25)*CL73+(1-EXP(-LN(2)/25))/(LN(2)/25)*Calculateur!CG74*Calculateur!CI74*VLOOKUP('Données projet'!$B$12,Paramètres!$A$1:$I$89,3,0)*0.475*44/12</f>
        <v>40.051522580991538</v>
      </c>
      <c r="CM74" s="21">
        <f>EXP(-LN(2)/2)*CM73+(1-EXP(-LN(2)/2))/(LN(2)/2)*CG74*CJ74*VLOOKUP('Données projet'!$B$12,Paramètres!$A$1:$I$89,3,0)*0.475*44/12</f>
        <v>30.378010826641692</v>
      </c>
      <c r="CN74" s="22">
        <f t="shared" si="66"/>
        <v>111.75829582376568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4.6153846153846185</v>
      </c>
      <c r="CT74" s="12">
        <f>IF('Données projet'!$A$140&gt;35,CT73+CS74-DB73,IF(A74&lt;'Données projet'!$A$140,$CQ$205^A74,IF(A74='Données projet'!$A$140,'Données projet'!$B$140,CT73+CS74-DB73)))</f>
        <v>242.43589743589752</v>
      </c>
      <c r="CU74" s="17">
        <f>CT74*VLOOKUP('Données projet'!$B$13,Paramètres!$A$1:$I$89,3,0)*VLOOKUP('Données projet'!$B$13,Paramètres!$A$1:$I$89,5,0)</f>
        <v>162.62600000000006</v>
      </c>
      <c r="CV74" s="13">
        <f t="shared" si="95"/>
        <v>41.43425469159893</v>
      </c>
      <c r="CW74" s="20">
        <f t="shared" si="67"/>
        <v>355.40494358786822</v>
      </c>
      <c r="CX74" s="59">
        <f t="shared" si="68"/>
        <v>622.27762466591616</v>
      </c>
      <c r="CY74" s="59">
        <f ca="1">AVERAGE(OFFSET($CX$3,0,0,'Données projet'!$E$13+1,1))-AVERAGE(OFFSET($H$3,0,0,'Données projet'!$E$13+1,1))</f>
        <v>335.73816489539837</v>
      </c>
      <c r="CZ74" s="59">
        <f t="shared" si="96"/>
        <v>254.09787950201044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3.6980241698699192</v>
      </c>
      <c r="DG74" s="21">
        <f>EXP(-LN(2)/25)*DG73+(1-EXP(-LN(2)/25))/(LN(2)/25)*Calculateur!DB74*Calculateur!DD74*VLOOKUP('Données projet'!$B$13,Paramètres!$A$1:$I$89,3,0)*0.475*44/12</f>
        <v>9.0082975619828503</v>
      </c>
      <c r="DH74" s="21">
        <f>EXP(-LN(2)/2)*DH73+(1-EXP(-LN(2)/2))/(LN(2)/2)*DB74*DE74*VLOOKUP('Données projet'!$B$13,Paramètres!$A$1:$I$89,3,0)*0.475*44/12</f>
        <v>1.9073218946870483</v>
      </c>
      <c r="DI74" s="22">
        <f t="shared" si="69"/>
        <v>14.613643626539817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9.65625</v>
      </c>
      <c r="DO74" s="12">
        <f>IF('Données projet'!$A$166&gt;35,DO73+DN74-DW73,IF(A74&lt;'Données projet'!$A$166,$DL$205^A74,IF(A74='Données projet'!$A$166,'Données projet'!$B$166,DO73+DN74-DW73)))</f>
        <v>235.13499999999996</v>
      </c>
      <c r="DP74" s="17">
        <f>DO74*VLOOKUP('Données projet'!$B$14,Paramètres!$A$1:$I$89,3,0)*VLOOKUP('Données projet'!$B$14,Paramètres!$A$1:$I$89,5,0)</f>
        <v>227.42257199999997</v>
      </c>
      <c r="DQ74" s="13">
        <f t="shared" si="97"/>
        <v>55.725016340524988</v>
      </c>
      <c r="DR74" s="20">
        <f t="shared" si="70"/>
        <v>493.1487163597476</v>
      </c>
      <c r="DS74" s="59">
        <f t="shared" si="71"/>
        <v>760.02139743779549</v>
      </c>
      <c r="DT74" s="59">
        <f ca="1">AVERAGE(OFFSET($DS$3,0,0,'Données projet'!$E$14+1,1))-AVERAGE(OFFSET($H$3,0,0,'Données projet'!$E$14+1,1))</f>
        <v>493.03862850474161</v>
      </c>
      <c r="DU74" s="59">
        <f t="shared" si="98"/>
        <v>312.51819065560528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16.534508536607078</v>
      </c>
      <c r="EB74" s="21">
        <f>EXP(-LN(2)/25)*EB73+(1-EXP(-LN(2)/25))/(LN(2)/25)*Calculateur!DW74*Calculateur!DY74*VLOOKUP('Données projet'!$B$14,Paramètres!$A$1:$I$89,3,0)*0.475*44/12</f>
        <v>26.565092301159606</v>
      </c>
      <c r="EC74" s="21">
        <f>EXP(-LN(2)/2)*EC73+(1-EXP(-LN(2)/2))/(LN(2)/2)*DW74*DZ74*VLOOKUP('Données projet'!$B$14,Paramètres!$A$1:$I$89,3,0)*0.475*44/12</f>
        <v>1.0370389147727468</v>
      </c>
      <c r="ED74" s="22">
        <f t="shared" si="72"/>
        <v>44.136639752539431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9.65625</v>
      </c>
      <c r="EJ74" s="12">
        <f>IF('Données projet'!$A$192&gt;35,EJ73+EI74-ER73,IF(A74&lt;'Données projet'!$A$192,$EG$205^A74,IF(A74='Données projet'!$A$192,'Données projet'!$B$192,EJ73+EI74-ER73)))</f>
        <v>235.13499999999996</v>
      </c>
      <c r="EK74" s="17">
        <f>EJ74*VLOOKUP('Données projet'!$B$15,Paramètres!$A$1:$I$89,3,0)*VLOOKUP('Données projet'!$B$15,Paramètres!$A$1:$I$89,5,0)</f>
        <v>253.09931399999994</v>
      </c>
      <c r="EL74" s="13">
        <f t="shared" si="99"/>
        <v>61.249135641102818</v>
      </c>
      <c r="EM74" s="20">
        <f t="shared" si="73"/>
        <v>547.49021645825394</v>
      </c>
      <c r="EN74" s="59">
        <f t="shared" si="74"/>
        <v>814.36289753630194</v>
      </c>
      <c r="EO74" s="59">
        <f ca="1">AVERAGE(OFFSET($EN$3,0,0,'Données projet'!$E$15+1,1))-AVERAGE(OFFSET($H$3,0,0,'Données projet'!$E$15+1,1))</f>
        <v>539.72194201710272</v>
      </c>
      <c r="EP74" s="59">
        <f t="shared" si="100"/>
        <v>340.76505385159362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18.401307887514328</v>
      </c>
      <c r="EW74" s="21">
        <f>EXP(-LN(2)/25)*EW73+(1-EXP(-LN(2)/25))/(LN(2)/25)*Calculateur!ER74*Calculateur!ET74*VLOOKUP('Données projet'!$B$15,Paramètres!$A$1:$I$89,3,0)*0.475*44/12</f>
        <v>29.564376915806672</v>
      </c>
      <c r="EX74" s="21">
        <f>EXP(-LN(2)/2)*EX73+(1-EXP(-LN(2)/2))/(LN(2)/2)*ER74*EU74*VLOOKUP('Données projet'!$B$15,Paramètres!$A$1:$I$89,3,0)*0.475*44/12</f>
        <v>1.154123953537411</v>
      </c>
      <c r="EY74" s="22">
        <f t="shared" si="75"/>
        <v>49.119808756858404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4.2</v>
      </c>
      <c r="FE74" s="12">
        <f>IF('Données projet'!$A$218&gt;35,FE73+FD74-FM73,IF(A74&lt;'Données projet'!$A$218,$FB$205^A74,IF(A74='Données projet'!$A$218,'Données projet'!$B$218,FE73+FD74-FM73)))</f>
        <v>307.19999999999993</v>
      </c>
      <c r="FF74" s="17">
        <f>FE74*VLOOKUP('Données projet'!$B$16,Paramètres!$A$1:$I$89,3,0)*VLOOKUP('Données projet'!$B$16,Paramètres!$A$1:$I$89,5,0)</f>
        <v>249.20063999999996</v>
      </c>
      <c r="FG74" s="13">
        <f t="shared" si="101"/>
        <v>60.414738047899995</v>
      </c>
      <c r="FH74" s="20">
        <f t="shared" si="76"/>
        <v>539.24678343342578</v>
      </c>
      <c r="FI74" s="59">
        <f t="shared" si="77"/>
        <v>806.11946451147378</v>
      </c>
      <c r="FJ74" s="59">
        <f ca="1">AVERAGE(OFFSET($FI$3,0,0,'Données projet'!$E$16+1,1))-AVERAGE(OFFSET($H$3,0,0,'Données projet'!$E$16+1,1))</f>
        <v>383.47860767209028</v>
      </c>
      <c r="FK74" s="59">
        <f t="shared" si="102"/>
        <v>370.49129421395628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14.937911675702008</v>
      </c>
      <c r="FR74" s="21">
        <f>EXP(-LN(2)/25)*FR73+(1-EXP(-LN(2)/25))/(LN(2)/25)*Calculateur!FM74*Calculateur!FO74*VLOOKUP('Données projet'!$B$16,Paramètres!$A$1:$I$89,3,0)*0.475*44/12</f>
        <v>15.449078993511032</v>
      </c>
      <c r="FS74" s="21">
        <f>EXP(-LN(2)/2)*FS73+(1-EXP(-LN(2)/2))/(LN(2)/2)*FM74*FP74*VLOOKUP('Données projet'!$B$16,Paramètres!$A$1:$I$89,3,0)*0.475*44/12</f>
        <v>2.1442784436997733</v>
      </c>
      <c r="FT74" s="22">
        <f t="shared" si="78"/>
        <v>32.531269112912817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6.7437500000000021</v>
      </c>
      <c r="FZ74" s="12">
        <f>IF('Données projet'!$A$244&gt;35,FZ73+FY74-GH73,IF(A74&lt;'Données projet'!$A$244,$FW$205^A74,IF(A74='Données projet'!$A$244,'Données projet'!$B$244,FZ73+FY74-GH73)))</f>
        <v>162.0575</v>
      </c>
      <c r="GA74" s="17">
        <f>FZ74*VLOOKUP('Données projet'!$B$17,Paramètres!$A$1:$I$89,3,0)*VLOOKUP('Données projet'!$B$17,Paramètres!$A$1:$I$89,5,0)</f>
        <v>184.55108100000001</v>
      </c>
      <c r="GB74" s="13">
        <f t="shared" si="103"/>
        <v>46.333241717897458</v>
      </c>
      <c r="GC74" s="20">
        <f t="shared" si="79"/>
        <v>402.12352873367144</v>
      </c>
      <c r="GD74" s="59">
        <f t="shared" si="80"/>
        <v>668.99620981171938</v>
      </c>
      <c r="GE74" s="59">
        <f ca="1">AVERAGE(OFFSET($GD$3,0,0,'Données projet'!$E$17+1,1))-AVERAGE(OFFSET($H$3,0,0,'Données projet'!$E$17+1,1))</f>
        <v>640.05156427113661</v>
      </c>
      <c r="GF74" s="59">
        <f t="shared" si="104"/>
        <v>308.77220155372902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40.400101758337136</v>
      </c>
      <c r="GN74" s="21">
        <f>EXP(-LN(2)/2)*GN73+(1-EXP(-LN(2)/2))/(LN(2)/2)*GH74*GK74*VLOOKUP('Données projet'!$B$17,Paramètres!$A$1:$I$89,3,0)*0.475*44/12</f>
        <v>4.8825216619398599</v>
      </c>
      <c r="GO74" s="21">
        <f t="shared" si="81"/>
        <v>45.282623420276998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>
        <f>VLOOKUP(A75,'Données projet'!$A$35:$I$55,2,0)</f>
        <v>385.02</v>
      </c>
      <c r="L75" s="12">
        <f>VLOOKUP(A75,'Données projet'!$A$35:$I$55,9,0)</f>
        <v>13.374285714285715</v>
      </c>
      <c r="M75" s="12">
        <f t="array" ref="M75">INDEX(L:L,MIN(IF(ISNUMBER(L75:L271),ROW(L75:L271),"")))</f>
        <v>13.374285714285715</v>
      </c>
      <c r="N75" s="13">
        <f>IF('Données projet'!$A$36&gt;35,N74+M75-V74,IF(A75&lt;'Données projet'!$A$36,$K$205^A75,IF(A75='Données projet'!$A$36,'Données projet'!$B$36,N74+M75-V74)))</f>
        <v>385.0199999999997</v>
      </c>
      <c r="O75" s="13">
        <f>N75*VLOOKUP('Données projet'!$B$9,Paramètres!$A$1:$I$89,3,0)*VLOOKUP('Données projet'!$B$9,Paramètres!$A$1:$I$89,5,0)</f>
        <v>324.34084799999977</v>
      </c>
      <c r="P75" s="13">
        <f t="shared" si="87"/>
        <v>76.255842015925083</v>
      </c>
      <c r="Q75" s="20">
        <f t="shared" si="54"/>
        <v>697.7059017777359</v>
      </c>
      <c r="R75" s="59">
        <f t="shared" si="55"/>
        <v>965.03761601525707</v>
      </c>
      <c r="S75" s="59">
        <f ca="1">AVERAGE(OFFSET($R$3,0,0,'Données projet'!$E$9+1,1))-AVERAGE(OFFSET($H$3,0,0,'Données projet'!$E$9+1,1))</f>
        <v>456.35333554128226</v>
      </c>
      <c r="T75" s="59">
        <f t="shared" si="88"/>
        <v>296.4517290984877</v>
      </c>
      <c r="U75" s="15">
        <f>IF(ISNA(VLOOKUP(A75,'Données projet'!$A$35:$I$55,3,0)),0,VLOOKUP(A75,'Données projet'!$A$35:$I$55,3,0))</f>
        <v>7</v>
      </c>
      <c r="V75" s="15">
        <f>IF(ISNA(VLOOKUP(A75,'Données projet'!$A$35:$I$55,4,0)),0,VLOOKUP(A75,'Données projet'!$A$35:$I$55,4,0))</f>
        <v>66.109999999999957</v>
      </c>
      <c r="W75" s="16">
        <f>IF(ISNA(VLOOKUP(A75,'Données projet'!$A$35:$I$55,5,0)),0%,VLOOKUP(A75,'Données projet'!$A$35:$I$55,5,0)*VLOOKUP('Données projet'!$B$9,Paramètres!$A$1:$I$89,7,0))</f>
        <v>0.15049999999999999</v>
      </c>
      <c r="X75" s="16">
        <f>IF(ISNA(VLOOKUP(A75,'Données projet'!$A$35:$I$55,6,0)),0%,VLOOKUP(A75,'Données projet'!$A$35:$I$55,6,0)*VLOOKUP('Données projet'!$B$9,Paramètres!$A$1:$I$89,7,0))</f>
        <v>8.6000000000000007E-2</v>
      </c>
      <c r="Y75" s="16">
        <f>IF(ISNA(VLOOKUP(A75,'Données projet'!$A$35:$I$55,7,0)),0%,VLOOKUP(A75,'Données projet'!$A$35:$I$55,7,0))</f>
        <v>0.1</v>
      </c>
      <c r="Z75" s="21">
        <f>EXP(-LN(2)/35)*Z74+(1-EXP(-LN(2)/35))/(LN(2)/35)*V75*W75*VLOOKUP('Données projet'!$B$9,Paramètres!$A$1:$I$89,3,0)*0.475*44/12</f>
        <v>31.574899876505079</v>
      </c>
      <c r="AA75" s="21">
        <f>EXP(-LN(2)/25)*AA74+(1-EXP(-LN(2)/25))/(LN(2)/25)*Calculateur!V75*Calculateur!X75*VLOOKUP('Données projet'!$B$9,Paramètres!$A$1:$I$89,3,0)*0.475*44/12</f>
        <v>28.496111263103195</v>
      </c>
      <c r="AB75" s="21">
        <f>EXP(-LN(2)/2)*AB74+(1-EXP(-LN(2)/2))/(LN(2)/2)*V75*Y75*VLOOKUP('Données projet'!$B$9,Paramètres!$A$1:$I$89,3,0)*0.475*44/12</f>
        <v>5.689319461761932</v>
      </c>
      <c r="AC75" s="22">
        <f t="shared" si="57"/>
        <v>65.7603306013702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4.2</v>
      </c>
      <c r="AI75" s="13">
        <f>IF('Données projet'!$A$62&gt;35,AI74+AH75-AQ74,IF(A75&lt;'Données projet'!$A$62,$AF$205^A75,IF(A75='Données projet'!$A$62,'Données projet'!$B$62,AI74+AH75-AQ74)))</f>
        <v>311.39999999999992</v>
      </c>
      <c r="AJ75" s="13">
        <f>AI75*VLOOKUP('Données projet'!$B$10,Paramètres!$A$1:$I$89,3,0)*VLOOKUP('Données projet'!$B$10,Paramètres!$A$1:$I$89,5,0)</f>
        <v>272.03904</v>
      </c>
      <c r="AK75" s="13">
        <f t="shared" si="89"/>
        <v>65.281815371368268</v>
      </c>
      <c r="AL75" s="20">
        <f t="shared" si="58"/>
        <v>587.50048977179972</v>
      </c>
      <c r="AM75" s="59">
        <f t="shared" si="59"/>
        <v>854.83220400932078</v>
      </c>
      <c r="AN75" s="59">
        <f ca="1">AVERAGE(OFFSET($AM$3,0,0,'Données projet'!$E$10+1,1))-AVERAGE(OFFSET($H$3,0,0,'Données projet'!$E$10+1,1))</f>
        <v>408.246209980743</v>
      </c>
      <c r="AO75" s="59">
        <f t="shared" si="90"/>
        <v>394.10236303013903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15.771525903503957</v>
      </c>
      <c r="AV75" s="21">
        <f>EXP(-LN(2)/25)*AV74+(1-EXP(-LN(2)/25))/(LN(2)/25)*Calculateur!AQ75*Calculateur!AS75*VLOOKUP('Données projet'!$B$10,Paramètres!$A$1:$I$89,3,0)*0.475*44/12</f>
        <v>16.182517201847997</v>
      </c>
      <c r="AW75" s="21">
        <f>EXP(-LN(2)/2)*AW74+(1-EXP(-LN(2)/2))/(LN(2)/2)*AQ75*AT75*VLOOKUP('Données projet'!$B$10,Paramètres!$A$1:$I$89,3,0)*0.475*44/12</f>
        <v>1.6328671996993427</v>
      </c>
      <c r="AX75" s="21">
        <f t="shared" si="60"/>
        <v>33.586910305051298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6.7437500000000021</v>
      </c>
      <c r="BD75" s="12">
        <f>IF('Données projet'!$A$88&gt;35,BD74+BC75-BL74,IF(A75&lt;'Données projet'!$A$88,$BA$205^A75,IF(A75='Données projet'!$A$88,'Données projet'!$B$88,BD74+BC75-BL74)))</f>
        <v>168.80125000000001</v>
      </c>
      <c r="BE75" s="13">
        <f>BD75*VLOOKUP('Données projet'!$B$11,Paramètres!$A$1:$I$89,3,0)*VLOOKUP('Données projet'!$B$11,Paramètres!$A$1:$I$89,5,0)</f>
        <v>171.16446750000003</v>
      </c>
      <c r="BF75" s="13">
        <f t="shared" si="91"/>
        <v>43.350721861592397</v>
      </c>
      <c r="BG75" s="20">
        <f t="shared" si="61"/>
        <v>373.61395480477341</v>
      </c>
      <c r="BH75" s="59">
        <f t="shared" si="62"/>
        <v>640.94566904229453</v>
      </c>
      <c r="BI75" s="59">
        <f ca="1">AVERAGE(OFFSET($BH$3,0,0,'Données projet'!$E$11+1,1))-AVERAGE(OFFSET($H$3,0,0,'Données projet'!$E$11+1,1))</f>
        <v>580.02848304986492</v>
      </c>
      <c r="BJ75" s="59">
        <f t="shared" si="92"/>
        <v>281.68891895586728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34.989018155183771</v>
      </c>
      <c r="BR75" s="21">
        <f>EXP(-LN(2)/2)*BR74+(1-EXP(-LN(2)/2))/(LN(2)/2)*BL75*BO75*VLOOKUP('Données projet'!$B$11,Paramètres!$A$1:$I$89,3,0)*0.475*44/12</f>
        <v>3.0741119379330515</v>
      </c>
      <c r="BS75" s="22">
        <f t="shared" si="63"/>
        <v>38.063130093116825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5.6843418860808015E-14</v>
      </c>
      <c r="BZ75" s="13">
        <f>BY75*VLOOKUP('Données projet'!$B$12,Paramètres!$A$1:$I$89,3,0)*VLOOKUP('Données projet'!$B$12,Paramètres!$A$1:$I$89,5,0)</f>
        <v>4.4337866711430253E-14</v>
      </c>
      <c r="CA75" s="13">
        <f t="shared" si="93"/>
        <v>7.3222115536967035E-13</v>
      </c>
      <c r="CB75" s="20">
        <f t="shared" si="64"/>
        <v>1.3525069634579169E-12</v>
      </c>
      <c r="CC75" s="59">
        <f t="shared" si="65"/>
        <v>267.33171423752248</v>
      </c>
      <c r="CD75" s="59">
        <f ca="1">AVERAGE(OFFSET($CC$3,0,0,'Données projet'!$E$12+1,1))-AVERAGE(OFFSET($H$3,0,0,'Données projet'!$E$12+1,1))</f>
        <v>308.85018589589453</v>
      </c>
      <c r="CE75" s="59">
        <f t="shared" si="94"/>
        <v>302.59481222418219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40.51833059320807</v>
      </c>
      <c r="CL75" s="21">
        <f>EXP(-LN(2)/25)*CL74+(1-EXP(-LN(2)/25))/(LN(2)/25)*Calculateur!CG75*Calculateur!CI75*VLOOKUP('Données projet'!$B$12,Paramètres!$A$1:$I$89,3,0)*0.475*44/12</f>
        <v>38.956311589796293</v>
      </c>
      <c r="CM75" s="21">
        <f>EXP(-LN(2)/2)*CM74+(1-EXP(-LN(2)/2))/(LN(2)/2)*CG75*CJ75*VLOOKUP('Données projet'!$B$12,Paramètres!$A$1:$I$89,3,0)*0.475*44/12</f>
        <v>21.480497454476701</v>
      </c>
      <c r="CN75" s="22">
        <f t="shared" si="66"/>
        <v>100.95513963748107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4.6153846153846185</v>
      </c>
      <c r="CT75" s="12">
        <f>IF('Données projet'!$A$140&gt;35,CT74+CS75-DB74,IF(A75&lt;'Données projet'!$A$140,$CQ$205^A75,IF(A75='Données projet'!$A$140,'Données projet'!$B$140,CT74+CS75-DB74)))</f>
        <v>247.05128205128213</v>
      </c>
      <c r="CU75" s="17">
        <f>CT75*VLOOKUP('Données projet'!$B$13,Paramètres!$A$1:$I$89,3,0)*VLOOKUP('Données projet'!$B$13,Paramètres!$A$1:$I$89,5,0)</f>
        <v>165.72200000000007</v>
      </c>
      <c r="CV75" s="13">
        <f t="shared" si="95"/>
        <v>42.130477313738076</v>
      </c>
      <c r="CW75" s="20">
        <f t="shared" si="67"/>
        <v>362.0097313214273</v>
      </c>
      <c r="CX75" s="59">
        <f t="shared" si="68"/>
        <v>629.34144555894841</v>
      </c>
      <c r="CY75" s="59">
        <f ca="1">AVERAGE(OFFSET($CX$3,0,0,'Données projet'!$E$13+1,1))-AVERAGE(OFFSET($H$3,0,0,'Données projet'!$E$13+1,1))</f>
        <v>335.73816489539837</v>
      </c>
      <c r="CZ75" s="59">
        <f t="shared" si="96"/>
        <v>254.09787950201044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3.6255081714707944</v>
      </c>
      <c r="DG75" s="21">
        <f>EXP(-LN(2)/25)*DG74+(1-EXP(-LN(2)/25))/(LN(2)/25)*Calculateur!DB75*Calculateur!DD75*VLOOKUP('Données projet'!$B$13,Paramètres!$A$1:$I$89,3,0)*0.475*44/12</f>
        <v>8.7619651914246486</v>
      </c>
      <c r="DH75" s="21">
        <f>EXP(-LN(2)/2)*DH74+(1-EXP(-LN(2)/2))/(LN(2)/2)*DB75*DE75*VLOOKUP('Données projet'!$B$13,Paramètres!$A$1:$I$89,3,0)*0.475*44/12</f>
        <v>1.3486802456387861</v>
      </c>
      <c r="DI75" s="22">
        <f t="shared" si="69"/>
        <v>13.736153608534229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9.65625</v>
      </c>
      <c r="DO75" s="12">
        <f>IF('Données projet'!$A$166&gt;35,DO74+DN75-DW74,IF(A75&lt;'Données projet'!$A$166,$DL$205^A75,IF(A75='Données projet'!$A$166,'Données projet'!$B$166,DO74+DN75-DW74)))</f>
        <v>244.79124999999996</v>
      </c>
      <c r="DP75" s="17">
        <f>DO75*VLOOKUP('Données projet'!$B$14,Paramètres!$A$1:$I$89,3,0)*VLOOKUP('Données projet'!$B$14,Paramètres!$A$1:$I$89,5,0)</f>
        <v>236.76209699999998</v>
      </c>
      <c r="DQ75" s="13">
        <f t="shared" si="97"/>
        <v>57.742330108522509</v>
      </c>
      <c r="DR75" s="20">
        <f t="shared" si="70"/>
        <v>512.92854388067656</v>
      </c>
      <c r="DS75" s="59">
        <f t="shared" si="71"/>
        <v>780.26025811819773</v>
      </c>
      <c r="DT75" s="59">
        <f ca="1">AVERAGE(OFFSET($DS$3,0,0,'Données projet'!$E$14+1,1))-AVERAGE(OFFSET($H$3,0,0,'Données projet'!$E$14+1,1))</f>
        <v>493.03862850474161</v>
      </c>
      <c r="DU75" s="59">
        <f t="shared" si="98"/>
        <v>312.51819065560528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16.210276909258603</v>
      </c>
      <c r="EB75" s="21">
        <f>EXP(-LN(2)/25)*EB74+(1-EXP(-LN(2)/25))/(LN(2)/25)*Calculateur!DW75*Calculateur!DY75*VLOOKUP('Données projet'!$B$14,Paramètres!$A$1:$I$89,3,0)*0.475*44/12</f>
        <v>25.838668455186909</v>
      </c>
      <c r="EC75" s="21">
        <f>EXP(-LN(2)/2)*EC74+(1-EXP(-LN(2)/2))/(LN(2)/2)*DW75*DZ75*VLOOKUP('Données projet'!$B$14,Paramètres!$A$1:$I$89,3,0)*0.475*44/12</f>
        <v>0.73329724899014748</v>
      </c>
      <c r="ED75" s="22">
        <f t="shared" si="72"/>
        <v>42.782242613435663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9.65625</v>
      </c>
      <c r="EJ75" s="12">
        <f>IF('Données projet'!$A$192&gt;35,EJ74+EI75-ER74,IF(A75&lt;'Données projet'!$A$192,$EG$205^A75,IF(A75='Données projet'!$A$192,'Données projet'!$B$192,EJ74+EI75-ER74)))</f>
        <v>244.79124999999996</v>
      </c>
      <c r="EK75" s="17">
        <f>EJ75*VLOOKUP('Données projet'!$B$15,Paramètres!$A$1:$I$89,3,0)*VLOOKUP('Données projet'!$B$15,Paramètres!$A$1:$I$89,5,0)</f>
        <v>263.49330149999992</v>
      </c>
      <c r="EL75" s="13">
        <f t="shared" si="99"/>
        <v>63.466429286235211</v>
      </c>
      <c r="EM75" s="20">
        <f t="shared" si="73"/>
        <v>569.45486445269285</v>
      </c>
      <c r="EN75" s="59">
        <f t="shared" si="74"/>
        <v>836.7865786902139</v>
      </c>
      <c r="EO75" s="59">
        <f ca="1">AVERAGE(OFFSET($EN$3,0,0,'Données projet'!$E$15+1,1))-AVERAGE(OFFSET($H$3,0,0,'Données projet'!$E$15+1,1))</f>
        <v>539.72194201710272</v>
      </c>
      <c r="EP75" s="59">
        <f t="shared" si="100"/>
        <v>340.76505385159362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18.040469463529735</v>
      </c>
      <c r="EW75" s="21">
        <f>EXP(-LN(2)/25)*EW74+(1-EXP(-LN(2)/25))/(LN(2)/25)*Calculateur!ER75*Calculateur!ET75*VLOOKUP('Données projet'!$B$15,Paramètres!$A$1:$I$89,3,0)*0.475*44/12</f>
        <v>28.755937474320927</v>
      </c>
      <c r="EX75" s="21">
        <f>EXP(-LN(2)/2)*EX74+(1-EXP(-LN(2)/2))/(LN(2)/2)*ER75*EU75*VLOOKUP('Données projet'!$B$15,Paramètres!$A$1:$I$89,3,0)*0.475*44/12</f>
        <v>0.81608887387613127</v>
      </c>
      <c r="EY75" s="22">
        <f t="shared" si="75"/>
        <v>47.612495811726795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4.2</v>
      </c>
      <c r="FE75" s="12">
        <f>IF('Données projet'!$A$218&gt;35,FE74+FD75-FM74,IF(A75&lt;'Données projet'!$A$218,$FB$205^A75,IF(A75='Données projet'!$A$218,'Données projet'!$B$218,FE74+FD75-FM74)))</f>
        <v>311.39999999999992</v>
      </c>
      <c r="FF75" s="17">
        <f>FE75*VLOOKUP('Données projet'!$B$16,Paramètres!$A$1:$I$89,3,0)*VLOOKUP('Données projet'!$B$16,Paramètres!$A$1:$I$89,5,0)</f>
        <v>252.60767999999996</v>
      </c>
      <c r="FG75" s="13">
        <f t="shared" si="101"/>
        <v>61.143998601713257</v>
      </c>
      <c r="FH75" s="20">
        <f t="shared" si="76"/>
        <v>546.4508402313171</v>
      </c>
      <c r="FI75" s="59">
        <f t="shared" si="77"/>
        <v>813.78255446883827</v>
      </c>
      <c r="FJ75" s="59">
        <f ca="1">AVERAGE(OFFSET($FI$3,0,0,'Données projet'!$E$16+1,1))-AVERAGE(OFFSET($H$3,0,0,'Données projet'!$E$16+1,1))</f>
        <v>383.47860767209028</v>
      </c>
      <c r="FK75" s="59">
        <f t="shared" si="102"/>
        <v>370.49129421395628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14.644988338967956</v>
      </c>
      <c r="FR75" s="21">
        <f>EXP(-LN(2)/25)*FR74+(1-EXP(-LN(2)/25))/(LN(2)/25)*Calculateur!FM75*Calculateur!FO75*VLOOKUP('Données projet'!$B$16,Paramètres!$A$1:$I$89,3,0)*0.475*44/12</f>
        <v>15.026623116001717</v>
      </c>
      <c r="FS75" s="21">
        <f>EXP(-LN(2)/2)*FS74+(1-EXP(-LN(2)/2))/(LN(2)/2)*FM75*FP75*VLOOKUP('Données projet'!$B$16,Paramètres!$A$1:$I$89,3,0)*0.475*44/12</f>
        <v>1.5162338282922463</v>
      </c>
      <c r="FT75" s="22">
        <f t="shared" si="78"/>
        <v>31.187845283261918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6.7437500000000021</v>
      </c>
      <c r="FZ75" s="12">
        <f>IF('Données projet'!$A$244&gt;35,FZ74+FY75-GH74,IF(A75&lt;'Données projet'!$A$244,$FW$205^A75,IF(A75='Données projet'!$A$244,'Données projet'!$B$244,FZ74+FY75-GH74)))</f>
        <v>168.80125000000001</v>
      </c>
      <c r="GA75" s="17">
        <f>FZ75*VLOOKUP('Données projet'!$B$17,Paramètres!$A$1:$I$89,3,0)*VLOOKUP('Données projet'!$B$17,Paramètres!$A$1:$I$89,5,0)</f>
        <v>192.2308635</v>
      </c>
      <c r="GB75" s="13">
        <f t="shared" si="103"/>
        <v>48.032829524396625</v>
      </c>
      <c r="GC75" s="20">
        <f t="shared" si="79"/>
        <v>418.45926535082413</v>
      </c>
      <c r="GD75" s="59">
        <f t="shared" si="80"/>
        <v>685.79097958834518</v>
      </c>
      <c r="GE75" s="59">
        <f ca="1">AVERAGE(OFFSET($GD$3,0,0,'Données projet'!$E$17+1,1))-AVERAGE(OFFSET($H$3,0,0,'Données projet'!$E$17+1,1))</f>
        <v>640.05156427113661</v>
      </c>
      <c r="GF75" s="59">
        <f t="shared" si="104"/>
        <v>308.77220155372902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39.295358851206394</v>
      </c>
      <c r="GN75" s="21">
        <f>EXP(-LN(2)/2)*GN74+(1-EXP(-LN(2)/2))/(LN(2)/2)*GH75*GK75*VLOOKUP('Données projet'!$B$17,Paramètres!$A$1:$I$89,3,0)*0.475*44/12</f>
        <v>3.4524641764478869</v>
      </c>
      <c r="GO75" s="21">
        <f t="shared" si="81"/>
        <v>42.747823027654285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12.707777777777771</v>
      </c>
      <c r="N76" s="13">
        <f>IF('Données projet'!$A$36&gt;35,N75+M76-V75,IF(A76&lt;'Données projet'!$A$36,$K$205^A76,IF(A76='Données projet'!$A$36,'Données projet'!$B$36,N75+M76-V75)))</f>
        <v>331.61777777777752</v>
      </c>
      <c r="O76" s="13">
        <f>N76*VLOOKUP('Données projet'!$B$9,Paramètres!$A$1:$I$89,3,0)*VLOOKUP('Données projet'!$B$9,Paramètres!$A$1:$I$89,5,0)</f>
        <v>279.35481599999986</v>
      </c>
      <c r="P76" s="13">
        <f t="shared" si="87"/>
        <v>66.830644654544344</v>
      </c>
      <c r="Q76" s="20">
        <f t="shared" si="54"/>
        <v>602.93967730666452</v>
      </c>
      <c r="R76" s="59">
        <f t="shared" si="55"/>
        <v>870.72246150458636</v>
      </c>
      <c r="S76" s="59">
        <f ca="1">AVERAGE(OFFSET($R$3,0,0,'Données projet'!$E$9+1,1))-AVERAGE(OFFSET($H$3,0,0,'Données projet'!$E$9+1,1))</f>
        <v>456.35333554128226</v>
      </c>
      <c r="T76" s="59">
        <f t="shared" si="88"/>
        <v>296.4517290984877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30.955735348714093</v>
      </c>
      <c r="AA76" s="21">
        <f>EXP(-LN(2)/25)*AA75+(1-EXP(-LN(2)/25))/(LN(2)/25)*Calculateur!V76*Calculateur!X76*VLOOKUP('Données projet'!$B$9,Paramètres!$A$1:$I$89,3,0)*0.475*44/12</f>
        <v>27.716883602068275</v>
      </c>
      <c r="AB76" s="21">
        <f>EXP(-LN(2)/2)*AB75+(1-EXP(-LN(2)/2))/(LN(2)/2)*V76*Y76*VLOOKUP('Données projet'!$B$9,Paramètres!$A$1:$I$89,3,0)*0.475*44/12</f>
        <v>4.0229563717484611</v>
      </c>
      <c r="AC76" s="22">
        <f t="shared" si="57"/>
        <v>62.695575322530829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4.2</v>
      </c>
      <c r="AI76" s="13">
        <f>IF('Données projet'!$A$62&gt;35,AI75+AH76-AQ75,IF(A76&lt;'Données projet'!$A$62,$AF$205^A76,IF(A76='Données projet'!$A$62,'Données projet'!$B$62,AI75+AH76-AQ75)))</f>
        <v>315.59999999999991</v>
      </c>
      <c r="AJ76" s="13">
        <f>AI76*VLOOKUP('Données projet'!$B$10,Paramètres!$A$1:$I$89,3,0)*VLOOKUP('Données projet'!$B$10,Paramètres!$A$1:$I$89,5,0)</f>
        <v>275.70815999999996</v>
      </c>
      <c r="AK76" s="13">
        <f t="shared" si="89"/>
        <v>66.05920594467139</v>
      </c>
      <c r="AL76" s="20">
        <f t="shared" si="58"/>
        <v>595.24482902030275</v>
      </c>
      <c r="AM76" s="59">
        <f t="shared" si="59"/>
        <v>863.02761321822459</v>
      </c>
      <c r="AN76" s="59">
        <f ca="1">AVERAGE(OFFSET($AM$3,0,0,'Données projet'!$E$10+1,1))-AVERAGE(OFFSET($H$3,0,0,'Données projet'!$E$10+1,1))</f>
        <v>408.246209980743</v>
      </c>
      <c r="AO76" s="59">
        <f t="shared" si="90"/>
        <v>394.10236303013903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15.46225590021718</v>
      </c>
      <c r="AV76" s="21">
        <f>EXP(-LN(2)/25)*AV75+(1-EXP(-LN(2)/25))/(LN(2)/25)*Calculateur!AQ76*Calculateur!AS76*VLOOKUP('Données projet'!$B$10,Paramètres!$A$1:$I$89,3,0)*0.475*44/12</f>
        <v>15.74000541796187</v>
      </c>
      <c r="AW76" s="21">
        <f>EXP(-LN(2)/2)*AW75+(1-EXP(-LN(2)/2))/(LN(2)/2)*AQ76*AT76*VLOOKUP('Données projet'!$B$10,Paramètres!$A$1:$I$89,3,0)*0.475*44/12</f>
        <v>1.1546114696844938</v>
      </c>
      <c r="AX76" s="21">
        <f t="shared" si="60"/>
        <v>32.356872787863544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6.7437500000000021</v>
      </c>
      <c r="BD76" s="12">
        <f>IF('Données projet'!$A$88&gt;35,BD75+BC76-BL75,IF(A76&lt;'Données projet'!$A$88,$BA$205^A76,IF(A76='Données projet'!$A$88,'Données projet'!$B$88,BD75+BC76-BL75)))</f>
        <v>175.54500000000002</v>
      </c>
      <c r="BE76" s="13">
        <f>BD76*VLOOKUP('Données projet'!$B$11,Paramètres!$A$1:$I$89,3,0)*VLOOKUP('Données projet'!$B$11,Paramètres!$A$1:$I$89,5,0)</f>
        <v>178.00263000000001</v>
      </c>
      <c r="BF76" s="13">
        <f t="shared" si="91"/>
        <v>44.877519962268245</v>
      </c>
      <c r="BG76" s="20">
        <f t="shared" si="61"/>
        <v>388.18292785095059</v>
      </c>
      <c r="BH76" s="59">
        <f t="shared" si="62"/>
        <v>655.96571204887232</v>
      </c>
      <c r="BI76" s="59">
        <f ca="1">AVERAGE(OFFSET($BH$3,0,0,'Données projet'!$E$11+1,1))-AVERAGE(OFFSET($H$3,0,0,'Données projet'!$E$11+1,1))</f>
        <v>580.02848304986492</v>
      </c>
      <c r="BJ76" s="59">
        <f t="shared" si="92"/>
        <v>281.68891895586728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34.032241613737774</v>
      </c>
      <c r="BR76" s="21">
        <f>EXP(-LN(2)/2)*BR75+(1-EXP(-LN(2)/2))/(LN(2)/2)*BL76*BO76*VLOOKUP('Données projet'!$B$11,Paramètres!$A$1:$I$89,3,0)*0.475*44/12</f>
        <v>2.1737253974389801</v>
      </c>
      <c r="BS76" s="22">
        <f t="shared" si="63"/>
        <v>36.205967011176753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5.6843418860808015E-14</v>
      </c>
      <c r="BZ76" s="13">
        <f>BY76*VLOOKUP('Données projet'!$B$12,Paramètres!$A$1:$I$89,3,0)*VLOOKUP('Données projet'!$B$12,Paramètres!$A$1:$I$89,5,0)</f>
        <v>4.4337866711430253E-14</v>
      </c>
      <c r="CA76" s="13">
        <f t="shared" si="93"/>
        <v>7.3222115536967035E-13</v>
      </c>
      <c r="CB76" s="20">
        <f t="shared" si="64"/>
        <v>1.3525069634579169E-12</v>
      </c>
      <c r="CC76" s="59">
        <f t="shared" si="65"/>
        <v>267.78278419792315</v>
      </c>
      <c r="CD76" s="59">
        <f ca="1">AVERAGE(OFFSET($CC$3,0,0,'Données projet'!$E$12+1,1))-AVERAGE(OFFSET($H$3,0,0,'Données projet'!$E$12+1,1))</f>
        <v>308.85018589589453</v>
      </c>
      <c r="CE76" s="59">
        <f t="shared" si="94"/>
        <v>302.59481222418219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39.723790844016641</v>
      </c>
      <c r="CL76" s="21">
        <f>EXP(-LN(2)/25)*CL75+(1-EXP(-LN(2)/25))/(LN(2)/25)*Calculateur!CG76*Calculateur!CI76*VLOOKUP('Données projet'!$B$12,Paramètres!$A$1:$I$89,3,0)*0.475*44/12</f>
        <v>37.891049200749926</v>
      </c>
      <c r="CM76" s="21">
        <f>EXP(-LN(2)/2)*CM75+(1-EXP(-LN(2)/2))/(LN(2)/2)*CG76*CJ76*VLOOKUP('Données projet'!$B$12,Paramètres!$A$1:$I$89,3,0)*0.475*44/12</f>
        <v>15.189005413320849</v>
      </c>
      <c r="CN76" s="22">
        <f t="shared" si="66"/>
        <v>92.803845458087409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4.6153846153846185</v>
      </c>
      <c r="CT76" s="12">
        <f>IF('Données projet'!$A$140&gt;35,CT75+CS76-DB75,IF(A76&lt;'Données projet'!$A$140,$CQ$205^A76,IF(A76='Données projet'!$A$140,'Données projet'!$B$140,CT75+CS76-DB75)))</f>
        <v>251.66666666666674</v>
      </c>
      <c r="CU76" s="17">
        <f>CT76*VLOOKUP('Données projet'!$B$13,Paramètres!$A$1:$I$89,3,0)*VLOOKUP('Données projet'!$B$13,Paramètres!$A$1:$I$89,5,0)</f>
        <v>168.81800000000004</v>
      </c>
      <c r="CV76" s="13">
        <f t="shared" si="95"/>
        <v>42.825187501685285</v>
      </c>
      <c r="CW76" s="20">
        <f t="shared" si="67"/>
        <v>368.61188489876866</v>
      </c>
      <c r="CX76" s="59">
        <f t="shared" si="68"/>
        <v>636.39466909669045</v>
      </c>
      <c r="CY76" s="59">
        <f ca="1">AVERAGE(OFFSET($CX$3,0,0,'Données projet'!$E$13+1,1))-AVERAGE(OFFSET($H$3,0,0,'Données projet'!$E$13+1,1))</f>
        <v>335.73816489539837</v>
      </c>
      <c r="CZ76" s="59">
        <f t="shared" si="96"/>
        <v>254.09787950201044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3.554414167569885</v>
      </c>
      <c r="DG76" s="21">
        <f>EXP(-LN(2)/25)*DG75+(1-EXP(-LN(2)/25))/(LN(2)/25)*Calculateur!DB76*Calculateur!DD76*VLOOKUP('Données projet'!$B$13,Paramètres!$A$1:$I$89,3,0)*0.475*44/12</f>
        <v>8.5223687924934186</v>
      </c>
      <c r="DH76" s="21">
        <f>EXP(-LN(2)/2)*DH75+(1-EXP(-LN(2)/2))/(LN(2)/2)*DB76*DE76*VLOOKUP('Données projet'!$B$13,Paramètres!$A$1:$I$89,3,0)*0.475*44/12</f>
        <v>0.95366094734352436</v>
      </c>
      <c r="DI76" s="22">
        <f t="shared" si="69"/>
        <v>13.030443907406827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9.65625</v>
      </c>
      <c r="DO76" s="12">
        <f>IF('Données projet'!$A$166&gt;35,DO75+DN76-DW75,IF(A76&lt;'Données projet'!$A$166,$DL$205^A76,IF(A76='Données projet'!$A$166,'Données projet'!$B$166,DO75+DN76-DW75)))</f>
        <v>254.44749999999996</v>
      </c>
      <c r="DP76" s="17">
        <f>DO76*VLOOKUP('Données projet'!$B$14,Paramètres!$A$1:$I$89,3,0)*VLOOKUP('Données projet'!$B$14,Paramètres!$A$1:$I$89,5,0)</f>
        <v>246.10162199999996</v>
      </c>
      <c r="DQ76" s="13">
        <f t="shared" si="97"/>
        <v>59.750399846596729</v>
      </c>
      <c r="DR76" s="20">
        <f t="shared" si="70"/>
        <v>532.69227138282258</v>
      </c>
      <c r="DS76" s="59">
        <f t="shared" si="71"/>
        <v>800.47505558074431</v>
      </c>
      <c r="DT76" s="59">
        <f ca="1">AVERAGE(OFFSET($DS$3,0,0,'Données projet'!$E$14+1,1))-AVERAGE(OFFSET($H$3,0,0,'Données projet'!$E$14+1,1))</f>
        <v>493.03862850474161</v>
      </c>
      <c r="DU76" s="59">
        <f t="shared" si="98"/>
        <v>312.51819065560528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15.892403266360667</v>
      </c>
      <c r="EB76" s="21">
        <f>EXP(-LN(2)/25)*EB75+(1-EXP(-LN(2)/25))/(LN(2)/25)*Calculateur!DW76*Calculateur!DY76*VLOOKUP('Données projet'!$B$14,Paramètres!$A$1:$I$89,3,0)*0.475*44/12</f>
        <v>25.132108707483304</v>
      </c>
      <c r="EC76" s="21">
        <f>EXP(-LN(2)/2)*EC75+(1-EXP(-LN(2)/2))/(LN(2)/2)*DW76*DZ76*VLOOKUP('Données projet'!$B$14,Paramètres!$A$1:$I$89,3,0)*0.475*44/12</f>
        <v>0.51851945738637351</v>
      </c>
      <c r="ED76" s="22">
        <f t="shared" si="72"/>
        <v>41.543031431230347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9.65625</v>
      </c>
      <c r="EJ76" s="12">
        <f>IF('Données projet'!$A$192&gt;35,EJ75+EI76-ER75,IF(A76&lt;'Données projet'!$A$192,$EG$205^A76,IF(A76='Données projet'!$A$192,'Données projet'!$B$192,EJ75+EI76-ER75)))</f>
        <v>254.44749999999996</v>
      </c>
      <c r="EK76" s="17">
        <f>EJ76*VLOOKUP('Données projet'!$B$15,Paramètres!$A$1:$I$89,3,0)*VLOOKUP('Données projet'!$B$15,Paramètres!$A$1:$I$89,5,0)</f>
        <v>273.88728899999995</v>
      </c>
      <c r="EL76" s="13">
        <f t="shared" si="99"/>
        <v>65.673562524429713</v>
      </c>
      <c r="EM76" s="20">
        <f t="shared" si="73"/>
        <v>591.40181640504818</v>
      </c>
      <c r="EN76" s="59">
        <f t="shared" si="74"/>
        <v>859.18460060297002</v>
      </c>
      <c r="EO76" s="59">
        <f ca="1">AVERAGE(OFFSET($EN$3,0,0,'Données projet'!$E$15+1,1))-AVERAGE(OFFSET($H$3,0,0,'Données projet'!$E$15+1,1))</f>
        <v>539.72194201710272</v>
      </c>
      <c r="EP76" s="59">
        <f t="shared" si="100"/>
        <v>340.76505385159362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17.686706860949776</v>
      </c>
      <c r="EW76" s="21">
        <f>EXP(-LN(2)/25)*EW75+(1-EXP(-LN(2)/25))/(LN(2)/25)*Calculateur!ER76*Calculateur!ET76*VLOOKUP('Données projet'!$B$15,Paramètres!$A$1:$I$89,3,0)*0.475*44/12</f>
        <v>27.969604851876593</v>
      </c>
      <c r="EX76" s="21">
        <f>EXP(-LN(2)/2)*EX75+(1-EXP(-LN(2)/2))/(LN(2)/2)*ER76*EU76*VLOOKUP('Données projet'!$B$15,Paramètres!$A$1:$I$89,3,0)*0.475*44/12</f>
        <v>0.57706197676870552</v>
      </c>
      <c r="EY76" s="22">
        <f t="shared" si="75"/>
        <v>46.233373689595069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4.2</v>
      </c>
      <c r="FE76" s="12">
        <f>IF('Données projet'!$A$218&gt;35,FE75+FD76-FM75,IF(A76&lt;'Données projet'!$A$218,$FB$205^A76,IF(A76='Données projet'!$A$218,'Données projet'!$B$218,FE75+FD76-FM75)))</f>
        <v>315.59999999999991</v>
      </c>
      <c r="FF76" s="17">
        <f>FE76*VLOOKUP('Données projet'!$B$16,Paramètres!$A$1:$I$89,3,0)*VLOOKUP('Données projet'!$B$16,Paramètres!$A$1:$I$89,5,0)</f>
        <v>256.01471999999995</v>
      </c>
      <c r="FG76" s="13">
        <f t="shared" si="101"/>
        <v>61.872115120174627</v>
      </c>
      <c r="FH76" s="20">
        <f t="shared" si="76"/>
        <v>553.65290450097075</v>
      </c>
      <c r="FI76" s="59">
        <f t="shared" si="77"/>
        <v>821.43568869889259</v>
      </c>
      <c r="FJ76" s="59">
        <f ca="1">AVERAGE(OFFSET($FI$3,0,0,'Données projet'!$E$16+1,1))-AVERAGE(OFFSET($H$3,0,0,'Données projet'!$E$16+1,1))</f>
        <v>383.47860767209028</v>
      </c>
      <c r="FK76" s="59">
        <f t="shared" si="102"/>
        <v>370.49129421395628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14.357809050201663</v>
      </c>
      <c r="FR76" s="21">
        <f>EXP(-LN(2)/25)*FR75+(1-EXP(-LN(2)/25))/(LN(2)/25)*Calculateur!FM76*Calculateur!FO76*VLOOKUP('Données projet'!$B$16,Paramètres!$A$1:$I$89,3,0)*0.475*44/12</f>
        <v>14.615719316678884</v>
      </c>
      <c r="FS76" s="21">
        <f>EXP(-LN(2)/2)*FS75+(1-EXP(-LN(2)/2))/(LN(2)/2)*FM76*FP76*VLOOKUP('Données projet'!$B$16,Paramètres!$A$1:$I$89,3,0)*0.475*44/12</f>
        <v>1.0721392218498866</v>
      </c>
      <c r="FT76" s="22">
        <f t="shared" si="78"/>
        <v>30.045667588730435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6.7437500000000021</v>
      </c>
      <c r="FZ76" s="12">
        <f>IF('Données projet'!$A$244&gt;35,FZ75+FY76-GH75,IF(A76&lt;'Données projet'!$A$244,$FW$205^A76,IF(A76='Données projet'!$A$244,'Données projet'!$B$244,FZ75+FY76-GH75)))</f>
        <v>175.54500000000002</v>
      </c>
      <c r="GA76" s="17">
        <f>FZ76*VLOOKUP('Données projet'!$B$17,Paramètres!$A$1:$I$89,3,0)*VLOOKUP('Données projet'!$B$17,Paramètres!$A$1:$I$89,5,0)</f>
        <v>199.91064600000001</v>
      </c>
      <c r="GB76" s="13">
        <f t="shared" si="103"/>
        <v>49.724529909965376</v>
      </c>
      <c r="GC76" s="20">
        <f t="shared" si="79"/>
        <v>434.78126470985643</v>
      </c>
      <c r="GD76" s="59">
        <f t="shared" si="80"/>
        <v>702.56404890777821</v>
      </c>
      <c r="GE76" s="59">
        <f ca="1">AVERAGE(OFFSET($GD$3,0,0,'Données projet'!$E$17+1,1))-AVERAGE(OFFSET($H$3,0,0,'Données projet'!$E$17+1,1))</f>
        <v>640.05156427113661</v>
      </c>
      <c r="GF76" s="59">
        <f t="shared" si="104"/>
        <v>308.77220155372902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38.220825196967041</v>
      </c>
      <c r="GN76" s="21">
        <f>EXP(-LN(2)/2)*GN75+(1-EXP(-LN(2)/2))/(LN(2)/2)*GH76*GK76*VLOOKUP('Données projet'!$B$17,Paramètres!$A$1:$I$89,3,0)*0.475*44/12</f>
        <v>2.44126083096993</v>
      </c>
      <c r="GO76" s="21">
        <f t="shared" si="81"/>
        <v>40.662086027936972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12.707777777777771</v>
      </c>
      <c r="N77" s="13">
        <f>IF('Données projet'!$A$36&gt;35,N76+M77-V76,IF(A77&lt;'Données projet'!$A$36,$K$205^A77,IF(A77='Données projet'!$A$36,'Données projet'!$B$36,N76+M77-V76)))</f>
        <v>344.3255555555553</v>
      </c>
      <c r="O77" s="13">
        <f>N77*VLOOKUP('Données projet'!$B$9,Paramètres!$A$1:$I$89,3,0)*VLOOKUP('Données projet'!$B$9,Paramètres!$A$1:$I$89,5,0)</f>
        <v>290.05984799999982</v>
      </c>
      <c r="P77" s="13">
        <f t="shared" si="87"/>
        <v>69.088556925071103</v>
      </c>
      <c r="Q77" s="20">
        <f t="shared" si="54"/>
        <v>625.51680524449841</v>
      </c>
      <c r="R77" s="59">
        <f t="shared" si="55"/>
        <v>893.74283434744927</v>
      </c>
      <c r="S77" s="59">
        <f ca="1">AVERAGE(OFFSET($R$3,0,0,'Données projet'!$E$9+1,1))-AVERAGE(OFFSET($H$3,0,0,'Données projet'!$E$9+1,1))</f>
        <v>456.35333554128226</v>
      </c>
      <c r="T77" s="59">
        <f t="shared" si="88"/>
        <v>296.4517290984877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30.348712259660015</v>
      </c>
      <c r="AA77" s="21">
        <f>EXP(-LN(2)/25)*AA76+(1-EXP(-LN(2)/25))/(LN(2)/25)*Calculateur!V77*Calculateur!X77*VLOOKUP('Données projet'!$B$9,Paramètres!$A$1:$I$89,3,0)*0.475*44/12</f>
        <v>26.958963962402159</v>
      </c>
      <c r="AB77" s="21">
        <f>EXP(-LN(2)/2)*AB76+(1-EXP(-LN(2)/2))/(LN(2)/2)*V77*Y77*VLOOKUP('Données projet'!$B$9,Paramètres!$A$1:$I$89,3,0)*0.475*44/12</f>
        <v>2.8446597308809665</v>
      </c>
      <c r="AC77" s="22">
        <f t="shared" si="57"/>
        <v>60.152335952943133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4.2</v>
      </c>
      <c r="AI77" s="13">
        <f>IF('Données projet'!$A$62&gt;35,AI76+AH77-AQ76,IF(A77&lt;'Données projet'!$A$62,$AF$205^A77,IF(A77='Données projet'!$A$62,'Données projet'!$B$62,AI76+AH77-AQ76)))</f>
        <v>319.7999999999999</v>
      </c>
      <c r="AJ77" s="13">
        <f>AI77*VLOOKUP('Données projet'!$B$10,Paramètres!$A$1:$I$89,3,0)*VLOOKUP('Données projet'!$B$10,Paramètres!$A$1:$I$89,5,0)</f>
        <v>279.37727999999993</v>
      </c>
      <c r="AK77" s="13">
        <f t="shared" si="89"/>
        <v>66.835393196206056</v>
      </c>
      <c r="AL77" s="20">
        <f t="shared" si="58"/>
        <v>602.98707248339201</v>
      </c>
      <c r="AM77" s="59">
        <f t="shared" si="59"/>
        <v>871.21310158634287</v>
      </c>
      <c r="AN77" s="59">
        <f ca="1">AVERAGE(OFFSET($AM$3,0,0,'Données projet'!$E$10+1,1))-AVERAGE(OFFSET($H$3,0,0,'Données projet'!$E$10+1,1))</f>
        <v>408.246209980743</v>
      </c>
      <c r="AO77" s="59">
        <f t="shared" si="90"/>
        <v>394.10236303013903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15.159050493058782</v>
      </c>
      <c r="AV77" s="21">
        <f>EXP(-LN(2)/25)*AV76+(1-EXP(-LN(2)/25))/(LN(2)/25)*Calculateur!AQ77*Calculateur!AS77*VLOOKUP('Données projet'!$B$10,Paramètres!$A$1:$I$89,3,0)*0.475*44/12</f>
        <v>15.309594142076792</v>
      </c>
      <c r="AW77" s="21">
        <f>EXP(-LN(2)/2)*AW76+(1-EXP(-LN(2)/2))/(LN(2)/2)*AQ77*AT77*VLOOKUP('Données projet'!$B$10,Paramètres!$A$1:$I$89,3,0)*0.475*44/12</f>
        <v>0.81643359984967145</v>
      </c>
      <c r="AX77" s="21">
        <f t="shared" si="60"/>
        <v>31.285078234985246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6.7437500000000021</v>
      </c>
      <c r="BD77" s="12">
        <f>IF('Données projet'!$A$88&gt;35,BD76+BC77-BL76,IF(A77&lt;'Données projet'!$A$88,$BA$205^A77,IF(A77='Données projet'!$A$88,'Données projet'!$B$88,BD76+BC77-BL76)))</f>
        <v>182.28875000000002</v>
      </c>
      <c r="BE77" s="13">
        <f>BD77*VLOOKUP('Données projet'!$B$11,Paramètres!$A$1:$I$89,3,0)*VLOOKUP('Données projet'!$B$11,Paramètres!$A$1:$I$89,5,0)</f>
        <v>184.84079250000005</v>
      </c>
      <c r="BF77" s="13">
        <f t="shared" si="91"/>
        <v>46.397504256544451</v>
      </c>
      <c r="BG77" s="20">
        <f t="shared" si="61"/>
        <v>402.74003351764833</v>
      </c>
      <c r="BH77" s="59">
        <f t="shared" si="62"/>
        <v>670.96606262059913</v>
      </c>
      <c r="BI77" s="59">
        <f ca="1">AVERAGE(OFFSET($BH$3,0,0,'Données projet'!$E$11+1,1))-AVERAGE(OFFSET($H$3,0,0,'Données projet'!$E$11+1,1))</f>
        <v>580.02848304986492</v>
      </c>
      <c r="BJ77" s="59">
        <f t="shared" si="92"/>
        <v>281.68891895586728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33.101628177132312</v>
      </c>
      <c r="BR77" s="21">
        <f>EXP(-LN(2)/2)*BR76+(1-EXP(-LN(2)/2))/(LN(2)/2)*BL77*BO77*VLOOKUP('Données projet'!$B$11,Paramètres!$A$1:$I$89,3,0)*0.475*44/12</f>
        <v>1.537055968966526</v>
      </c>
      <c r="BS77" s="22">
        <f t="shared" si="63"/>
        <v>34.638684146098839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5.6843418860808015E-14</v>
      </c>
      <c r="BZ77" s="13">
        <f>BY77*VLOOKUP('Données projet'!$B$12,Paramètres!$A$1:$I$89,3,0)*VLOOKUP('Données projet'!$B$12,Paramètres!$A$1:$I$89,5,0)</f>
        <v>4.4337866711430253E-14</v>
      </c>
      <c r="CA77" s="13">
        <f t="shared" si="93"/>
        <v>7.3222115536967035E-13</v>
      </c>
      <c r="CB77" s="20">
        <f t="shared" si="64"/>
        <v>1.3525069634579169E-12</v>
      </c>
      <c r="CC77" s="59">
        <f t="shared" si="65"/>
        <v>268.22602910295223</v>
      </c>
      <c r="CD77" s="59">
        <f ca="1">AVERAGE(OFFSET($CC$3,0,0,'Données projet'!$E$12+1,1))-AVERAGE(OFFSET($H$3,0,0,'Données projet'!$E$12+1,1))</f>
        <v>308.85018589589453</v>
      </c>
      <c r="CE77" s="59">
        <f t="shared" si="94"/>
        <v>302.59481222418219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38.944831534685463</v>
      </c>
      <c r="CL77" s="21">
        <f>EXP(-LN(2)/25)*CL76+(1-EXP(-LN(2)/25))/(LN(2)/25)*Calculateur!CG77*Calculateur!CI77*VLOOKUP('Données projet'!$B$12,Paramètres!$A$1:$I$89,3,0)*0.475*44/12</f>
        <v>36.854916467751742</v>
      </c>
      <c r="CM77" s="21">
        <f>EXP(-LN(2)/2)*CM76+(1-EXP(-LN(2)/2))/(LN(2)/2)*CG77*CJ77*VLOOKUP('Données projet'!$B$12,Paramètres!$A$1:$I$89,3,0)*0.475*44/12</f>
        <v>10.740248727238352</v>
      </c>
      <c r="CN77" s="22">
        <f t="shared" si="66"/>
        <v>86.539996729675565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4.6153846153846185</v>
      </c>
      <c r="CT77" s="12">
        <f>IF('Données projet'!$A$140&gt;35,CT76+CS77-DB76,IF(A77&lt;'Données projet'!$A$140,$CQ$205^A77,IF(A77='Données projet'!$A$140,'Données projet'!$B$140,CT76+CS77-DB76)))</f>
        <v>256.28205128205138</v>
      </c>
      <c r="CU77" s="17">
        <f>CT77*VLOOKUP('Données projet'!$B$13,Paramètres!$A$1:$I$89,3,0)*VLOOKUP('Données projet'!$B$13,Paramètres!$A$1:$I$89,5,0)</f>
        <v>171.91400000000007</v>
      </c>
      <c r="CV77" s="13">
        <f t="shared" si="95"/>
        <v>43.518416191440224</v>
      </c>
      <c r="CW77" s="20">
        <f t="shared" si="67"/>
        <v>375.21145820009184</v>
      </c>
      <c r="CX77" s="59">
        <f t="shared" si="68"/>
        <v>643.43748730304264</v>
      </c>
      <c r="CY77" s="59">
        <f ca="1">AVERAGE(OFFSET($CX$3,0,0,'Données projet'!$E$13+1,1))-AVERAGE(OFFSET($H$3,0,0,'Données projet'!$E$13+1,1))</f>
        <v>335.73816489539837</v>
      </c>
      <c r="CZ77" s="59">
        <f t="shared" si="96"/>
        <v>254.09787950201044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3.4847142737224117</v>
      </c>
      <c r="DG77" s="21">
        <f>EXP(-LN(2)/25)*DG76+(1-EXP(-LN(2)/25))/(LN(2)/25)*Calculateur!DB77*Calculateur!DD77*VLOOKUP('Données projet'!$B$13,Paramètres!$A$1:$I$89,3,0)*0.475*44/12</f>
        <v>8.28932416969079</v>
      </c>
      <c r="DH77" s="21">
        <f>EXP(-LN(2)/2)*DH76+(1-EXP(-LN(2)/2))/(LN(2)/2)*DB77*DE77*VLOOKUP('Données projet'!$B$13,Paramètres!$A$1:$I$89,3,0)*0.475*44/12</f>
        <v>0.67434012281939315</v>
      </c>
      <c r="DI77" s="22">
        <f t="shared" si="69"/>
        <v>12.448378566232595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9.65625</v>
      </c>
      <c r="DO77" s="12">
        <f>IF('Données projet'!$A$166&gt;35,DO76+DN77-DW76,IF(A77&lt;'Données projet'!$A$166,$DL$205^A77,IF(A77='Données projet'!$A$166,'Données projet'!$B$166,DO76+DN77-DW76)))</f>
        <v>264.10374999999999</v>
      </c>
      <c r="DP77" s="17">
        <f>DO77*VLOOKUP('Données projet'!$B$14,Paramètres!$A$1:$I$89,3,0)*VLOOKUP('Données projet'!$B$14,Paramètres!$A$1:$I$89,5,0)</f>
        <v>255.441147</v>
      </c>
      <c r="DQ77" s="13">
        <f t="shared" si="97"/>
        <v>61.749616526056649</v>
      </c>
      <c r="DR77" s="20">
        <f t="shared" si="70"/>
        <v>552.44057980788193</v>
      </c>
      <c r="DS77" s="59">
        <f t="shared" si="71"/>
        <v>820.66660891083279</v>
      </c>
      <c r="DT77" s="59">
        <f ca="1">AVERAGE(OFFSET($DS$3,0,0,'Données projet'!$E$14+1,1))-AVERAGE(OFFSET($H$3,0,0,'Données projet'!$E$14+1,1))</f>
        <v>493.03862850474161</v>
      </c>
      <c r="DU77" s="59">
        <f t="shared" si="98"/>
        <v>312.51819065560528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15.580762931716182</v>
      </c>
      <c r="EB77" s="21">
        <f>EXP(-LN(2)/25)*EB76+(1-EXP(-LN(2)/25))/(LN(2)/25)*Calculateur!DW77*Calculateur!DY77*VLOOKUP('Données projet'!$B$14,Paramètres!$A$1:$I$89,3,0)*0.475*44/12</f>
        <v>24.444869873237018</v>
      </c>
      <c r="EC77" s="21">
        <f>EXP(-LN(2)/2)*EC76+(1-EXP(-LN(2)/2))/(LN(2)/2)*DW77*DZ77*VLOOKUP('Données projet'!$B$14,Paramètres!$A$1:$I$89,3,0)*0.475*44/12</f>
        <v>0.36664862449507379</v>
      </c>
      <c r="ED77" s="22">
        <f t="shared" si="72"/>
        <v>40.392281429448268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9.65625</v>
      </c>
      <c r="EJ77" s="12">
        <f>IF('Données projet'!$A$192&gt;35,EJ76+EI77-ER76,IF(A77&lt;'Données projet'!$A$192,$EG$205^A77,IF(A77='Données projet'!$A$192,'Données projet'!$B$192,EJ76+EI77-ER76)))</f>
        <v>264.10374999999999</v>
      </c>
      <c r="EK77" s="17">
        <f>EJ77*VLOOKUP('Données projet'!$B$15,Paramètres!$A$1:$I$89,3,0)*VLOOKUP('Données projet'!$B$15,Paramètres!$A$1:$I$89,5,0)</f>
        <v>284.28127649999999</v>
      </c>
      <c r="EL77" s="13">
        <f t="shared" si="99"/>
        <v>67.870965084671752</v>
      </c>
      <c r="EM77" s="20">
        <f t="shared" si="73"/>
        <v>613.3318207599699</v>
      </c>
      <c r="EN77" s="59">
        <f t="shared" si="74"/>
        <v>881.55784986292076</v>
      </c>
      <c r="EO77" s="59">
        <f ca="1">AVERAGE(OFFSET($EN$3,0,0,'Données projet'!$E$15+1,1))-AVERAGE(OFFSET($H$3,0,0,'Données projet'!$E$15+1,1))</f>
        <v>539.72194201710272</v>
      </c>
      <c r="EP77" s="59">
        <f t="shared" si="100"/>
        <v>340.76505385159362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17.339881327232526</v>
      </c>
      <c r="EW77" s="21">
        <f>EXP(-LN(2)/25)*EW76+(1-EXP(-LN(2)/25))/(LN(2)/25)*Calculateur!ER77*Calculateur!ET77*VLOOKUP('Données projet'!$B$15,Paramètres!$A$1:$I$89,3,0)*0.475*44/12</f>
        <v>27.204774536344434</v>
      </c>
      <c r="EX77" s="21">
        <f>EXP(-LN(2)/2)*EX76+(1-EXP(-LN(2)/2))/(LN(2)/2)*ER77*EU77*VLOOKUP('Données projet'!$B$15,Paramètres!$A$1:$I$89,3,0)*0.475*44/12</f>
        <v>0.40804443693806564</v>
      </c>
      <c r="EY77" s="22">
        <f t="shared" si="75"/>
        <v>44.952700300515026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4.2</v>
      </c>
      <c r="FE77" s="12">
        <f>IF('Données projet'!$A$218&gt;35,FE76+FD77-FM76,IF(A77&lt;'Données projet'!$A$218,$FB$205^A77,IF(A77='Données projet'!$A$218,'Données projet'!$B$218,FE76+FD77-FM76)))</f>
        <v>319.7999999999999</v>
      </c>
      <c r="FF77" s="17">
        <f>FE77*VLOOKUP('Données projet'!$B$16,Paramètres!$A$1:$I$89,3,0)*VLOOKUP('Données projet'!$B$16,Paramètres!$A$1:$I$89,5,0)</f>
        <v>259.42175999999995</v>
      </c>
      <c r="FG77" s="13">
        <f t="shared" si="101"/>
        <v>62.599104588107195</v>
      </c>
      <c r="FH77" s="20">
        <f t="shared" si="76"/>
        <v>560.85300582428658</v>
      </c>
      <c r="FI77" s="59">
        <f t="shared" si="77"/>
        <v>829.07903492723744</v>
      </c>
      <c r="FJ77" s="59">
        <f ca="1">AVERAGE(OFFSET($FI$3,0,0,'Données projet'!$E$16+1,1))-AVERAGE(OFFSET($H$3,0,0,'Données projet'!$E$16+1,1))</f>
        <v>383.47860767209028</v>
      </c>
      <c r="FK77" s="59">
        <f t="shared" si="102"/>
        <v>370.49129421395628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14.076261172126008</v>
      </c>
      <c r="FR77" s="21">
        <f>EXP(-LN(2)/25)*FR76+(1-EXP(-LN(2)/25))/(LN(2)/25)*Calculateur!FM77*Calculateur!FO77*VLOOKUP('Données projet'!$B$16,Paramètres!$A$1:$I$89,3,0)*0.475*44/12</f>
        <v>14.216051703357026</v>
      </c>
      <c r="FS77" s="21">
        <f>EXP(-LN(2)/2)*FS76+(1-EXP(-LN(2)/2))/(LN(2)/2)*FM77*FP77*VLOOKUP('Données projet'!$B$16,Paramètres!$A$1:$I$89,3,0)*0.475*44/12</f>
        <v>0.75811691414612314</v>
      </c>
      <c r="FT77" s="22">
        <f t="shared" si="78"/>
        <v>29.050429789629156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6.7437500000000021</v>
      </c>
      <c r="FZ77" s="12">
        <f>IF('Données projet'!$A$244&gt;35,FZ76+FY77-GH76,IF(A77&lt;'Données projet'!$A$244,$FW$205^A77,IF(A77='Données projet'!$A$244,'Données projet'!$B$244,FZ76+FY77-GH76)))</f>
        <v>182.28875000000002</v>
      </c>
      <c r="GA77" s="17">
        <f>FZ77*VLOOKUP('Données projet'!$B$17,Paramètres!$A$1:$I$89,3,0)*VLOOKUP('Données projet'!$B$17,Paramètres!$A$1:$I$89,5,0)</f>
        <v>207.59042850000003</v>
      </c>
      <c r="GB77" s="13">
        <f t="shared" si="103"/>
        <v>51.408680561939029</v>
      </c>
      <c r="GC77" s="20">
        <f t="shared" si="79"/>
        <v>451.09011494954387</v>
      </c>
      <c r="GD77" s="59">
        <f t="shared" si="80"/>
        <v>719.31614405249479</v>
      </c>
      <c r="GE77" s="59">
        <f ca="1">AVERAGE(OFFSET($GD$3,0,0,'Données projet'!$E$17+1,1))-AVERAGE(OFFSET($H$3,0,0,'Données projet'!$E$17+1,1))</f>
        <v>640.05156427113661</v>
      </c>
      <c r="GF77" s="59">
        <f t="shared" si="104"/>
        <v>308.77220155372902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37.175674722010136</v>
      </c>
      <c r="GN77" s="21">
        <f>EXP(-LN(2)/2)*GN76+(1-EXP(-LN(2)/2))/(LN(2)/2)*GH77*GK77*VLOOKUP('Données projet'!$B$17,Paramètres!$A$1:$I$89,3,0)*0.475*44/12</f>
        <v>1.7262320882239435</v>
      </c>
      <c r="GO77" s="21">
        <f t="shared" si="81"/>
        <v>38.901906810234081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12.707777777777771</v>
      </c>
      <c r="N78" s="13">
        <f>IF('Données projet'!$A$36&gt;35,N77+M78-V77,IF(A78&lt;'Données projet'!$A$36,$K$205^A78,IF(A78='Données projet'!$A$36,'Données projet'!$B$36,N77+M78-V77)))</f>
        <v>357.03333333333308</v>
      </c>
      <c r="O78" s="13">
        <f>N78*VLOOKUP('Données projet'!$B$9,Paramètres!$A$1:$I$89,3,0)*VLOOKUP('Données projet'!$B$9,Paramètres!$A$1:$I$89,5,0)</f>
        <v>300.76487999999978</v>
      </c>
      <c r="P78" s="13">
        <f t="shared" si="87"/>
        <v>71.336787932050342</v>
      </c>
      <c r="Q78" s="20">
        <f t="shared" si="54"/>
        <v>648.07707164832061</v>
      </c>
      <c r="R78" s="59">
        <f t="shared" si="55"/>
        <v>916.73865634814547</v>
      </c>
      <c r="S78" s="59">
        <f ca="1">AVERAGE(OFFSET($R$3,0,0,'Données projet'!$E$9+1,1))-AVERAGE(OFFSET($H$3,0,0,'Données projet'!$E$9+1,1))</f>
        <v>456.35333554128226</v>
      </c>
      <c r="T78" s="59">
        <f t="shared" si="88"/>
        <v>296.4517290984877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29.753592523134763</v>
      </c>
      <c r="AA78" s="21">
        <f>EXP(-LN(2)/25)*AA77+(1-EXP(-LN(2)/25))/(LN(2)/25)*Calculateur!V78*Calculateur!X78*VLOOKUP('Données projet'!$B$9,Paramètres!$A$1:$I$89,3,0)*0.475*44/12</f>
        <v>26.221769675139971</v>
      </c>
      <c r="AB78" s="21">
        <f>EXP(-LN(2)/2)*AB77+(1-EXP(-LN(2)/2))/(LN(2)/2)*V78*Y78*VLOOKUP('Données projet'!$B$9,Paramètres!$A$1:$I$89,3,0)*0.475*44/12</f>
        <v>2.011478185874231</v>
      </c>
      <c r="AC78" s="22">
        <f t="shared" si="57"/>
        <v>57.986840384148969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324</v>
      </c>
      <c r="AG78" s="12">
        <f>VLOOKUP(A78,'Données projet'!$A$61:$I$81,9,0)</f>
        <v>4.2</v>
      </c>
      <c r="AH78" s="12">
        <f t="array" ref="AH78">INDEX(AG:AG,MIN(IF(ISNUMBER(AG78:AG274),ROW(AG78:AG274),"")))</f>
        <v>4.2</v>
      </c>
      <c r="AI78" s="13">
        <f>IF('Données projet'!$A$62&gt;35,AI77+AH78-AQ77,IF(A78&lt;'Données projet'!$A$62,$AF$205^A78,IF(A78='Données projet'!$A$62,'Données projet'!$B$62,AI77+AH78-AQ77)))</f>
        <v>323.99999999999989</v>
      </c>
      <c r="AJ78" s="13">
        <f>AI78*VLOOKUP('Données projet'!$B$10,Paramètres!$A$1:$I$89,3,0)*VLOOKUP('Données projet'!$B$10,Paramètres!$A$1:$I$89,5,0)</f>
        <v>283.04639999999989</v>
      </c>
      <c r="AK78" s="13">
        <f t="shared" si="89"/>
        <v>67.610394756513259</v>
      </c>
      <c r="AL78" s="20">
        <f t="shared" si="58"/>
        <v>610.72725086759363</v>
      </c>
      <c r="AM78" s="59">
        <f t="shared" si="59"/>
        <v>879.38883556741848</v>
      </c>
      <c r="AN78" s="59">
        <f ca="1">AVERAGE(OFFSET($AM$3,0,0,'Données projet'!$E$10+1,1))-AVERAGE(OFFSET($H$3,0,0,'Données projet'!$E$10+1,1))</f>
        <v>408.246209980743</v>
      </c>
      <c r="AO78" s="59">
        <f t="shared" si="90"/>
        <v>394.10236303013903</v>
      </c>
      <c r="AP78" s="15">
        <f>IF(ISNA(VLOOKUP(A78,'Données projet'!$A$61:$I$81,3,0)),0,VLOOKUP(A78,'Données projet'!$A$61:$I$81,3,0))</f>
        <v>13</v>
      </c>
      <c r="AQ78" s="15">
        <f>IF(ISNA(VLOOKUP(A78,'Données projet'!$A$61:$I$81,4,0)),0,VLOOKUP(A78,'Données projet'!$A$61:$I$81,4,0))</f>
        <v>12</v>
      </c>
      <c r="AR78" s="16">
        <f>IF(ISNA(VLOOKUP(A78,'Données projet'!$A$61:$I$81,5,0)),0%,VLOOKUP(A78,'Données projet'!$A$61:$I$81,5,0)*VLOOKUP('Données projet'!$B$10,Paramètres!$A$1:$I$89,7,0))</f>
        <v>0.13250000000000001</v>
      </c>
      <c r="AS78" s="16">
        <f>IF(ISNA(VLOOKUP(A78,'Données projet'!$A$61:$I$81,6,0)),0%,VLOOKUP(A78,'Données projet'!$A$61:$I$81,6,0)*VLOOKUP('Données projet'!$B$10,Paramètres!$A$1:$I$89,7,0))</f>
        <v>0.13250000000000001</v>
      </c>
      <c r="AT78" s="16">
        <f>IF(ISNA(VLOOKUP(A78,'Données projet'!$A$61:$I$81,7,0)),0%,VLOOKUP(A78,'Données projet'!$A$61:$I$81,7,0))</f>
        <v>0.25</v>
      </c>
      <c r="AU78" s="21">
        <f>EXP(-LN(2)/35)*AU77+(1-EXP(-LN(2)/35))/(LN(2)/35)*AQ78*AR78*VLOOKUP('Données projet'!$B$10,Paramètres!$A$1:$I$89,3,0)*0.475*44/12</f>
        <v>16.3973156474581</v>
      </c>
      <c r="AV78" s="21">
        <f>EXP(-LN(2)/25)*AV77+(1-EXP(-LN(2)/25))/(LN(2)/25)*Calculateur!AQ78*Calculateur!AS78*VLOOKUP('Données projet'!$B$10,Paramètres!$A$1:$I$89,3,0)*0.475*44/12</f>
        <v>16.420431427058794</v>
      </c>
      <c r="AW78" s="21">
        <f>EXP(-LN(2)/2)*AW77+(1-EXP(-LN(2)/2))/(LN(2)/2)*AQ78*AT78*VLOOKUP('Données projet'!$B$10,Paramètres!$A$1:$I$89,3,0)*0.475*44/12</f>
        <v>3.0501010726400488</v>
      </c>
      <c r="AX78" s="21">
        <f t="shared" si="60"/>
        <v>35.867848147156941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6.7437500000000021</v>
      </c>
      <c r="BD78" s="12">
        <f>IF('Données projet'!$A$88&gt;35,BD77+BC78-BL77,IF(A78&lt;'Données projet'!$A$88,$BA$205^A78,IF(A78='Données projet'!$A$88,'Données projet'!$B$88,BD77+BC78-BL77)))</f>
        <v>189.03250000000003</v>
      </c>
      <c r="BE78" s="13">
        <f>BD78*VLOOKUP('Données projet'!$B$11,Paramètres!$A$1:$I$89,3,0)*VLOOKUP('Données projet'!$B$11,Paramètres!$A$1:$I$89,5,0)</f>
        <v>191.67895500000003</v>
      </c>
      <c r="BF78" s="13">
        <f t="shared" si="91"/>
        <v>47.910955687340916</v>
      </c>
      <c r="BG78" s="20">
        <f t="shared" si="61"/>
        <v>417.28576111378544</v>
      </c>
      <c r="BH78" s="59">
        <f t="shared" si="62"/>
        <v>685.94734581361024</v>
      </c>
      <c r="BI78" s="59">
        <f ca="1">AVERAGE(OFFSET($BH$3,0,0,'Données projet'!$E$11+1,1))-AVERAGE(OFFSET($H$3,0,0,'Données projet'!$E$11+1,1))</f>
        <v>580.02848304986492</v>
      </c>
      <c r="BJ78" s="59">
        <f t="shared" si="92"/>
        <v>281.68891895586728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32.196462413889655</v>
      </c>
      <c r="BR78" s="21">
        <f>EXP(-LN(2)/2)*BR77+(1-EXP(-LN(2)/2))/(LN(2)/2)*BL78*BO78*VLOOKUP('Données projet'!$B$11,Paramètres!$A$1:$I$89,3,0)*0.475*44/12</f>
        <v>1.08686269871949</v>
      </c>
      <c r="BS78" s="22">
        <f t="shared" si="63"/>
        <v>33.283325112609148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5.6843418860808015E-14</v>
      </c>
      <c r="BZ78" s="13">
        <f>BY78*VLOOKUP('Données projet'!$B$12,Paramètres!$A$1:$I$89,3,0)*VLOOKUP('Données projet'!$B$12,Paramètres!$A$1:$I$89,5,0)</f>
        <v>4.4337866711430253E-14</v>
      </c>
      <c r="CA78" s="13">
        <f t="shared" si="93"/>
        <v>7.3222115536967035E-13</v>
      </c>
      <c r="CB78" s="20">
        <f t="shared" si="64"/>
        <v>1.3525069634579169E-12</v>
      </c>
      <c r="CC78" s="59">
        <f t="shared" si="65"/>
        <v>268.66158469982616</v>
      </c>
      <c r="CD78" s="59">
        <f ca="1">AVERAGE(OFFSET($CC$3,0,0,'Données projet'!$E$12+1,1))-AVERAGE(OFFSET($H$3,0,0,'Données projet'!$E$12+1,1))</f>
        <v>308.85018589589453</v>
      </c>
      <c r="CE78" s="59">
        <f t="shared" si="94"/>
        <v>302.59481222418219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38.181147142292005</v>
      </c>
      <c r="CL78" s="21">
        <f>EXP(-LN(2)/25)*CL77+(1-EXP(-LN(2)/25))/(LN(2)/25)*Calculateur!CG78*Calculateur!CI78*VLOOKUP('Données projet'!$B$12,Paramètres!$A$1:$I$89,3,0)*0.475*44/12</f>
        <v>35.847116838825244</v>
      </c>
      <c r="CM78" s="21">
        <f>EXP(-LN(2)/2)*CM77+(1-EXP(-LN(2)/2))/(LN(2)/2)*CG78*CJ78*VLOOKUP('Données projet'!$B$12,Paramètres!$A$1:$I$89,3,0)*0.475*44/12</f>
        <v>7.5945027066604256</v>
      </c>
      <c r="CN78" s="22">
        <f t="shared" si="66"/>
        <v>81.62276668777767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260.89743589743591</v>
      </c>
      <c r="CR78" s="12">
        <f>VLOOKUP(A78,'Données projet'!$A$139:$I$159,9,0)</f>
        <v>4.6153846153846185</v>
      </c>
      <c r="CS78" s="12">
        <f t="array" ref="CS78">INDEX(CR:CR,MIN(IF(ISNUMBER(CR78:CR274),ROW(CR78:CR274),"")))</f>
        <v>4.6153846153846185</v>
      </c>
      <c r="CT78" s="12">
        <f>IF('Données projet'!$A$140&gt;35,CT77+CS78-DB77,IF(A78&lt;'Données projet'!$A$140,$CQ$205^A78,IF(A78='Données projet'!$A$140,'Données projet'!$B$140,CT77+CS78-DB77)))</f>
        <v>260.89743589743603</v>
      </c>
      <c r="CU78" s="17">
        <f>CT78*VLOOKUP('Données projet'!$B$13,Paramètres!$A$1:$I$89,3,0)*VLOOKUP('Données projet'!$B$13,Paramètres!$A$1:$I$89,5,0)</f>
        <v>175.01000000000008</v>
      </c>
      <c r="CV78" s="13">
        <f t="shared" si="95"/>
        <v>44.210193140944192</v>
      </c>
      <c r="CW78" s="20">
        <f t="shared" si="67"/>
        <v>381.80850305381131</v>
      </c>
      <c r="CX78" s="59">
        <f t="shared" si="68"/>
        <v>650.47008775363611</v>
      </c>
      <c r="CY78" s="59">
        <f ca="1">AVERAGE(OFFSET($CX$3,0,0,'Données projet'!$E$13+1,1))-AVERAGE(OFFSET($H$3,0,0,'Données projet'!$E$13+1,1))</f>
        <v>335.73816489539837</v>
      </c>
      <c r="CZ78" s="59">
        <f t="shared" si="96"/>
        <v>254.09787950201044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13.461538461538462</v>
      </c>
      <c r="DC78" s="16">
        <f>IF(ISNA(VLOOKUP(A78,'Données projet'!$A$139:$I$159,5,0)),0%,VLOOKUP(A78,'Données projet'!$A$139:$I$159,5,0)*VLOOKUP('Données projet'!$B$13,Paramètres!$A$1:$I$89,7,0))</f>
        <v>0.13250000000000001</v>
      </c>
      <c r="DD78" s="16">
        <f>IF(ISNA(VLOOKUP(A78,'Données projet'!$A$139:$I$159,6,0)),0%,VLOOKUP(A78,'Données projet'!$A$139:$I$159,6,0)*VLOOKUP('Données projet'!$B$13,Paramètres!$A$1:$I$89,7,0))</f>
        <v>0.13250000000000001</v>
      </c>
      <c r="DE78" s="16">
        <f>IF(ISNA(VLOOKUP(A78,'Données projet'!$A$139:$I$159,7,0)),0%,VLOOKUP(A78,'Données projet'!$A$139:$I$159,7,0))</f>
        <v>0.25</v>
      </c>
      <c r="DF78" s="21">
        <f>EXP(-LN(2)/35)*DF77+(1-EXP(-LN(2)/35))/(LN(2)/35)*DB78*DC78*VLOOKUP('Données projet'!$B$13,Paramètres!$A$1:$I$89,3,0)*0.475*44/12</f>
        <v>4.7390488246322366</v>
      </c>
      <c r="DG78" s="21">
        <f>EXP(-LN(2)/25)*DG77+(1-EXP(-LN(2)/25))/(LN(2)/25)*Calculateur!DB78*Calculateur!DD78*VLOOKUP('Données projet'!$B$13,Paramètres!$A$1:$I$89,3,0)*0.475*44/12</f>
        <v>9.3801119901037264</v>
      </c>
      <c r="DH78" s="21">
        <f>EXP(-LN(2)/2)*DH77+(1-EXP(-LN(2)/2))/(LN(2)/2)*DB78*DE78*VLOOKUP('Données projet'!$B$13,Paramètres!$A$1:$I$89,3,0)*0.475*44/12</f>
        <v>2.6068424833934265</v>
      </c>
      <c r="DI78" s="22">
        <f t="shared" si="69"/>
        <v>16.726003298129388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273.76</v>
      </c>
      <c r="DM78" s="12">
        <f>VLOOKUP(A78,'Données projet'!$A$165:$I$185,9,0)</f>
        <v>9.65625</v>
      </c>
      <c r="DN78" s="12">
        <f t="array" ref="DN78">INDEX(DM:DM,MIN(IF(ISNUMBER(DM78:DM274),ROW(DM78:DM274),"")))</f>
        <v>9.65625</v>
      </c>
      <c r="DO78" s="12">
        <f>IF('Données projet'!$A$166&gt;35,DO77+DN78-DW77,IF(A78&lt;'Données projet'!$A$166,$DL$205^A78,IF(A78='Données projet'!$A$166,'Données projet'!$B$166,DO77+DN78-DW77)))</f>
        <v>273.76</v>
      </c>
      <c r="DP78" s="17">
        <f>DO78*VLOOKUP('Données projet'!$B$14,Paramètres!$A$1:$I$89,3,0)*VLOOKUP('Données projet'!$B$14,Paramètres!$A$1:$I$89,5,0)</f>
        <v>264.78067200000004</v>
      </c>
      <c r="DQ78" s="13">
        <f t="shared" si="97"/>
        <v>63.740340908394501</v>
      </c>
      <c r="DR78" s="20">
        <f t="shared" si="70"/>
        <v>572.17409748212037</v>
      </c>
      <c r="DS78" s="59">
        <f t="shared" si="71"/>
        <v>840.83568218194523</v>
      </c>
      <c r="DT78" s="59">
        <f ca="1">AVERAGE(OFFSET($DS$3,0,0,'Données projet'!$E$14+1,1))-AVERAGE(OFFSET($H$3,0,0,'Données projet'!$E$14+1,1))</f>
        <v>493.03862850474161</v>
      </c>
      <c r="DU78" s="59">
        <f t="shared" si="98"/>
        <v>312.51819065560528</v>
      </c>
      <c r="DV78" s="15">
        <f>IF(ISNA(VLOOKUP(A78,'Données projet'!$A$165:$I$185,3,0)),0,VLOOKUP(A78,'Données projet'!$A$165:$I$185,3,0))</f>
        <v>6</v>
      </c>
      <c r="DW78" s="15">
        <f>IF(ISNA(VLOOKUP(A78,'Données projet'!$A$165:$I$185,4,0)),0,VLOOKUP(A78,'Données projet'!$A$165:$I$185,4,0))</f>
        <v>43.519999999999982</v>
      </c>
      <c r="DX78" s="16">
        <f>IF(ISNA(VLOOKUP(A78,'Données projet'!$A$165:$I$185,5,0)),0%,VLOOKUP(A78,'Données projet'!$A$165:$I$185,5,0)*VLOOKUP('Données projet'!$B$14,Paramètres!$A$1:$I$89,7,0))</f>
        <v>0.15049999999999999</v>
      </c>
      <c r="DY78" s="16">
        <f>IF(ISNA(VLOOKUP(A78,'Données projet'!$A$165:$I$185,6,0)),0%,VLOOKUP(A78,'Données projet'!$A$165:$I$185,6,0)*VLOOKUP('Données projet'!$B$14,Paramètres!$A$1:$I$89,7,0))</f>
        <v>8.6000000000000007E-2</v>
      </c>
      <c r="DZ78" s="16">
        <f>IF(ISNA(VLOOKUP(A78,'Données projet'!$A$165:$I$185,7,0)),0%,VLOOKUP(A78,'Données projet'!$A$165:$I$185,7,0))</f>
        <v>0.1</v>
      </c>
      <c r="EA78" s="21">
        <f>EXP(-LN(2)/35)*EA77+(1-EXP(-LN(2)/35))/(LN(2)/35)*DW78*DX78*VLOOKUP('Données projet'!$B$14,Paramètres!$A$1:$I$89,3,0)*0.475*44/12</f>
        <v>22.278308792925941</v>
      </c>
      <c r="EB78" s="21">
        <f>EXP(-LN(2)/25)*EB77+(1-EXP(-LN(2)/25))/(LN(2)/25)*Calculateur!DW78*Calculateur!DY78*VLOOKUP('Données projet'!$B$14,Paramètres!$A$1:$I$89,3,0)*0.475*44/12</f>
        <v>27.762424388967506</v>
      </c>
      <c r="EC78" s="21">
        <f>EXP(-LN(2)/2)*EC77+(1-EXP(-LN(2)/2))/(LN(2)/2)*DW78*DZ78*VLOOKUP('Données projet'!$B$14,Paramètres!$A$1:$I$89,3,0)*0.475*44/12</f>
        <v>4.2308045455143386</v>
      </c>
      <c r="ED78" s="22">
        <f t="shared" si="72"/>
        <v>54.271537727407782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273.76</v>
      </c>
      <c r="EH78" s="12">
        <f>VLOOKUP(A78,'Données projet'!$A$191:$I$211,9,0)</f>
        <v>9.65625</v>
      </c>
      <c r="EI78" s="12">
        <f t="array" ref="EI78">INDEX(EH:EH,MIN(IF(ISNUMBER(EH78:EH274),ROW(EH78:EH274),"")))</f>
        <v>9.65625</v>
      </c>
      <c r="EJ78" s="12">
        <f>IF('Données projet'!$A$192&gt;35,EJ77+EI78-ER77,IF(A78&lt;'Données projet'!$A$192,$EG$205^A78,IF(A78='Données projet'!$A$192,'Données projet'!$B$192,EJ77+EI78-ER77)))</f>
        <v>273.76</v>
      </c>
      <c r="EK78" s="17">
        <f>EJ78*VLOOKUP('Données projet'!$B$15,Paramètres!$A$1:$I$89,3,0)*VLOOKUP('Données projet'!$B$15,Paramètres!$A$1:$I$89,5,0)</f>
        <v>294.67526399999997</v>
      </c>
      <c r="EL78" s="13">
        <f t="shared" si="99"/>
        <v>70.059033491377406</v>
      </c>
      <c r="EM78" s="20">
        <f t="shared" si="73"/>
        <v>635.24556813081563</v>
      </c>
      <c r="EN78" s="59">
        <f t="shared" si="74"/>
        <v>903.90715283064037</v>
      </c>
      <c r="EO78" s="59">
        <f ca="1">AVERAGE(OFFSET($EN$3,0,0,'Données projet'!$E$15+1,1))-AVERAGE(OFFSET($H$3,0,0,'Données projet'!$E$15+1,1))</f>
        <v>539.72194201710272</v>
      </c>
      <c r="EP78" s="59">
        <f t="shared" si="100"/>
        <v>340.76505385159362</v>
      </c>
      <c r="EQ78" s="15">
        <f>IF(ISNA(VLOOKUP(A78,'Données projet'!$A$191:$I$211,3,0)),0,VLOOKUP(A78,'Données projet'!$A$191:$I$211,3,0))</f>
        <v>6</v>
      </c>
      <c r="ER78" s="15">
        <f>IF(ISNA(VLOOKUP(A78,'Données projet'!$A$191:$I$211,4,0)),0,VLOOKUP(A78,'Données projet'!$A$191:$I$211,4,0))</f>
        <v>43.519999999999982</v>
      </c>
      <c r="ES78" s="16">
        <f>IF(ISNA(VLOOKUP(A78,'Données projet'!$A$191:$I$211,5,0)),0%,VLOOKUP(A78,'Données projet'!$A$191:$I$211,5,0)*VLOOKUP('Données projet'!$B$15,Paramètres!$A$1:$I$89,7,0))</f>
        <v>0.15049999999999999</v>
      </c>
      <c r="ET78" s="16">
        <f>IF(ISNA(VLOOKUP(A78,'Données projet'!$A$191:$I$211,6,0)),0%,VLOOKUP(A78,'Données projet'!$A$191:$I$211,6,0)*VLOOKUP('Données projet'!$B$15,Paramètres!$A$1:$I$89,7,0))</f>
        <v>8.6000000000000007E-2</v>
      </c>
      <c r="EU78" s="16">
        <f>IF(ISNA(VLOOKUP(A78,'Données projet'!$A$191:$I$211,7,0)),0%,VLOOKUP(A78,'Données projet'!$A$191:$I$211,7,0))</f>
        <v>0.1</v>
      </c>
      <c r="EV78" s="21">
        <f>EXP(-LN(2)/35)*EV77+(1-EXP(-LN(2)/35))/(LN(2)/35)*ER78*ES78*VLOOKUP('Données projet'!$B$15,Paramètres!$A$1:$I$89,3,0)*0.475*44/12</f>
        <v>24.793601721159515</v>
      </c>
      <c r="EW78" s="21">
        <f>EXP(-LN(2)/25)*EW77+(1-EXP(-LN(2)/25))/(LN(2)/25)*Calculateur!ER78*Calculateur!ET78*VLOOKUP('Données projet'!$B$15,Paramètres!$A$1:$I$89,3,0)*0.475*44/12</f>
        <v>30.896891658689654</v>
      </c>
      <c r="EX78" s="21">
        <f>EXP(-LN(2)/2)*EX77+(1-EXP(-LN(2)/2))/(LN(2)/2)*ER78*EU78*VLOOKUP('Données projet'!$B$15,Paramètres!$A$1:$I$89,3,0)*0.475*44/12</f>
        <v>4.7084760264595058</v>
      </c>
      <c r="EY78" s="22">
        <f t="shared" si="75"/>
        <v>60.39896940630868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324</v>
      </c>
      <c r="FC78" s="12">
        <f>VLOOKUP(A78,'Données projet'!$A$217:$I$237,9,0)</f>
        <v>4.2</v>
      </c>
      <c r="FD78" s="12">
        <f t="array" ref="FD78">INDEX(FC:FC,MIN(IF(ISNUMBER(FC78:FC274),ROW(FC78:FC274),"")))</f>
        <v>4.2</v>
      </c>
      <c r="FE78" s="12">
        <f>IF('Données projet'!$A$218&gt;35,FE77+FD78-FM77,IF(A78&lt;'Données projet'!$A$218,$FB$205^A78,IF(A78='Données projet'!$A$218,'Données projet'!$B$218,FE77+FD78-FM77)))</f>
        <v>323.99999999999989</v>
      </c>
      <c r="FF78" s="17">
        <f>FE78*VLOOKUP('Données projet'!$B$16,Paramètres!$A$1:$I$89,3,0)*VLOOKUP('Données projet'!$B$16,Paramètres!$A$1:$I$89,5,0)</f>
        <v>262.82879999999989</v>
      </c>
      <c r="FG78" s="13">
        <f t="shared" si="101"/>
        <v>63.324983518559428</v>
      </c>
      <c r="FH78" s="20">
        <f t="shared" si="76"/>
        <v>568.05117296149081</v>
      </c>
      <c r="FI78" s="59">
        <f t="shared" si="77"/>
        <v>836.71275766131566</v>
      </c>
      <c r="FJ78" s="59">
        <f ca="1">AVERAGE(OFFSET($FI$3,0,0,'Données projet'!$E$16+1,1))-AVERAGE(OFFSET($H$3,0,0,'Données projet'!$E$16+1,1))</f>
        <v>383.47860767209028</v>
      </c>
      <c r="FK78" s="59">
        <f t="shared" si="102"/>
        <v>370.49129421395628</v>
      </c>
      <c r="FL78" s="15">
        <f>IF(ISNA(VLOOKUP(A78,'Données projet'!$A$217:$I$237,3,0)),0,VLOOKUP(A78,'Données projet'!$A$217:$I$237,3,0))</f>
        <v>13</v>
      </c>
      <c r="FM78" s="15">
        <f>IF(ISNA(VLOOKUP(A78,'Données projet'!$A$217:$I$237,4,0)),0,VLOOKUP(A78,'Données projet'!$A$217:$I$237,4,0))</f>
        <v>12</v>
      </c>
      <c r="FN78" s="16">
        <f>IF(ISNA(VLOOKUP(A78,'Données projet'!$A$217:$I$237,5,0)),0%,VLOOKUP(A78,'Données projet'!$A$217:$I$237,5,0)*VLOOKUP('Données projet'!$B$16,Paramètres!$A$1:$I$89,7,0))</f>
        <v>0.13250000000000001</v>
      </c>
      <c r="FO78" s="16">
        <f>IF(ISNA(VLOOKUP(A78,'Données projet'!$A$217:$I$237,6,0)),0%,VLOOKUP(A78,'Données projet'!$A$217:$I$237,6,0)*VLOOKUP('Données projet'!$B$16,Paramètres!$A$1:$I$89,7,0))</f>
        <v>0.13250000000000001</v>
      </c>
      <c r="FP78" s="16">
        <f>IF(ISNA(VLOOKUP(A78,'Données projet'!$A$217:$I$237,7,0)),0%,VLOOKUP(A78,'Données projet'!$A$217:$I$237,7,0))</f>
        <v>0.25</v>
      </c>
      <c r="FQ78" s="21">
        <f>EXP(-LN(2)/35)*FQ77+(1-EXP(-LN(2)/35))/(LN(2)/35)*FM78*FN78*VLOOKUP('Données projet'!$B$16,Paramètres!$A$1:$I$89,3,0)*0.475*44/12</f>
        <v>15.226078815496804</v>
      </c>
      <c r="FR78" s="21">
        <f>EXP(-LN(2)/25)*FR77+(1-EXP(-LN(2)/25))/(LN(2)/25)*Calculateur!FM78*Calculateur!FO78*VLOOKUP('Données projet'!$B$16,Paramètres!$A$1:$I$89,3,0)*0.475*44/12</f>
        <v>15.247543467983171</v>
      </c>
      <c r="FS78" s="21">
        <f>EXP(-LN(2)/2)*FS77+(1-EXP(-LN(2)/2))/(LN(2)/2)*FM78*FP78*VLOOKUP('Données projet'!$B$16,Paramètres!$A$1:$I$89,3,0)*0.475*44/12</f>
        <v>2.8322367103086163</v>
      </c>
      <c r="FT78" s="22">
        <f t="shared" si="78"/>
        <v>33.30585899378859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6.7437500000000021</v>
      </c>
      <c r="FZ78" s="12">
        <f>IF('Données projet'!$A$244&gt;35,FZ77+FY78-GH77,IF(A78&lt;'Données projet'!$A$244,$FW$205^A78,IF(A78='Données projet'!$A$244,'Données projet'!$B$244,FZ77+FY78-GH77)))</f>
        <v>189.03250000000003</v>
      </c>
      <c r="GA78" s="17">
        <f>FZ78*VLOOKUP('Données projet'!$B$17,Paramètres!$A$1:$I$89,3,0)*VLOOKUP('Données projet'!$B$17,Paramètres!$A$1:$I$89,5,0)</f>
        <v>215.27021100000002</v>
      </c>
      <c r="GB78" s="13">
        <f t="shared" si="103"/>
        <v>53.085592766561511</v>
      </c>
      <c r="GC78" s="20">
        <f t="shared" si="79"/>
        <v>467.38635822676127</v>
      </c>
      <c r="GD78" s="59">
        <f t="shared" si="80"/>
        <v>736.04794292658607</v>
      </c>
      <c r="GE78" s="59">
        <f ca="1">AVERAGE(OFFSET($GD$3,0,0,'Données projet'!$E$17+1,1))-AVERAGE(OFFSET($H$3,0,0,'Données projet'!$E$17+1,1))</f>
        <v>640.05156427113661</v>
      </c>
      <c r="GF78" s="59">
        <f t="shared" si="104"/>
        <v>308.77220155372902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36.159103941753003</v>
      </c>
      <c r="GN78" s="21">
        <f>EXP(-LN(2)/2)*GN77+(1-EXP(-LN(2)/2))/(LN(2)/2)*GH78*GK78*VLOOKUP('Données projet'!$B$17,Paramètres!$A$1:$I$89,3,0)*0.475*44/12</f>
        <v>1.220630415484965</v>
      </c>
      <c r="GO78" s="21">
        <f t="shared" si="81"/>
        <v>37.379734357237965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12.707777777777771</v>
      </c>
      <c r="N79" s="13">
        <f>IF('Données projet'!$A$36&gt;35,N78+M79-V78,IF(A79&lt;'Données projet'!$A$36,$K$205^A79,IF(A79='Données projet'!$A$36,'Données projet'!$B$36,N78+M79-V78)))</f>
        <v>369.74111111111085</v>
      </c>
      <c r="O79" s="13">
        <f>N79*VLOOKUP('Données projet'!$B$9,Paramètres!$A$1:$I$89,3,0)*VLOOKUP('Données projet'!$B$9,Paramètres!$A$1:$I$89,5,0)</f>
        <v>311.46991199999979</v>
      </c>
      <c r="P79" s="13">
        <f t="shared" si="87"/>
        <v>73.575721736197707</v>
      </c>
      <c r="Q79" s="20">
        <f t="shared" si="54"/>
        <v>670.62114542387724</v>
      </c>
      <c r="R79" s="59">
        <f t="shared" si="55"/>
        <v>939.71072980472672</v>
      </c>
      <c r="S79" s="59">
        <f ca="1">AVERAGE(OFFSET($R$3,0,0,'Données projet'!$E$9+1,1))-AVERAGE(OFFSET($H$3,0,0,'Données projet'!$E$9+1,1))</f>
        <v>456.35333554128226</v>
      </c>
      <c r="T79" s="59">
        <f t="shared" si="88"/>
        <v>296.4517290984877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29.170142721655573</v>
      </c>
      <c r="AA79" s="21">
        <f>EXP(-LN(2)/25)*AA78+(1-EXP(-LN(2)/25))/(LN(2)/25)*Calculateur!V79*Calculateur!X79*VLOOKUP('Données projet'!$B$9,Paramètres!$A$1:$I$89,3,0)*0.475*44/12</f>
        <v>25.504734004430333</v>
      </c>
      <c r="AB79" s="21">
        <f>EXP(-LN(2)/2)*AB78+(1-EXP(-LN(2)/2))/(LN(2)/2)*V79*Y79*VLOOKUP('Données projet'!$B$9,Paramètres!$A$1:$I$89,3,0)*0.475*44/12</f>
        <v>1.4223298654404835</v>
      </c>
      <c r="AC79" s="22">
        <f t="shared" si="57"/>
        <v>56.097206591526387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3.6</v>
      </c>
      <c r="AI79" s="13">
        <f>IF('Données projet'!$A$62&gt;35,AI78+AH79-AQ78,IF(A79&lt;'Données projet'!$A$62,$AF$205^A79,IF(A79='Données projet'!$A$62,'Données projet'!$B$62,AI78+AH79-AQ78)))</f>
        <v>315.59999999999991</v>
      </c>
      <c r="AJ79" s="13">
        <f>AI79*VLOOKUP('Données projet'!$B$10,Paramètres!$A$1:$I$89,3,0)*VLOOKUP('Données projet'!$B$10,Paramètres!$A$1:$I$89,5,0)</f>
        <v>275.70815999999996</v>
      </c>
      <c r="AK79" s="13">
        <f t="shared" si="89"/>
        <v>66.05920594467139</v>
      </c>
      <c r="AL79" s="20">
        <f t="shared" si="58"/>
        <v>595.24482902030275</v>
      </c>
      <c r="AM79" s="59">
        <f t="shared" si="59"/>
        <v>864.33441340115223</v>
      </c>
      <c r="AN79" s="59">
        <f ca="1">AVERAGE(OFFSET($AM$3,0,0,'Données projet'!$E$10+1,1))-AVERAGE(OFFSET($H$3,0,0,'Données projet'!$E$10+1,1))</f>
        <v>408.246209980743</v>
      </c>
      <c r="AO79" s="59">
        <f t="shared" si="90"/>
        <v>394.10236303013903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16.075774288986437</v>
      </c>
      <c r="AV79" s="21">
        <f>EXP(-LN(2)/25)*AV78+(1-EXP(-LN(2)/25))/(LN(2)/25)*Calculateur!AQ79*Calculateur!AS79*VLOOKUP('Données projet'!$B$10,Paramètres!$A$1:$I$89,3,0)*0.475*44/12</f>
        <v>15.971413866172913</v>
      </c>
      <c r="AW79" s="21">
        <f>EXP(-LN(2)/2)*AW78+(1-EXP(-LN(2)/2))/(LN(2)/2)*AQ79*AT79*VLOOKUP('Données projet'!$B$10,Paramètres!$A$1:$I$89,3,0)*0.475*44/12</f>
        <v>2.1567471517681409</v>
      </c>
      <c r="AX79" s="21">
        <f t="shared" si="60"/>
        <v>34.203935306927491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6.7437500000000021</v>
      </c>
      <c r="BD79" s="12">
        <f>IF('Données projet'!$A$88&gt;35,BD78+BC79-BL78,IF(A79&lt;'Données projet'!$A$88,$BA$205^A79,IF(A79='Données projet'!$A$88,'Données projet'!$B$88,BD78+BC79-BL78)))</f>
        <v>195.77625000000003</v>
      </c>
      <c r="BE79" s="13">
        <f>BD79*VLOOKUP('Données projet'!$B$11,Paramètres!$A$1:$I$89,3,0)*VLOOKUP('Données projet'!$B$11,Paramètres!$A$1:$I$89,5,0)</f>
        <v>198.51711750000004</v>
      </c>
      <c r="BF79" s="13">
        <f t="shared" si="91"/>
        <v>49.41813401590116</v>
      </c>
      <c r="BG79" s="20">
        <f t="shared" si="61"/>
        <v>431.8205630568612</v>
      </c>
      <c r="BH79" s="59">
        <f t="shared" si="62"/>
        <v>700.91014743771063</v>
      </c>
      <c r="BI79" s="59">
        <f ca="1">AVERAGE(OFFSET($BH$3,0,0,'Données projet'!$E$11+1,1))-AVERAGE(OFFSET($H$3,0,0,'Données projet'!$E$11+1,1))</f>
        <v>580.02848304986492</v>
      </c>
      <c r="BJ79" s="59">
        <f t="shared" si="92"/>
        <v>281.68891895586728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31.316048456043472</v>
      </c>
      <c r="BR79" s="21">
        <f>EXP(-LN(2)/2)*BR78+(1-EXP(-LN(2)/2))/(LN(2)/2)*BL79*BO79*VLOOKUP('Données projet'!$B$11,Paramètres!$A$1:$I$89,3,0)*0.475*44/12</f>
        <v>0.76852798448326298</v>
      </c>
      <c r="BS79" s="22">
        <f t="shared" si="63"/>
        <v>32.084576440526732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5.6843418860808015E-14</v>
      </c>
      <c r="BZ79" s="13">
        <f>BY79*VLOOKUP('Données projet'!$B$12,Paramètres!$A$1:$I$89,3,0)*VLOOKUP('Données projet'!$B$12,Paramètres!$A$1:$I$89,5,0)</f>
        <v>4.4337866711430253E-14</v>
      </c>
      <c r="CA79" s="13">
        <f t="shared" si="93"/>
        <v>7.3222115536967035E-13</v>
      </c>
      <c r="CB79" s="20">
        <f t="shared" si="64"/>
        <v>1.3525069634579169E-12</v>
      </c>
      <c r="CC79" s="59">
        <f t="shared" si="65"/>
        <v>269.08958438085079</v>
      </c>
      <c r="CD79" s="59">
        <f ca="1">AVERAGE(OFFSET($CC$3,0,0,'Données projet'!$E$12+1,1))-AVERAGE(OFFSET($H$3,0,0,'Données projet'!$E$12+1,1))</f>
        <v>308.85018589589453</v>
      </c>
      <c r="CE79" s="59">
        <f t="shared" si="94"/>
        <v>302.59481222418219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37.432438135031894</v>
      </c>
      <c r="CL79" s="21">
        <f>EXP(-LN(2)/25)*CL78+(1-EXP(-LN(2)/25))/(LN(2)/25)*Calculateur!CG79*Calculateur!CI79*VLOOKUP('Données projet'!$B$12,Paramètres!$A$1:$I$89,3,0)*0.475*44/12</f>
        <v>34.866875543749622</v>
      </c>
      <c r="CM79" s="21">
        <f>EXP(-LN(2)/2)*CM78+(1-EXP(-LN(2)/2))/(LN(2)/2)*CG79*CJ79*VLOOKUP('Données projet'!$B$12,Paramètres!$A$1:$I$89,3,0)*0.475*44/12</f>
        <v>5.3701243636191771</v>
      </c>
      <c r="CN79" s="22">
        <f t="shared" si="66"/>
        <v>77.669438042400699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4.2307692307692264</v>
      </c>
      <c r="CT79" s="12">
        <f>IF('Données projet'!$A$140&gt;35,CT78+CS79-DB78,IF(A79&lt;'Données projet'!$A$140,$CQ$205^A79,IF(A79='Données projet'!$A$140,'Données projet'!$B$140,CT78+CS79-DB78)))</f>
        <v>251.6666666666668</v>
      </c>
      <c r="CU79" s="17">
        <f>CT79*VLOOKUP('Données projet'!$B$13,Paramètres!$A$1:$I$89,3,0)*VLOOKUP('Données projet'!$B$13,Paramètres!$A$1:$I$89,5,0)</f>
        <v>168.8180000000001</v>
      </c>
      <c r="CV79" s="13">
        <f t="shared" si="95"/>
        <v>42.825187501685285</v>
      </c>
      <c r="CW79" s="20">
        <f t="shared" si="67"/>
        <v>368.61188489876872</v>
      </c>
      <c r="CX79" s="59">
        <f t="shared" si="68"/>
        <v>637.7014692796181</v>
      </c>
      <c r="CY79" s="59">
        <f ca="1">AVERAGE(OFFSET($CX$3,0,0,'Données projet'!$E$13+1,1))-AVERAGE(OFFSET($H$3,0,0,'Données projet'!$E$13+1,1))</f>
        <v>335.73816489539837</v>
      </c>
      <c r="CZ79" s="59">
        <f t="shared" si="96"/>
        <v>254.09787950201044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4.646118967715565</v>
      </c>
      <c r="DG79" s="21">
        <f>EXP(-LN(2)/25)*DG78+(1-EXP(-LN(2)/25))/(LN(2)/25)*Calculateur!DB79*Calculateur!DD79*VLOOKUP('Données projet'!$B$13,Paramètres!$A$1:$I$89,3,0)*0.475*44/12</f>
        <v>9.1236123344556894</v>
      </c>
      <c r="DH79" s="21">
        <f>EXP(-LN(2)/2)*DH78+(1-EXP(-LN(2)/2))/(LN(2)/2)*DB79*DE79*VLOOKUP('Données projet'!$B$13,Paramètres!$A$1:$I$89,3,0)*0.475*44/12</f>
        <v>1.8433159974926718</v>
      </c>
      <c r="DI79" s="22">
        <f t="shared" si="69"/>
        <v>15.613047299663927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9.4837500000000006</v>
      </c>
      <c r="DO79" s="12">
        <f>IF('Données projet'!$A$166&gt;35,DO78+DN79-DW78,IF(A79&lt;'Données projet'!$A$166,$DL$205^A79,IF(A79='Données projet'!$A$166,'Données projet'!$B$166,DO78+DN79-DW78)))</f>
        <v>239.72375</v>
      </c>
      <c r="DP79" s="17">
        <f>DO79*VLOOKUP('Données projet'!$B$14,Paramètres!$A$1:$I$89,3,0)*VLOOKUP('Données projet'!$B$14,Paramètres!$A$1:$I$89,5,0)</f>
        <v>231.86081100000001</v>
      </c>
      <c r="DQ79" s="13">
        <f t="shared" si="97"/>
        <v>56.684843489706843</v>
      </c>
      <c r="DR79" s="20">
        <f t="shared" si="70"/>
        <v>502.55034823623947</v>
      </c>
      <c r="DS79" s="59">
        <f t="shared" si="71"/>
        <v>771.6399326170889</v>
      </c>
      <c r="DT79" s="59">
        <f ca="1">AVERAGE(OFFSET($DS$3,0,0,'Données projet'!$E$14+1,1))-AVERAGE(OFFSET($H$3,0,0,'Données projet'!$E$14+1,1))</f>
        <v>493.03862850474161</v>
      </c>
      <c r="DU79" s="59">
        <f t="shared" si="98"/>
        <v>312.51819065560528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21.84144474592328</v>
      </c>
      <c r="EB79" s="21">
        <f>EXP(-LN(2)/25)*EB78+(1-EXP(-LN(2)/25))/(LN(2)/25)*Calculateur!DW79*Calculateur!DY79*VLOOKUP('Données projet'!$B$14,Paramètres!$A$1:$I$89,3,0)*0.475*44/12</f>
        <v>27.003259434088744</v>
      </c>
      <c r="EC79" s="21">
        <f>EXP(-LN(2)/2)*EC78+(1-EXP(-LN(2)/2))/(LN(2)/2)*DW79*DZ79*VLOOKUP('Données projet'!$B$14,Paramètres!$A$1:$I$89,3,0)*0.475*44/12</f>
        <v>2.9916305840080581</v>
      </c>
      <c r="ED79" s="22">
        <f t="shared" si="72"/>
        <v>51.83633476402008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9.4837500000000006</v>
      </c>
      <c r="EJ79" s="12">
        <f>IF('Données projet'!$A$192&gt;35,EJ78+EI79-ER78,IF(A79&lt;'Données projet'!$A$192,$EG$205^A79,IF(A79='Données projet'!$A$192,'Données projet'!$B$192,EJ78+EI79-ER78)))</f>
        <v>239.72375</v>
      </c>
      <c r="EK79" s="17">
        <f>EJ79*VLOOKUP('Données projet'!$B$15,Paramètres!$A$1:$I$89,3,0)*VLOOKUP('Données projet'!$B$15,Paramètres!$A$1:$I$89,5,0)</f>
        <v>258.03864449999998</v>
      </c>
      <c r="EL79" s="13">
        <f t="shared" si="99"/>
        <v>62.304112150988615</v>
      </c>
      <c r="EM79" s="20">
        <f t="shared" si="73"/>
        <v>557.9303011671384</v>
      </c>
      <c r="EN79" s="59">
        <f t="shared" si="74"/>
        <v>827.01988554798777</v>
      </c>
      <c r="EO79" s="59">
        <f ca="1">AVERAGE(OFFSET($EN$3,0,0,'Données projet'!$E$15+1,1))-AVERAGE(OFFSET($H$3,0,0,'Données projet'!$E$15+1,1))</f>
        <v>539.72194201710272</v>
      </c>
      <c r="EP79" s="59">
        <f t="shared" si="100"/>
        <v>340.76505385159362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24.307414314011393</v>
      </c>
      <c r="EW79" s="21">
        <f>EXP(-LN(2)/25)*EW78+(1-EXP(-LN(2)/25))/(LN(2)/25)*Calculateur!ER79*Calculateur!ET79*VLOOKUP('Données projet'!$B$15,Paramètres!$A$1:$I$89,3,0)*0.475*44/12</f>
        <v>30.05201453148587</v>
      </c>
      <c r="EX79" s="21">
        <f>EXP(-LN(2)/2)*EX78+(1-EXP(-LN(2)/2))/(LN(2)/2)*ER79*EU79*VLOOKUP('Données projet'!$B$15,Paramètres!$A$1:$I$89,3,0)*0.475*44/12</f>
        <v>3.3293953273638066</v>
      </c>
      <c r="EY79" s="22">
        <f t="shared" si="75"/>
        <v>57.688824172861068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3.6</v>
      </c>
      <c r="FE79" s="12">
        <f>IF('Données projet'!$A$218&gt;35,FE78+FD79-FM78,IF(A79&lt;'Données projet'!$A$218,$FB$205^A79,IF(A79='Données projet'!$A$218,'Données projet'!$B$218,FE78+FD79-FM78)))</f>
        <v>315.59999999999991</v>
      </c>
      <c r="FF79" s="17">
        <f>FE79*VLOOKUP('Données projet'!$B$16,Paramètres!$A$1:$I$89,3,0)*VLOOKUP('Données projet'!$B$16,Paramètres!$A$1:$I$89,5,0)</f>
        <v>256.01471999999995</v>
      </c>
      <c r="FG79" s="13">
        <f t="shared" si="101"/>
        <v>61.872115120174627</v>
      </c>
      <c r="FH79" s="20">
        <f t="shared" si="76"/>
        <v>553.65290450097075</v>
      </c>
      <c r="FI79" s="59">
        <f t="shared" si="77"/>
        <v>822.74248888182024</v>
      </c>
      <c r="FJ79" s="59">
        <f ca="1">AVERAGE(OFFSET($FI$3,0,0,'Données projet'!$E$16+1,1))-AVERAGE(OFFSET($H$3,0,0,'Données projet'!$E$16+1,1))</f>
        <v>383.47860767209028</v>
      </c>
      <c r="FK79" s="59">
        <f t="shared" si="102"/>
        <v>370.49129421395628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14.927504696915975</v>
      </c>
      <c r="FR79" s="21">
        <f>EXP(-LN(2)/25)*FR78+(1-EXP(-LN(2)/25))/(LN(2)/25)*Calculateur!FM79*Calculateur!FO79*VLOOKUP('Données projet'!$B$16,Paramètres!$A$1:$I$89,3,0)*0.475*44/12</f>
        <v>14.83059859001771</v>
      </c>
      <c r="FS79" s="21">
        <f>EXP(-LN(2)/2)*FS78+(1-EXP(-LN(2)/2))/(LN(2)/2)*FM79*FP79*VLOOKUP('Données projet'!$B$16,Paramètres!$A$1:$I$89,3,0)*0.475*44/12</f>
        <v>2.0026937837847023</v>
      </c>
      <c r="FT79" s="22">
        <f t="shared" si="78"/>
        <v>31.760797070718386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6.7437500000000021</v>
      </c>
      <c r="FZ79" s="12">
        <f>IF('Données projet'!$A$244&gt;35,FZ78+FY79-GH78,IF(A79&lt;'Données projet'!$A$244,$FW$205^A79,IF(A79='Données projet'!$A$244,'Données projet'!$B$244,FZ78+FY79-GH78)))</f>
        <v>195.77625000000003</v>
      </c>
      <c r="GA79" s="17">
        <f>FZ79*VLOOKUP('Données projet'!$B$17,Paramètres!$A$1:$I$89,3,0)*VLOOKUP('Données projet'!$B$17,Paramètres!$A$1:$I$89,5,0)</f>
        <v>222.94999350000006</v>
      </c>
      <c r="GB79" s="13">
        <f t="shared" si="103"/>
        <v>54.755554340667125</v>
      </c>
      <c r="GC79" s="20">
        <f t="shared" si="79"/>
        <v>483.67049582249541</v>
      </c>
      <c r="GD79" s="59">
        <f t="shared" si="80"/>
        <v>752.76008020334484</v>
      </c>
      <c r="GE79" s="59">
        <f ca="1">AVERAGE(OFFSET($GD$3,0,0,'Données projet'!$E$17+1,1))-AVERAGE(OFFSET($H$3,0,0,'Données projet'!$E$17+1,1))</f>
        <v>640.05156427113661</v>
      </c>
      <c r="GF79" s="59">
        <f t="shared" si="104"/>
        <v>308.77220155372902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35.170331342941132</v>
      </c>
      <c r="GN79" s="21">
        <f>EXP(-LN(2)/2)*GN78+(1-EXP(-LN(2)/2))/(LN(2)/2)*GH79*GK79*VLOOKUP('Données projet'!$B$17,Paramètres!$A$1:$I$89,3,0)*0.475*44/12</f>
        <v>0.86311604411197174</v>
      </c>
      <c r="GO79" s="21">
        <f t="shared" si="81"/>
        <v>36.033447387053101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12.707777777777771</v>
      </c>
      <c r="N80" s="13">
        <f>IF('Données projet'!$A$36&gt;35,N79+M80-V79,IF(A80&lt;'Données projet'!$A$36,$K$205^A80,IF(A80='Données projet'!$A$36,'Données projet'!$B$36,N79+M80-V79)))</f>
        <v>382.44888888888863</v>
      </c>
      <c r="O80" s="13">
        <f>N80*VLOOKUP('Données projet'!$B$9,Paramètres!$A$1:$I$89,3,0)*VLOOKUP('Données projet'!$B$9,Paramètres!$A$1:$I$89,5,0)</f>
        <v>322.17494399999981</v>
      </c>
      <c r="P80" s="13">
        <f t="shared" si="87"/>
        <v>75.805714500976208</v>
      </c>
      <c r="Q80" s="20">
        <f t="shared" si="54"/>
        <v>693.14964688919997</v>
      </c>
      <c r="R80" s="59">
        <f t="shared" si="55"/>
        <v>962.65980611347231</v>
      </c>
      <c r="S80" s="59">
        <f ca="1">AVERAGE(OFFSET($R$3,0,0,'Données projet'!$E$9+1,1))-AVERAGE(OFFSET($H$3,0,0,'Données projet'!$E$9+1,1))</f>
        <v>456.35333554128226</v>
      </c>
      <c r="T80" s="59">
        <f t="shared" si="88"/>
        <v>296.4517290984877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28.598134014914152</v>
      </c>
      <c r="AA80" s="21">
        <f>EXP(-LN(2)/25)*AA79+(1-EXP(-LN(2)/25))/(LN(2)/25)*Calculateur!V80*Calculateur!X80*VLOOKUP('Données projet'!$B$9,Paramètres!$A$1:$I$89,3,0)*0.475*44/12</f>
        <v>24.807305711843515</v>
      </c>
      <c r="AB80" s="21">
        <f>EXP(-LN(2)/2)*AB79+(1-EXP(-LN(2)/2))/(LN(2)/2)*V80*Y80*VLOOKUP('Données projet'!$B$9,Paramètres!$A$1:$I$89,3,0)*0.475*44/12</f>
        <v>1.0057390929371155</v>
      </c>
      <c r="AC80" s="22">
        <f t="shared" si="57"/>
        <v>54.411178819694776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3.6</v>
      </c>
      <c r="AI80" s="13">
        <f>IF('Données projet'!$A$62&gt;35,AI79+AH80-AQ79,IF(A80&lt;'Données projet'!$A$62,$AF$205^A80,IF(A80='Données projet'!$A$62,'Données projet'!$B$62,AI79+AH80-AQ79)))</f>
        <v>319.19999999999993</v>
      </c>
      <c r="AJ80" s="13">
        <f>AI80*VLOOKUP('Données projet'!$B$10,Paramètres!$A$1:$I$89,3,0)*VLOOKUP('Données projet'!$B$10,Paramètres!$A$1:$I$89,5,0)</f>
        <v>278.85311999999999</v>
      </c>
      <c r="AK80" s="13">
        <f t="shared" si="89"/>
        <v>66.724582302351905</v>
      </c>
      <c r="AL80" s="20">
        <f t="shared" si="58"/>
        <v>601.88116484326292</v>
      </c>
      <c r="AM80" s="59">
        <f t="shared" si="59"/>
        <v>871.39132406753515</v>
      </c>
      <c r="AN80" s="59">
        <f ca="1">AVERAGE(OFFSET($AM$3,0,0,'Données projet'!$E$10+1,1))-AVERAGE(OFFSET($H$3,0,0,'Données projet'!$E$10+1,1))</f>
        <v>408.246209980743</v>
      </c>
      <c r="AO80" s="59">
        <f t="shared" si="90"/>
        <v>394.10236303013903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15.760538160433541</v>
      </c>
      <c r="AV80" s="21">
        <f>EXP(-LN(2)/25)*AV79+(1-EXP(-LN(2)/25))/(LN(2)/25)*Calculateur!AQ80*Calculateur!AS80*VLOOKUP('Données projet'!$B$10,Paramètres!$A$1:$I$89,3,0)*0.475*44/12</f>
        <v>15.534674714102263</v>
      </c>
      <c r="AW80" s="21">
        <f>EXP(-LN(2)/2)*AW79+(1-EXP(-LN(2)/2))/(LN(2)/2)*AQ80*AT80*VLOOKUP('Données projet'!$B$10,Paramètres!$A$1:$I$89,3,0)*0.475*44/12</f>
        <v>1.5250505363200246</v>
      </c>
      <c r="AX80" s="21">
        <f t="shared" si="60"/>
        <v>32.82026341085583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>
        <f>VLOOKUP(A80,'Données projet'!$A$87:$I$107,2,0)</f>
        <v>202.52</v>
      </c>
      <c r="BB80" s="12">
        <f>VLOOKUP(A80,'Données projet'!$A$87:$I$107,9,0)</f>
        <v>6.7437500000000021</v>
      </c>
      <c r="BC80" s="12">
        <f t="array" ref="BC80">INDEX(BB:BB,MIN(IF(ISNUMBER(BB80:BB276),ROW(BB80:BB276),"")))</f>
        <v>6.7437500000000021</v>
      </c>
      <c r="BD80" s="12">
        <f>IF('Données projet'!$A$88&gt;35,BD79+BC80-BL79,IF(A80&lt;'Données projet'!$A$88,$BA$205^A80,IF(A80='Données projet'!$A$88,'Données projet'!$B$88,BD79+BC80-BL79)))</f>
        <v>202.52000000000004</v>
      </c>
      <c r="BE80" s="13">
        <f>BD80*VLOOKUP('Données projet'!$B$11,Paramètres!$A$1:$I$89,3,0)*VLOOKUP('Données projet'!$B$11,Paramètres!$A$1:$I$89,5,0)</f>
        <v>205.35528000000005</v>
      </c>
      <c r="BF80" s="13">
        <f t="shared" si="91"/>
        <v>50.919280092893707</v>
      </c>
      <c r="BG80" s="20">
        <f t="shared" si="61"/>
        <v>446.34485882845661</v>
      </c>
      <c r="BH80" s="59">
        <f t="shared" si="62"/>
        <v>715.85501805272884</v>
      </c>
      <c r="BI80" s="59">
        <f ca="1">AVERAGE(OFFSET($BH$3,0,0,'Données projet'!$E$11+1,1))-AVERAGE(OFFSET($H$3,0,0,'Données projet'!$E$11+1,1))</f>
        <v>580.02848304986492</v>
      </c>
      <c r="BJ80" s="59">
        <f t="shared" si="92"/>
        <v>281.68891895586728</v>
      </c>
      <c r="BK80" s="15">
        <f>IF(ISNA(VLOOKUP(A80,'Données projet'!$A$87:$I$107,3,0)),0,VLOOKUP(A80,'Données projet'!$A$87:$I$107,3,0))</f>
        <v>3</v>
      </c>
      <c r="BL80" s="15">
        <f>IF(ISNA(VLOOKUP(A80,'Données projet'!$A$87:$I$107,4,0)),0,VLOOKUP(A80,'Données projet'!$A$87:$I$107,4,0))</f>
        <v>33.950000000000017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0.34400000000000003</v>
      </c>
      <c r="BO80" s="16">
        <f>IF(ISNA(VLOOKUP(A80,'Données projet'!$A$87:$I$107,7,0)),0%,VLOOKUP(A80,'Données projet'!$A$87:$I$107,7,0))</f>
        <v>0.2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43.499479380258421</v>
      </c>
      <c r="BR80" s="21">
        <f>EXP(-LN(2)/2)*BR79+(1-EXP(-LN(2)/2))/(LN(2)/2)*BL80*BO80*VLOOKUP('Données projet'!$B$11,Paramètres!$A$1:$I$89,3,0)*0.475*44/12</f>
        <v>7.0396707680327228</v>
      </c>
      <c r="BS80" s="22">
        <f t="shared" si="63"/>
        <v>50.539150148291142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5.6843418860808015E-14</v>
      </c>
      <c r="BZ80" s="13">
        <f>BY80*VLOOKUP('Données projet'!$B$12,Paramètres!$A$1:$I$89,3,0)*VLOOKUP('Données projet'!$B$12,Paramètres!$A$1:$I$89,5,0)</f>
        <v>4.4337866711430253E-14</v>
      </c>
      <c r="CA80" s="13">
        <f t="shared" si="93"/>
        <v>7.3222115536967035E-13</v>
      </c>
      <c r="CB80" s="20">
        <f t="shared" si="64"/>
        <v>1.3525069634579169E-12</v>
      </c>
      <c r="CC80" s="59">
        <f t="shared" si="65"/>
        <v>269.51015922427365</v>
      </c>
      <c r="CD80" s="59">
        <f ca="1">AVERAGE(OFFSET($CC$3,0,0,'Données projet'!$E$12+1,1))-AVERAGE(OFFSET($H$3,0,0,'Données projet'!$E$12+1,1))</f>
        <v>308.85018589589453</v>
      </c>
      <c r="CE80" s="59">
        <f t="shared" si="94"/>
        <v>302.59481222418219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36.698410854736757</v>
      </c>
      <c r="CL80" s="21">
        <f>EXP(-LN(2)/25)*CL79+(1-EXP(-LN(2)/25))/(LN(2)/25)*Calculateur!CG80*Calculateur!CI80*VLOOKUP('Données projet'!$B$12,Paramètres!$A$1:$I$89,3,0)*0.475*44/12</f>
        <v>33.91343899843649</v>
      </c>
      <c r="CM80" s="21">
        <f>EXP(-LN(2)/2)*CM79+(1-EXP(-LN(2)/2))/(LN(2)/2)*CG80*CJ80*VLOOKUP('Données projet'!$B$12,Paramètres!$A$1:$I$89,3,0)*0.475*44/12</f>
        <v>3.7972513533302137</v>
      </c>
      <c r="CN80" s="22">
        <f t="shared" si="66"/>
        <v>74.409101206503465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4.2307692307692264</v>
      </c>
      <c r="CT80" s="12">
        <f>IF('Données projet'!$A$140&gt;35,CT79+CS80-DB79,IF(A80&lt;'Données projet'!$A$140,$CQ$205^A80,IF(A80='Données projet'!$A$140,'Données projet'!$B$140,CT79+CS80-DB79)))</f>
        <v>255.89743589743603</v>
      </c>
      <c r="CU80" s="17">
        <f>CT80*VLOOKUP('Données projet'!$B$13,Paramètres!$A$1:$I$89,3,0)*VLOOKUP('Données projet'!$B$13,Paramètres!$A$1:$I$89,5,0)</f>
        <v>171.65600000000009</v>
      </c>
      <c r="CV80" s="13">
        <f t="shared" si="95"/>
        <v>43.460702985278566</v>
      </c>
      <c r="CW80" s="20">
        <f t="shared" si="67"/>
        <v>374.66159103269365</v>
      </c>
      <c r="CX80" s="59">
        <f t="shared" si="68"/>
        <v>644.17175025696588</v>
      </c>
      <c r="CY80" s="59">
        <f ca="1">AVERAGE(OFFSET($CX$3,0,0,'Données projet'!$E$13+1,1))-AVERAGE(OFFSET($H$3,0,0,'Données projet'!$E$13+1,1))</f>
        <v>335.73816489539837</v>
      </c>
      <c r="CZ80" s="59">
        <f t="shared" si="96"/>
        <v>254.09787950201044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4.5550114086114135</v>
      </c>
      <c r="DG80" s="21">
        <f>EXP(-LN(2)/25)*DG79+(1-EXP(-LN(2)/25))/(LN(2)/25)*Calculateur!DB80*Calculateur!DD80*VLOOKUP('Données projet'!$B$13,Paramètres!$A$1:$I$89,3,0)*0.475*44/12</f>
        <v>8.8741266753800776</v>
      </c>
      <c r="DH80" s="21">
        <f>EXP(-LN(2)/2)*DH79+(1-EXP(-LN(2)/2))/(LN(2)/2)*DB80*DE80*VLOOKUP('Données projet'!$B$13,Paramètres!$A$1:$I$89,3,0)*0.475*44/12</f>
        <v>1.3034212416967135</v>
      </c>
      <c r="DI80" s="22">
        <f t="shared" si="69"/>
        <v>14.732559325688204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9.4837500000000006</v>
      </c>
      <c r="DO80" s="12">
        <f>IF('Données projet'!$A$166&gt;35,DO79+DN80-DW79,IF(A80&lt;'Données projet'!$A$166,$DL$205^A80,IF(A80='Données projet'!$A$166,'Données projet'!$B$166,DO79+DN80-DW79)))</f>
        <v>249.20749999999998</v>
      </c>
      <c r="DP80" s="17">
        <f>DO80*VLOOKUP('Données projet'!$B$14,Paramètres!$A$1:$I$89,3,0)*VLOOKUP('Données projet'!$B$14,Paramètres!$A$1:$I$89,5,0)</f>
        <v>241.03349399999999</v>
      </c>
      <c r="DQ80" s="13">
        <f t="shared" si="97"/>
        <v>58.661836111279229</v>
      </c>
      <c r="DR80" s="20">
        <f t="shared" si="70"/>
        <v>521.96936661047789</v>
      </c>
      <c r="DS80" s="59">
        <f t="shared" si="71"/>
        <v>791.47952583475012</v>
      </c>
      <c r="DT80" s="59">
        <f ca="1">AVERAGE(OFFSET($DS$3,0,0,'Données projet'!$E$14+1,1))-AVERAGE(OFFSET($H$3,0,0,'Données projet'!$E$14+1,1))</f>
        <v>493.03862850474161</v>
      </c>
      <c r="DU80" s="59">
        <f t="shared" si="98"/>
        <v>312.51819065560528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21.413147336421584</v>
      </c>
      <c r="EB80" s="21">
        <f>EXP(-LN(2)/25)*EB79+(1-EXP(-LN(2)/25))/(LN(2)/25)*Calculateur!DW80*Calculateur!DY80*VLOOKUP('Données projet'!$B$14,Paramètres!$A$1:$I$89,3,0)*0.475*44/12</f>
        <v>26.264853884823889</v>
      </c>
      <c r="EC80" s="21">
        <f>EXP(-LN(2)/2)*EC79+(1-EXP(-LN(2)/2))/(LN(2)/2)*DW80*DZ80*VLOOKUP('Données projet'!$B$14,Paramètres!$A$1:$I$89,3,0)*0.475*44/12</f>
        <v>2.1154022727571693</v>
      </c>
      <c r="ED80" s="22">
        <f t="shared" si="72"/>
        <v>49.793403494002646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9.4837500000000006</v>
      </c>
      <c r="EJ80" s="12">
        <f>IF('Données projet'!$A$192&gt;35,EJ79+EI80-ER79,IF(A80&lt;'Données projet'!$A$192,$EG$205^A80,IF(A80='Données projet'!$A$192,'Données projet'!$B$192,EJ79+EI80-ER79)))</f>
        <v>249.20749999999998</v>
      </c>
      <c r="EK80" s="17">
        <f>EJ80*VLOOKUP('Données projet'!$B$15,Paramètres!$A$1:$I$89,3,0)*VLOOKUP('Données projet'!$B$15,Paramètres!$A$1:$I$89,5,0)</f>
        <v>268.24695299999996</v>
      </c>
      <c r="EL80" s="13">
        <f t="shared" si="99"/>
        <v>64.477087543228862</v>
      </c>
      <c r="EM80" s="20">
        <f t="shared" si="73"/>
        <v>579.49437061279025</v>
      </c>
      <c r="EN80" s="59">
        <f t="shared" si="74"/>
        <v>849.00452983706259</v>
      </c>
      <c r="EO80" s="59">
        <f ca="1">AVERAGE(OFFSET($EN$3,0,0,'Données projet'!$E$15+1,1))-AVERAGE(OFFSET($H$3,0,0,'Données projet'!$E$15+1,1))</f>
        <v>539.72194201710272</v>
      </c>
      <c r="EP80" s="59">
        <f t="shared" si="100"/>
        <v>340.76505385159362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23.830760745372409</v>
      </c>
      <c r="EW80" s="21">
        <f>EXP(-LN(2)/25)*EW79+(1-EXP(-LN(2)/25))/(LN(2)/25)*Calculateur!ER80*Calculateur!ET80*VLOOKUP('Données projet'!$B$15,Paramètres!$A$1:$I$89,3,0)*0.475*44/12</f>
        <v>29.23024061375563</v>
      </c>
      <c r="EX80" s="21">
        <f>EXP(-LN(2)/2)*EX79+(1-EXP(-LN(2)/2))/(LN(2)/2)*ER80*EU80*VLOOKUP('Données projet'!$B$15,Paramètres!$A$1:$I$89,3,0)*0.475*44/12</f>
        <v>2.3542380132297533</v>
      </c>
      <c r="EY80" s="22">
        <f t="shared" si="75"/>
        <v>55.415239372357796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3.6</v>
      </c>
      <c r="FE80" s="12">
        <f>IF('Données projet'!$A$218&gt;35,FE79+FD80-FM79,IF(A80&lt;'Données projet'!$A$218,$FB$205^A80,IF(A80='Données projet'!$A$218,'Données projet'!$B$218,FE79+FD80-FM79)))</f>
        <v>319.19999999999993</v>
      </c>
      <c r="FF80" s="17">
        <f>FE80*VLOOKUP('Données projet'!$B$16,Paramètres!$A$1:$I$89,3,0)*VLOOKUP('Données projet'!$B$16,Paramètres!$A$1:$I$89,5,0)</f>
        <v>258.93503999999996</v>
      </c>
      <c r="FG80" s="13">
        <f t="shared" si="101"/>
        <v>62.495317322077135</v>
      </c>
      <c r="FH80" s="20">
        <f t="shared" si="76"/>
        <v>559.8245390026176</v>
      </c>
      <c r="FI80" s="59">
        <f t="shared" si="77"/>
        <v>829.33469822688994</v>
      </c>
      <c r="FJ80" s="59">
        <f ca="1">AVERAGE(OFFSET($FI$3,0,0,'Données projet'!$E$16+1,1))-AVERAGE(OFFSET($H$3,0,0,'Données projet'!$E$16+1,1))</f>
        <v>383.47860767209028</v>
      </c>
      <c r="FK80" s="59">
        <f t="shared" si="102"/>
        <v>370.49129421395628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14.634785434688286</v>
      </c>
      <c r="FR80" s="21">
        <f>EXP(-LN(2)/25)*FR79+(1-EXP(-LN(2)/25))/(LN(2)/25)*Calculateur!FM80*Calculateur!FO80*VLOOKUP('Données projet'!$B$16,Paramètres!$A$1:$I$89,3,0)*0.475*44/12</f>
        <v>14.42505509166639</v>
      </c>
      <c r="FS80" s="21">
        <f>EXP(-LN(2)/2)*FS79+(1-EXP(-LN(2)/2))/(LN(2)/2)*FM80*FP80*VLOOKUP('Données projet'!$B$16,Paramètres!$A$1:$I$89,3,0)*0.475*44/12</f>
        <v>1.4161183551543086</v>
      </c>
      <c r="FT80" s="22">
        <f t="shared" si="78"/>
        <v>30.475958881508987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>
        <f>VLOOKUP(A80,'Données projet'!$A$243:$I$263,2,0)</f>
        <v>202.52</v>
      </c>
      <c r="FX80" s="12">
        <f>VLOOKUP(A80,'Données projet'!$A$243:$I$263,9,0)</f>
        <v>6.7437500000000021</v>
      </c>
      <c r="FY80" s="12">
        <f t="array" ref="FY80">INDEX(FX:FX,MIN(IF(ISNUMBER(FX80:FX276),ROW(FX80:FX276),"")))</f>
        <v>6.7437500000000021</v>
      </c>
      <c r="FZ80" s="12">
        <f>IF('Données projet'!$A$244&gt;35,FZ79+FY80-GH79,IF(A80&lt;'Données projet'!$A$244,$FW$205^A80,IF(A80='Données projet'!$A$244,'Données projet'!$B$244,FZ79+FY80-GH79)))</f>
        <v>202.52000000000004</v>
      </c>
      <c r="GA80" s="17">
        <f>FZ80*VLOOKUP('Données projet'!$B$17,Paramètres!$A$1:$I$89,3,0)*VLOOKUP('Données projet'!$B$17,Paramètres!$A$1:$I$89,5,0)</f>
        <v>230.62977600000005</v>
      </c>
      <c r="GB80" s="13">
        <f t="shared" si="103"/>
        <v>56.418832148072731</v>
      </c>
      <c r="GC80" s="20">
        <f t="shared" si="79"/>
        <v>499.94299252456011</v>
      </c>
      <c r="GD80" s="59">
        <f t="shared" si="80"/>
        <v>769.4531517488324</v>
      </c>
      <c r="GE80" s="59">
        <f ca="1">AVERAGE(OFFSET($GD$3,0,0,'Données projet'!$E$17+1,1))-AVERAGE(OFFSET($H$3,0,0,'Données projet'!$E$17+1,1))</f>
        <v>640.05156427113661</v>
      </c>
      <c r="GF80" s="59">
        <f t="shared" si="104"/>
        <v>308.77220155372902</v>
      </c>
      <c r="GG80" s="15">
        <f>IF(ISNA(VLOOKUP(A80,'Données projet'!$A$243:$I$263,3,0)),0,VLOOKUP(A80,'Données projet'!$A$243:$I$263,3,0))</f>
        <v>3</v>
      </c>
      <c r="GH80" s="15">
        <f>IF(ISNA(VLOOKUP(A80,'Données projet'!$A$243:$I$263,4,0)),0,VLOOKUP(A80,'Données projet'!$A$243:$I$263,4,0))</f>
        <v>33.950000000000017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0.34400000000000003</v>
      </c>
      <c r="GK80" s="16">
        <f>IF(ISNA(VLOOKUP(A80,'Données projet'!$A$243:$I$263,7,0)),0%,VLOOKUP(A80,'Données projet'!$A$243:$I$263,7,0))</f>
        <v>0.2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48.853261457828687</v>
      </c>
      <c r="GN80" s="21">
        <f>EXP(-LN(2)/2)*GN79+(1-EXP(-LN(2)/2))/(LN(2)/2)*GH80*GK80*VLOOKUP('Données projet'!$B$17,Paramètres!$A$1:$I$89,3,0)*0.475*44/12</f>
        <v>7.9060917856367512</v>
      </c>
      <c r="GO80" s="21">
        <f t="shared" si="81"/>
        <v>56.759353243465441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12.707777777777771</v>
      </c>
      <c r="N81" s="13">
        <f>IF('Données projet'!$A$36&gt;35,N80+M81-V80,IF(A81&lt;'Données projet'!$A$36,$K$205^A81,IF(A81='Données projet'!$A$36,'Données projet'!$B$36,N80+M81-V80)))</f>
        <v>395.15666666666641</v>
      </c>
      <c r="O81" s="13">
        <f>N81*VLOOKUP('Données projet'!$B$9,Paramètres!$A$1:$I$89,3,0)*VLOOKUP('Données projet'!$B$9,Paramètres!$A$1:$I$89,5,0)</f>
        <v>332.87997599999977</v>
      </c>
      <c r="P81" s="13">
        <f t="shared" si="87"/>
        <v>78.027097377942809</v>
      </c>
      <c r="Q81" s="20">
        <f t="shared" si="54"/>
        <v>715.6631527999167</v>
      </c>
      <c r="R81" s="59">
        <f t="shared" si="55"/>
        <v>985.58659083434293</v>
      </c>
      <c r="S81" s="59">
        <f ca="1">AVERAGE(OFFSET($R$3,0,0,'Données projet'!$E$9+1,1))-AVERAGE(OFFSET($H$3,0,0,'Données projet'!$E$9+1,1))</f>
        <v>456.35333554128226</v>
      </c>
      <c r="T81" s="59">
        <f t="shared" si="88"/>
        <v>296.4517290984877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28.037342050021067</v>
      </c>
      <c r="AA81" s="21">
        <f>EXP(-LN(2)/25)*AA80+(1-EXP(-LN(2)/25))/(LN(2)/25)*Calculateur!V81*Calculateur!X81*VLOOKUP('Données projet'!$B$9,Paramètres!$A$1:$I$89,3,0)*0.475*44/12</f>
        <v>24.128948632593644</v>
      </c>
      <c r="AB81" s="21">
        <f>EXP(-LN(2)/2)*AB80+(1-EXP(-LN(2)/2))/(LN(2)/2)*V81*Y81*VLOOKUP('Données projet'!$B$9,Paramètres!$A$1:$I$89,3,0)*0.475*44/12</f>
        <v>0.71116493272024173</v>
      </c>
      <c r="AC81" s="22">
        <f t="shared" si="57"/>
        <v>52.877455615334959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3.6</v>
      </c>
      <c r="AI81" s="13">
        <f>IF('Données projet'!$A$62&gt;35,AI80+AH81-AQ80,IF(A81&lt;'Données projet'!$A$62,$AF$205^A81,IF(A81='Données projet'!$A$62,'Données projet'!$B$62,AI80+AH81-AQ80)))</f>
        <v>322.79999999999995</v>
      </c>
      <c r="AJ81" s="13">
        <f>AI81*VLOOKUP('Données projet'!$B$10,Paramètres!$A$1:$I$89,3,0)*VLOOKUP('Données projet'!$B$10,Paramètres!$A$1:$I$89,5,0)</f>
        <v>281.99808000000002</v>
      </c>
      <c r="AK81" s="13">
        <f t="shared" si="89"/>
        <v>67.389085719488818</v>
      </c>
      <c r="AL81" s="20">
        <f t="shared" si="58"/>
        <v>608.51598029477634</v>
      </c>
      <c r="AM81" s="59">
        <f t="shared" si="59"/>
        <v>878.43941832920257</v>
      </c>
      <c r="AN81" s="59">
        <f ca="1">AVERAGE(OFFSET($AM$3,0,0,'Données projet'!$E$10+1,1))-AVERAGE(OFFSET($H$3,0,0,'Données projet'!$E$10+1,1))</f>
        <v>408.246209980743</v>
      </c>
      <c r="AO81" s="59">
        <f t="shared" si="90"/>
        <v>394.10236303013903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15.451483620086513</v>
      </c>
      <c r="AV81" s="21">
        <f>EXP(-LN(2)/25)*AV80+(1-EXP(-LN(2)/25))/(LN(2)/25)*Calculateur!AQ81*Calculateur!AS81*VLOOKUP('Données projet'!$B$10,Paramètres!$A$1:$I$89,3,0)*0.475*44/12</f>
        <v>15.109878217112097</v>
      </c>
      <c r="AW81" s="21">
        <f>EXP(-LN(2)/2)*AW80+(1-EXP(-LN(2)/2))/(LN(2)/2)*AQ81*AT81*VLOOKUP('Données projet'!$B$10,Paramètres!$A$1:$I$89,3,0)*0.475*44/12</f>
        <v>1.0783735758840707</v>
      </c>
      <c r="AX81" s="21">
        <f t="shared" si="60"/>
        <v>31.639735413082683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6.7444444444444462</v>
      </c>
      <c r="BD81" s="12">
        <f>IF('Données projet'!$A$88&gt;35,BD80+BC81-BL80,IF(A81&lt;'Données projet'!$A$88,$BA$205^A81,IF(A81='Données projet'!$A$88,'Données projet'!$B$88,BD80+BC81-BL80)))</f>
        <v>175.31444444444446</v>
      </c>
      <c r="BE81" s="13">
        <f>BD81*VLOOKUP('Données projet'!$B$11,Paramètres!$A$1:$I$89,3,0)*VLOOKUP('Données projet'!$B$11,Paramètres!$A$1:$I$89,5,0)</f>
        <v>177.76884666666669</v>
      </c>
      <c r="BF81" s="13">
        <f t="shared" si="91"/>
        <v>44.825435894521945</v>
      </c>
      <c r="BG81" s="20">
        <f t="shared" si="61"/>
        <v>387.68504212740351</v>
      </c>
      <c r="BH81" s="59">
        <f t="shared" si="62"/>
        <v>657.60848016182968</v>
      </c>
      <c r="BI81" s="59">
        <f ca="1">AVERAGE(OFFSET($BH$3,0,0,'Données projet'!$E$11+1,1))-AVERAGE(OFFSET($H$3,0,0,'Données projet'!$E$11+1,1))</f>
        <v>580.02848304986492</v>
      </c>
      <c r="BJ81" s="59">
        <f t="shared" si="92"/>
        <v>281.68891895586728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42.30998382906705</v>
      </c>
      <c r="BR81" s="21">
        <f>EXP(-LN(2)/2)*BR80+(1-EXP(-LN(2)/2))/(LN(2)/2)*BL81*BO81*VLOOKUP('Données projet'!$B$11,Paramètres!$A$1:$I$89,3,0)*0.475*44/12</f>
        <v>4.97779893739665</v>
      </c>
      <c r="BS81" s="22">
        <f t="shared" si="63"/>
        <v>47.2877827664637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5.6843418860808015E-14</v>
      </c>
      <c r="BZ81" s="13">
        <f>BY81*VLOOKUP('Données projet'!$B$12,Paramètres!$A$1:$I$89,3,0)*VLOOKUP('Données projet'!$B$12,Paramètres!$A$1:$I$89,5,0)</f>
        <v>4.4337866711430253E-14</v>
      </c>
      <c r="CA81" s="13">
        <f t="shared" si="93"/>
        <v>7.3222115536967035E-13</v>
      </c>
      <c r="CB81" s="20">
        <f t="shared" si="64"/>
        <v>1.3525069634579169E-12</v>
      </c>
      <c r="CC81" s="59">
        <f t="shared" si="65"/>
        <v>269.92343803442759</v>
      </c>
      <c r="CD81" s="59">
        <f ca="1">AVERAGE(OFFSET($CC$3,0,0,'Données projet'!$E$12+1,1))-AVERAGE(OFFSET($H$3,0,0,'Données projet'!$E$12+1,1))</f>
        <v>308.85018589589453</v>
      </c>
      <c r="CE81" s="59">
        <f t="shared" si="94"/>
        <v>302.59481222418219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35.978777401695773</v>
      </c>
      <c r="CL81" s="21">
        <f>EXP(-LN(2)/25)*CL80+(1-EXP(-LN(2)/25))/(LN(2)/25)*Calculateur!CG81*Calculateur!CI81*VLOOKUP('Données projet'!$B$12,Paramètres!$A$1:$I$89,3,0)*0.475*44/12</f>
        <v>32.986074225593995</v>
      </c>
      <c r="CM81" s="21">
        <f>EXP(-LN(2)/2)*CM80+(1-EXP(-LN(2)/2))/(LN(2)/2)*CG81*CJ81*VLOOKUP('Données projet'!$B$12,Paramètres!$A$1:$I$89,3,0)*0.475*44/12</f>
        <v>2.685062181809589</v>
      </c>
      <c r="CN81" s="22">
        <f t="shared" si="66"/>
        <v>71.649913809099345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4.2307692307692264</v>
      </c>
      <c r="CT81" s="12">
        <f>IF('Données projet'!$A$140&gt;35,CT80+CS81-DB80,IF(A81&lt;'Données projet'!$A$140,$CQ$205^A81,IF(A81='Données projet'!$A$140,'Données projet'!$B$140,CT80+CS81-DB80)))</f>
        <v>260.12820512820525</v>
      </c>
      <c r="CU81" s="17">
        <f>CT81*VLOOKUP('Données projet'!$B$13,Paramètres!$A$1:$I$89,3,0)*VLOOKUP('Données projet'!$B$13,Paramètres!$A$1:$I$89,5,0)</f>
        <v>174.49400000000009</v>
      </c>
      <c r="CV81" s="13">
        <f t="shared" si="95"/>
        <v>44.094996569009169</v>
      </c>
      <c r="CW81" s="20">
        <f t="shared" si="67"/>
        <v>380.70916902435778</v>
      </c>
      <c r="CX81" s="59">
        <f t="shared" si="68"/>
        <v>650.63260705878406</v>
      </c>
      <c r="CY81" s="59">
        <f ca="1">AVERAGE(OFFSET($CX$3,0,0,'Données projet'!$E$13+1,1))-AVERAGE(OFFSET($H$3,0,0,'Données projet'!$E$13+1,1))</f>
        <v>335.73816489539837</v>
      </c>
      <c r="CZ81" s="59">
        <f t="shared" si="96"/>
        <v>254.09787950201044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4.4656904131711705</v>
      </c>
      <c r="DG81" s="21">
        <f>EXP(-LN(2)/25)*DG80+(1-EXP(-LN(2)/25))/(LN(2)/25)*Calculateur!DB81*Calculateur!DD81*VLOOKUP('Données projet'!$B$13,Paramètres!$A$1:$I$89,3,0)*0.475*44/12</f>
        <v>8.6314632147717703</v>
      </c>
      <c r="DH81" s="21">
        <f>EXP(-LN(2)/2)*DH80+(1-EXP(-LN(2)/2))/(LN(2)/2)*DB81*DE81*VLOOKUP('Données projet'!$B$13,Paramètres!$A$1:$I$89,3,0)*0.475*44/12</f>
        <v>0.92165799874633614</v>
      </c>
      <c r="DI81" s="22">
        <f t="shared" si="69"/>
        <v>14.018811626689278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9.4837500000000006</v>
      </c>
      <c r="DO81" s="12">
        <f>IF('Données projet'!$A$166&gt;35,DO80+DN81-DW80,IF(A81&lt;'Données projet'!$A$166,$DL$205^A81,IF(A81='Données projet'!$A$166,'Données projet'!$B$166,DO80+DN81-DW80)))</f>
        <v>258.69124999999997</v>
      </c>
      <c r="DP81" s="17">
        <f>DO81*VLOOKUP('Données projet'!$B$14,Paramètres!$A$1:$I$89,3,0)*VLOOKUP('Données projet'!$B$14,Paramètres!$A$1:$I$89,5,0)</f>
        <v>250.20617699999997</v>
      </c>
      <c r="DQ81" s="13">
        <f t="shared" si="97"/>
        <v>60.630088435349059</v>
      </c>
      <c r="DR81" s="20">
        <f t="shared" si="70"/>
        <v>541.37316229989949</v>
      </c>
      <c r="DS81" s="59">
        <f t="shared" si="71"/>
        <v>811.29660033432572</v>
      </c>
      <c r="DT81" s="59">
        <f ca="1">AVERAGE(OFFSET($DS$3,0,0,'Données projet'!$E$14+1,1))-AVERAGE(OFFSET($H$3,0,0,'Données projet'!$E$14+1,1))</f>
        <v>493.03862850474161</v>
      </c>
      <c r="DU81" s="59">
        <f t="shared" si="98"/>
        <v>312.51819065560528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20.993248577884593</v>
      </c>
      <c r="EB81" s="21">
        <f>EXP(-LN(2)/25)*EB80+(1-EXP(-LN(2)/25))/(LN(2)/25)*Calculateur!DW81*Calculateur!DY81*VLOOKUP('Données projet'!$B$14,Paramètres!$A$1:$I$89,3,0)*0.475*44/12</f>
        <v>25.546640074134743</v>
      </c>
      <c r="EC81" s="21">
        <f>EXP(-LN(2)/2)*EC80+(1-EXP(-LN(2)/2))/(LN(2)/2)*DW81*DZ81*VLOOKUP('Données projet'!$B$14,Paramètres!$A$1:$I$89,3,0)*0.475*44/12</f>
        <v>1.4958152920040291</v>
      </c>
      <c r="ED81" s="22">
        <f t="shared" si="72"/>
        <v>48.035703944023368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9.4837500000000006</v>
      </c>
      <c r="EJ81" s="12">
        <f>IF('Données projet'!$A$192&gt;35,EJ80+EI81-ER80,IF(A81&lt;'Données projet'!$A$192,$EG$205^A81,IF(A81='Données projet'!$A$192,'Données projet'!$B$192,EJ80+EI81-ER80)))</f>
        <v>258.69124999999997</v>
      </c>
      <c r="EK81" s="17">
        <f>EJ81*VLOOKUP('Données projet'!$B$15,Paramètres!$A$1:$I$89,3,0)*VLOOKUP('Données projet'!$B$15,Paramètres!$A$1:$I$89,5,0)</f>
        <v>278.45526149999995</v>
      </c>
      <c r="EL81" s="13">
        <f t="shared" si="99"/>
        <v>66.640456196836567</v>
      </c>
      <c r="EM81" s="20">
        <f t="shared" si="73"/>
        <v>601.0417083219902</v>
      </c>
      <c r="EN81" s="59">
        <f t="shared" si="74"/>
        <v>870.96514635641643</v>
      </c>
      <c r="EO81" s="59">
        <f ca="1">AVERAGE(OFFSET($EN$3,0,0,'Données projet'!$E$15+1,1))-AVERAGE(OFFSET($H$3,0,0,'Données projet'!$E$15+1,1))</f>
        <v>539.72194201710272</v>
      </c>
      <c r="EP81" s="59">
        <f t="shared" si="100"/>
        <v>340.76505385159362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23.363454062484465</v>
      </c>
      <c r="EW81" s="21">
        <f>EXP(-LN(2)/25)*EW80+(1-EXP(-LN(2)/25))/(LN(2)/25)*Calculateur!ER81*Calculateur!ET81*VLOOKUP('Données projet'!$B$15,Paramètres!$A$1:$I$89,3,0)*0.475*44/12</f>
        <v>28.430938147020935</v>
      </c>
      <c r="EX81" s="21">
        <f>EXP(-LN(2)/2)*EX80+(1-EXP(-LN(2)/2))/(LN(2)/2)*ER81*EU81*VLOOKUP('Données projet'!$B$15,Paramètres!$A$1:$I$89,3,0)*0.475*44/12</f>
        <v>1.6646976636819037</v>
      </c>
      <c r="EY81" s="22">
        <f t="shared" si="75"/>
        <v>53.45908987318731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3.6</v>
      </c>
      <c r="FE81" s="12">
        <f>IF('Données projet'!$A$218&gt;35,FE80+FD81-FM80,IF(A81&lt;'Données projet'!$A$218,$FB$205^A81,IF(A81='Données projet'!$A$218,'Données projet'!$B$218,FE80+FD81-FM80)))</f>
        <v>322.79999999999995</v>
      </c>
      <c r="FF81" s="17">
        <f>FE81*VLOOKUP('Données projet'!$B$16,Paramètres!$A$1:$I$89,3,0)*VLOOKUP('Données projet'!$B$16,Paramètres!$A$1:$I$89,5,0)</f>
        <v>261.85536000000002</v>
      </c>
      <c r="FG81" s="13">
        <f t="shared" si="101"/>
        <v>63.117701913821712</v>
      </c>
      <c r="FH81" s="20">
        <f t="shared" si="76"/>
        <v>565.99474949990611</v>
      </c>
      <c r="FI81" s="59">
        <f t="shared" si="77"/>
        <v>835.91818753433233</v>
      </c>
      <c r="FJ81" s="59">
        <f ca="1">AVERAGE(OFFSET($FI$3,0,0,'Données projet'!$E$16+1,1))-AVERAGE(OFFSET($H$3,0,0,'Données projet'!$E$16+1,1))</f>
        <v>383.47860767209028</v>
      </c>
      <c r="FK81" s="59">
        <f t="shared" si="102"/>
        <v>370.49129421395628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14.347806218651762</v>
      </c>
      <c r="FR81" s="21">
        <f>EXP(-LN(2)/25)*FR80+(1-EXP(-LN(2)/25))/(LN(2)/25)*Calculateur!FM81*Calculateur!FO81*VLOOKUP('Données projet'!$B$16,Paramètres!$A$1:$I$89,3,0)*0.475*44/12</f>
        <v>14.030601201604094</v>
      </c>
      <c r="FS81" s="21">
        <f>EXP(-LN(2)/2)*FS80+(1-EXP(-LN(2)/2))/(LN(2)/2)*FM81*FP81*VLOOKUP('Données projet'!$B$16,Paramètres!$A$1:$I$89,3,0)*0.475*44/12</f>
        <v>1.0013468918923514</v>
      </c>
      <c r="FT81" s="22">
        <f t="shared" si="78"/>
        <v>29.379754312148204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6.7444444444444462</v>
      </c>
      <c r="FZ81" s="12">
        <f>IF('Données projet'!$A$244&gt;35,FZ80+FY81-GH80,IF(A81&lt;'Données projet'!$A$244,$FW$205^A81,IF(A81='Données projet'!$A$244,'Données projet'!$B$244,FZ80+FY81-GH80)))</f>
        <v>175.31444444444446</v>
      </c>
      <c r="GA81" s="17">
        <f>FZ81*VLOOKUP('Données projet'!$B$17,Paramètres!$A$1:$I$89,3,0)*VLOOKUP('Données projet'!$B$17,Paramètres!$A$1:$I$89,5,0)</f>
        <v>199.64808933333336</v>
      </c>
      <c r="GB81" s="13">
        <f t="shared" si="103"/>
        <v>49.666820486925445</v>
      </c>
      <c r="GC81" s="20">
        <f t="shared" si="79"/>
        <v>434.22346793695078</v>
      </c>
      <c r="GD81" s="59">
        <f t="shared" si="80"/>
        <v>704.14690597137701</v>
      </c>
      <c r="GE81" s="59">
        <f ca="1">AVERAGE(OFFSET($GD$3,0,0,'Données projet'!$E$17+1,1))-AVERAGE(OFFSET($H$3,0,0,'Données projet'!$E$17+1,1))</f>
        <v>640.05156427113661</v>
      </c>
      <c r="GF81" s="59">
        <f t="shared" si="104"/>
        <v>308.77220155372902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47.517366454182998</v>
      </c>
      <c r="GN81" s="21">
        <f>EXP(-LN(2)/2)*GN80+(1-EXP(-LN(2)/2))/(LN(2)/2)*GH81*GK81*VLOOKUP('Données projet'!$B$17,Paramètres!$A$1:$I$89,3,0)*0.475*44/12</f>
        <v>5.5904511143070073</v>
      </c>
      <c r="GO81" s="21">
        <f t="shared" si="81"/>
        <v>53.107817568490006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12.707777777777771</v>
      </c>
      <c r="N82" s="13">
        <f>IF('Données projet'!$A$36&gt;35,N81+M82-V81,IF(A82&lt;'Données projet'!$A$36,$K$205^A82,IF(A82='Données projet'!$A$36,'Données projet'!$B$36,N81+M82-V81)))</f>
        <v>407.86444444444419</v>
      </c>
      <c r="O82" s="13">
        <f>N82*VLOOKUP('Données projet'!$B$9,Paramètres!$A$1:$I$89,3,0)*VLOOKUP('Données projet'!$B$9,Paramètres!$A$1:$I$89,5,0)</f>
        <v>343.58500799999979</v>
      </c>
      <c r="P82" s="13">
        <f t="shared" si="87"/>
        <v>80.240179010511568</v>
      </c>
      <c r="Q82" s="20">
        <f t="shared" si="54"/>
        <v>738.16220070997394</v>
      </c>
      <c r="R82" s="59">
        <f t="shared" si="55"/>
        <v>1008.4917480911508</v>
      </c>
      <c r="S82" s="59">
        <f ca="1">AVERAGE(OFFSET($R$3,0,0,'Données projet'!$E$9+1,1))-AVERAGE(OFFSET($H$3,0,0,'Données projet'!$E$9+1,1))</f>
        <v>456.35333554128226</v>
      </c>
      <c r="T82" s="59">
        <f t="shared" si="88"/>
        <v>296.4517290984877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27.487546873510212</v>
      </c>
      <c r="AA82" s="21">
        <f>EXP(-LN(2)/25)*AA81+(1-EXP(-LN(2)/25))/(LN(2)/25)*Calculateur!V82*Calculateur!X82*VLOOKUP('Données projet'!$B$9,Paramètres!$A$1:$I$89,3,0)*0.475*44/12</f>
        <v>23.469141263349108</v>
      </c>
      <c r="AB82" s="21">
        <f>EXP(-LN(2)/2)*AB81+(1-EXP(-LN(2)/2))/(LN(2)/2)*V82*Y82*VLOOKUP('Données projet'!$B$9,Paramètres!$A$1:$I$89,3,0)*0.475*44/12</f>
        <v>0.50286954646855775</v>
      </c>
      <c r="AC82" s="22">
        <f t="shared" si="57"/>
        <v>51.45955768332788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3.6</v>
      </c>
      <c r="AI82" s="13">
        <f>IF('Données projet'!$A$62&gt;35,AI81+AH82-AQ81,IF(A82&lt;'Données projet'!$A$62,$AF$205^A82,IF(A82='Données projet'!$A$62,'Données projet'!$B$62,AI81+AH82-AQ81)))</f>
        <v>326.39999999999998</v>
      </c>
      <c r="AJ82" s="13">
        <f>AI82*VLOOKUP('Données projet'!$B$10,Paramètres!$A$1:$I$89,3,0)*VLOOKUP('Données projet'!$B$10,Paramètres!$A$1:$I$89,5,0)</f>
        <v>285.14303999999998</v>
      </c>
      <c r="AK82" s="13">
        <f t="shared" si="89"/>
        <v>68.052727058079924</v>
      </c>
      <c r="AL82" s="20">
        <f t="shared" si="58"/>
        <v>615.14929429282256</v>
      </c>
      <c r="AM82" s="59">
        <f t="shared" si="59"/>
        <v>885.47884167399957</v>
      </c>
      <c r="AN82" s="59">
        <f ca="1">AVERAGE(OFFSET($AM$3,0,0,'Données projet'!$E$10+1,1))-AVERAGE(OFFSET($H$3,0,0,'Données projet'!$E$10+1,1))</f>
        <v>408.246209980743</v>
      </c>
      <c r="AO82" s="59">
        <f t="shared" si="90"/>
        <v>394.10236303013903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15.148489450771036</v>
      </c>
      <c r="AV82" s="21">
        <f>EXP(-LN(2)/25)*AV81+(1-EXP(-LN(2)/25))/(LN(2)/25)*Calculateur!AQ82*Calculateur!AS82*VLOOKUP('Données projet'!$B$10,Paramètres!$A$1:$I$89,3,0)*0.475*44/12</f>
        <v>14.696697802671206</v>
      </c>
      <c r="AW82" s="21">
        <f>EXP(-LN(2)/2)*AW81+(1-EXP(-LN(2)/2))/(LN(2)/2)*AQ82*AT82*VLOOKUP('Données projet'!$B$10,Paramètres!$A$1:$I$89,3,0)*0.475*44/12</f>
        <v>0.76252526816001243</v>
      </c>
      <c r="AX82" s="21">
        <f t="shared" si="60"/>
        <v>30.607712521602252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6.7444444444444462</v>
      </c>
      <c r="BD82" s="12">
        <f>IF('Données projet'!$A$88&gt;35,BD81+BC82-BL81,IF(A82&lt;'Données projet'!$A$88,$BA$205^A82,IF(A82='Données projet'!$A$88,'Données projet'!$B$88,BD81+BC82-BL81)))</f>
        <v>182.0588888888889</v>
      </c>
      <c r="BE82" s="13">
        <f>BD82*VLOOKUP('Données projet'!$B$11,Paramètres!$A$1:$I$89,3,0)*VLOOKUP('Données projet'!$B$11,Paramètres!$A$1:$I$89,5,0)</f>
        <v>184.60771333333335</v>
      </c>
      <c r="BF82" s="13">
        <f t="shared" si="91"/>
        <v>46.345804577336679</v>
      </c>
      <c r="BG82" s="20">
        <f t="shared" si="61"/>
        <v>402.24404369441692</v>
      </c>
      <c r="BH82" s="59">
        <f t="shared" si="62"/>
        <v>672.57359107559387</v>
      </c>
      <c r="BI82" s="59">
        <f ca="1">AVERAGE(OFFSET($BH$3,0,0,'Données projet'!$E$11+1,1))-AVERAGE(OFFSET($H$3,0,0,'Données projet'!$E$11+1,1))</f>
        <v>580.02848304986492</v>
      </c>
      <c r="BJ82" s="59">
        <f t="shared" si="92"/>
        <v>281.68891895586728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41.153015096275865</v>
      </c>
      <c r="BR82" s="21">
        <f>EXP(-LN(2)/2)*BR81+(1-EXP(-LN(2)/2))/(LN(2)/2)*BL82*BO82*VLOOKUP('Données projet'!$B$11,Paramètres!$A$1:$I$89,3,0)*0.475*44/12</f>
        <v>3.5198353840163619</v>
      </c>
      <c r="BS82" s="22">
        <f t="shared" si="63"/>
        <v>44.672850480292226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5.6843418860808015E-14</v>
      </c>
      <c r="BZ82" s="13">
        <f>BY82*VLOOKUP('Données projet'!$B$12,Paramètres!$A$1:$I$89,3,0)*VLOOKUP('Données projet'!$B$12,Paramètres!$A$1:$I$89,5,0)</f>
        <v>4.4337866711430253E-14</v>
      </c>
      <c r="CA82" s="13">
        <f t="shared" si="93"/>
        <v>7.3222115536967035E-13</v>
      </c>
      <c r="CB82" s="20">
        <f t="shared" si="64"/>
        <v>1.3525069634579169E-12</v>
      </c>
      <c r="CC82" s="59">
        <f t="shared" si="65"/>
        <v>270.32954738117832</v>
      </c>
      <c r="CD82" s="59">
        <f ca="1">AVERAGE(OFFSET($CC$3,0,0,'Données projet'!$E$12+1,1))-AVERAGE(OFFSET($H$3,0,0,'Données projet'!$E$12+1,1))</f>
        <v>308.85018589589453</v>
      </c>
      <c r="CE82" s="59">
        <f t="shared" si="94"/>
        <v>302.59481222418219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35.273255521735855</v>
      </c>
      <c r="CL82" s="21">
        <f>EXP(-LN(2)/25)*CL81+(1-EXP(-LN(2)/25))/(LN(2)/25)*Calculateur!CG82*Calculateur!CI82*VLOOKUP('Données projet'!$B$12,Paramètres!$A$1:$I$89,3,0)*0.475*44/12</f>
        <v>32.084068291232875</v>
      </c>
      <c r="CM82" s="21">
        <f>EXP(-LN(2)/2)*CM81+(1-EXP(-LN(2)/2))/(LN(2)/2)*CG82*CJ82*VLOOKUP('Données projet'!$B$12,Paramètres!$A$1:$I$89,3,0)*0.475*44/12</f>
        <v>1.8986256766651071</v>
      </c>
      <c r="CN82" s="22">
        <f t="shared" si="66"/>
        <v>69.255949489633835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4.2307692307692264</v>
      </c>
      <c r="CT82" s="12">
        <f>IF('Données projet'!$A$140&gt;35,CT81+CS82-DB81,IF(A82&lt;'Données projet'!$A$140,$CQ$205^A82,IF(A82='Données projet'!$A$140,'Données projet'!$B$140,CT81+CS82-DB81)))</f>
        <v>264.35897435897448</v>
      </c>
      <c r="CU82" s="17">
        <f>CT82*VLOOKUP('Données projet'!$B$13,Paramètres!$A$1:$I$89,3,0)*VLOOKUP('Données projet'!$B$13,Paramètres!$A$1:$I$89,5,0)</f>
        <v>177.33200000000008</v>
      </c>
      <c r="CV82" s="13">
        <f t="shared" si="95"/>
        <v>44.728090420283614</v>
      </c>
      <c r="CW82" s="20">
        <f t="shared" si="67"/>
        <v>386.75465748199412</v>
      </c>
      <c r="CX82" s="59">
        <f t="shared" si="68"/>
        <v>657.08420486317107</v>
      </c>
      <c r="CY82" s="59">
        <f ca="1">AVERAGE(OFFSET($CX$3,0,0,'Données projet'!$E$13+1,1))-AVERAGE(OFFSET($H$3,0,0,'Données projet'!$E$13+1,1))</f>
        <v>335.73816489539837</v>
      </c>
      <c r="CZ82" s="59">
        <f t="shared" si="96"/>
        <v>254.09787950201044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4.378120947971083</v>
      </c>
      <c r="DG82" s="21">
        <f>EXP(-LN(2)/25)*DG81+(1-EXP(-LN(2)/25))/(LN(2)/25)*Calculateur!DB82*Calculateur!DD82*VLOOKUP('Données projet'!$B$13,Paramètres!$A$1:$I$89,3,0)*0.475*44/12</f>
        <v>8.3954353992549127</v>
      </c>
      <c r="DH82" s="21">
        <f>EXP(-LN(2)/2)*DH81+(1-EXP(-LN(2)/2))/(LN(2)/2)*DB82*DE82*VLOOKUP('Données projet'!$B$13,Paramètres!$A$1:$I$89,3,0)*0.475*44/12</f>
        <v>0.65171062084835685</v>
      </c>
      <c r="DI82" s="22">
        <f t="shared" si="69"/>
        <v>13.425266968074352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9.4837500000000006</v>
      </c>
      <c r="DO82" s="12">
        <f>IF('Données projet'!$A$166&gt;35,DO81+DN82-DW81,IF(A82&lt;'Données projet'!$A$166,$DL$205^A82,IF(A82='Données projet'!$A$166,'Données projet'!$B$166,DO81+DN82-DW81)))</f>
        <v>268.17499999999995</v>
      </c>
      <c r="DP82" s="17">
        <f>DO82*VLOOKUP('Données projet'!$B$14,Paramètres!$A$1:$I$89,3,0)*VLOOKUP('Données projet'!$B$14,Paramètres!$A$1:$I$89,5,0)</f>
        <v>259.37885999999997</v>
      </c>
      <c r="DQ82" s="13">
        <f t="shared" si="97"/>
        <v>62.589957583471346</v>
      </c>
      <c r="DR82" s="20">
        <f t="shared" si="70"/>
        <v>560.76235729121242</v>
      </c>
      <c r="DS82" s="59">
        <f t="shared" si="71"/>
        <v>831.09190467238932</v>
      </c>
      <c r="DT82" s="59">
        <f ca="1">AVERAGE(OFFSET($DS$3,0,0,'Données projet'!$E$14+1,1))-AVERAGE(OFFSET($H$3,0,0,'Données projet'!$E$14+1,1))</f>
        <v>493.03862850474161</v>
      </c>
      <c r="DU82" s="59">
        <f t="shared" si="98"/>
        <v>312.51819065560528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20.581583777889559</v>
      </c>
      <c r="EB82" s="21">
        <f>EXP(-LN(2)/25)*EB81+(1-EXP(-LN(2)/25))/(LN(2)/25)*Calculateur!DW82*Calculateur!DY82*VLOOKUP('Données projet'!$B$14,Paramètres!$A$1:$I$89,3,0)*0.475*44/12</f>
        <v>24.848065857868114</v>
      </c>
      <c r="EC82" s="21">
        <f>EXP(-LN(2)/2)*EC81+(1-EXP(-LN(2)/2))/(LN(2)/2)*DW82*DZ82*VLOOKUP('Données projet'!$B$14,Paramètres!$A$1:$I$89,3,0)*0.475*44/12</f>
        <v>1.0577011363785846</v>
      </c>
      <c r="ED82" s="22">
        <f t="shared" si="72"/>
        <v>46.487350772136253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9.4837500000000006</v>
      </c>
      <c r="EJ82" s="12">
        <f>IF('Données projet'!$A$192&gt;35,EJ81+EI82-ER81,IF(A82&lt;'Données projet'!$A$192,$EG$205^A82,IF(A82='Données projet'!$A$192,'Données projet'!$B$192,EJ81+EI82-ER81)))</f>
        <v>268.17499999999995</v>
      </c>
      <c r="EK82" s="17">
        <f>EJ82*VLOOKUP('Données projet'!$B$15,Paramètres!$A$1:$I$89,3,0)*VLOOKUP('Données projet'!$B$15,Paramètres!$A$1:$I$89,5,0)</f>
        <v>288.66356999999994</v>
      </c>
      <c r="EL82" s="13">
        <f t="shared" si="99"/>
        <v>68.794610635457303</v>
      </c>
      <c r="EM82" s="20">
        <f t="shared" si="73"/>
        <v>622.57299794008793</v>
      </c>
      <c r="EN82" s="59">
        <f t="shared" si="74"/>
        <v>892.90254532126482</v>
      </c>
      <c r="EO82" s="59">
        <f ca="1">AVERAGE(OFFSET($EN$3,0,0,'Données projet'!$E$15+1,1))-AVERAGE(OFFSET($H$3,0,0,'Données projet'!$E$15+1,1))</f>
        <v>539.72194201710272</v>
      </c>
      <c r="EP82" s="59">
        <f t="shared" si="100"/>
        <v>340.76505385159362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22.905310978619021</v>
      </c>
      <c r="EW82" s="21">
        <f>EXP(-LN(2)/25)*EW81+(1-EXP(-LN(2)/25))/(LN(2)/25)*Calculateur!ER82*Calculateur!ET82*VLOOKUP('Données projet'!$B$15,Paramètres!$A$1:$I$89,3,0)*0.475*44/12</f>
        <v>27.653492648272589</v>
      </c>
      <c r="EX82" s="21">
        <f>EXP(-LN(2)/2)*EX81+(1-EXP(-LN(2)/2))/(LN(2)/2)*ER82*EU82*VLOOKUP('Données projet'!$B$15,Paramètres!$A$1:$I$89,3,0)*0.475*44/12</f>
        <v>1.1771190066148769</v>
      </c>
      <c r="EY82" s="22">
        <f t="shared" si="75"/>
        <v>51.73592263350649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3.6</v>
      </c>
      <c r="FE82" s="12">
        <f>IF('Données projet'!$A$218&gt;35,FE81+FD82-FM81,IF(A82&lt;'Données projet'!$A$218,$FB$205^A82,IF(A82='Données projet'!$A$218,'Données projet'!$B$218,FE81+FD82-FM81)))</f>
        <v>326.39999999999998</v>
      </c>
      <c r="FF82" s="17">
        <f>FE82*VLOOKUP('Données projet'!$B$16,Paramètres!$A$1:$I$89,3,0)*VLOOKUP('Données projet'!$B$16,Paramètres!$A$1:$I$89,5,0)</f>
        <v>264.77567999999997</v>
      </c>
      <c r="FG82" s="13">
        <f t="shared" si="101"/>
        <v>63.739279068930159</v>
      </c>
      <c r="FH82" s="20">
        <f t="shared" si="76"/>
        <v>572.16355371171983</v>
      </c>
      <c r="FI82" s="59">
        <f t="shared" si="77"/>
        <v>842.49310109289672</v>
      </c>
      <c r="FJ82" s="59">
        <f ca="1">AVERAGE(OFFSET($FI$3,0,0,'Données projet'!$E$16+1,1))-AVERAGE(OFFSET($H$3,0,0,'Données projet'!$E$16+1,1))</f>
        <v>383.47860767209028</v>
      </c>
      <c r="FK82" s="59">
        <f t="shared" si="102"/>
        <v>370.49129421395628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14.066454490001675</v>
      </c>
      <c r="FR82" s="21">
        <f>EXP(-LN(2)/25)*FR81+(1-EXP(-LN(2)/25))/(LN(2)/25)*Calculateur!FM82*Calculateur!FO82*VLOOKUP('Données projet'!$B$16,Paramètres!$A$1:$I$89,3,0)*0.475*44/12</f>
        <v>13.646933673908981</v>
      </c>
      <c r="FS82" s="21">
        <f>EXP(-LN(2)/2)*FS81+(1-EXP(-LN(2)/2))/(LN(2)/2)*FM82*FP82*VLOOKUP('Données projet'!$B$16,Paramètres!$A$1:$I$89,3,0)*0.475*44/12</f>
        <v>0.70805917757715442</v>
      </c>
      <c r="FT82" s="22">
        <f t="shared" si="78"/>
        <v>28.421447341487813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6.7444444444444462</v>
      </c>
      <c r="FZ82" s="12">
        <f>IF('Données projet'!$A$244&gt;35,FZ81+FY82-GH81,IF(A82&lt;'Données projet'!$A$244,$FW$205^A82,IF(A82='Données projet'!$A$244,'Données projet'!$B$244,FZ81+FY82-GH81)))</f>
        <v>182.0588888888889</v>
      </c>
      <c r="GA82" s="17">
        <f>FZ82*VLOOKUP('Données projet'!$B$17,Paramètres!$A$1:$I$89,3,0)*VLOOKUP('Données projet'!$B$17,Paramètres!$A$1:$I$89,5,0)</f>
        <v>207.3286626666667</v>
      </c>
      <c r="GB82" s="13">
        <f t="shared" si="103"/>
        <v>51.351397043436535</v>
      </c>
      <c r="GC82" s="20">
        <f t="shared" si="79"/>
        <v>450.53443732842976</v>
      </c>
      <c r="GD82" s="59">
        <f t="shared" si="80"/>
        <v>720.86398470960671</v>
      </c>
      <c r="GE82" s="59">
        <f ca="1">AVERAGE(OFFSET($GD$3,0,0,'Données projet'!$E$17+1,1))-AVERAGE(OFFSET($H$3,0,0,'Données projet'!$E$17+1,1))</f>
        <v>640.05156427113661</v>
      </c>
      <c r="GF82" s="59">
        <f t="shared" si="104"/>
        <v>308.77220155372902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46.218001569663663</v>
      </c>
      <c r="GN82" s="21">
        <f>EXP(-LN(2)/2)*GN81+(1-EXP(-LN(2)/2))/(LN(2)/2)*GH82*GK82*VLOOKUP('Données projet'!$B$17,Paramètres!$A$1:$I$89,3,0)*0.475*44/12</f>
        <v>3.953045892818376</v>
      </c>
      <c r="GO82" s="21">
        <f t="shared" si="81"/>
        <v>50.171047462482036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12.707777777777771</v>
      </c>
      <c r="N83" s="13">
        <f>IF('Données projet'!$A$36&gt;35,N82+M83-V82,IF(A83&lt;'Données projet'!$A$36,$K$205^A83,IF(A83='Données projet'!$A$36,'Données projet'!$B$36,N82+M83-V82)))</f>
        <v>420.57222222222197</v>
      </c>
      <c r="O83" s="13">
        <f>N83*VLOOKUP('Données projet'!$B$9,Paramètres!$A$1:$I$89,3,0)*VLOOKUP('Données projet'!$B$9,Paramètres!$A$1:$I$89,5,0)</f>
        <v>354.29003999999981</v>
      </c>
      <c r="P83" s="13">
        <f t="shared" si="87"/>
        <v>82.445247716912462</v>
      </c>
      <c r="Q83" s="20">
        <f t="shared" si="54"/>
        <v>760.6472927736221</v>
      </c>
      <c r="R83" s="59">
        <f t="shared" si="55"/>
        <v>1031.3759044123083</v>
      </c>
      <c r="S83" s="59">
        <f ca="1">AVERAGE(OFFSET($R$3,0,0,'Données projet'!$E$9+1,1))-AVERAGE(OFFSET($H$3,0,0,'Données projet'!$E$9+1,1))</f>
        <v>456.35333554128226</v>
      </c>
      <c r="T83" s="59">
        <f t="shared" si="88"/>
        <v>296.4517290984877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26.94853284506879</v>
      </c>
      <c r="AA83" s="21">
        <f>EXP(-LN(2)/25)*AA82+(1-EXP(-LN(2)/25))/(LN(2)/25)*Calculateur!V83*Calculateur!X83*VLOOKUP('Données projet'!$B$9,Paramètres!$A$1:$I$89,3,0)*0.475*44/12</f>
        <v>22.827376361314329</v>
      </c>
      <c r="AB83" s="21">
        <f>EXP(-LN(2)/2)*AB82+(1-EXP(-LN(2)/2))/(LN(2)/2)*V83*Y83*VLOOKUP('Données projet'!$B$9,Paramètres!$A$1:$I$89,3,0)*0.475*44/12</f>
        <v>0.35558246636012086</v>
      </c>
      <c r="AC83" s="22">
        <f t="shared" si="57"/>
        <v>50.131491672743238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330</v>
      </c>
      <c r="AG83" s="12">
        <f>VLOOKUP(A83,'Données projet'!$A$61:$I$81,9,0)</f>
        <v>3.6</v>
      </c>
      <c r="AH83" s="12">
        <f t="array" ref="AH83">INDEX(AG:AG,MIN(IF(ISNUMBER(AG83:AG279),ROW(AG83:AG279),"")))</f>
        <v>3.6</v>
      </c>
      <c r="AI83" s="13">
        <f>IF('Données projet'!$A$62&gt;35,AI82+AH83-AQ82,IF(A83&lt;'Données projet'!$A$62,$AF$205^A83,IF(A83='Données projet'!$A$62,'Données projet'!$B$62,AI82+AH83-AQ82)))</f>
        <v>330</v>
      </c>
      <c r="AJ83" s="13">
        <f>AI83*VLOOKUP('Données projet'!$B$10,Paramètres!$A$1:$I$89,3,0)*VLOOKUP('Données projet'!$B$10,Paramètres!$A$1:$I$89,5,0)</f>
        <v>288.28800000000001</v>
      </c>
      <c r="AK83" s="13">
        <f t="shared" si="89"/>
        <v>68.715516926722444</v>
      </c>
      <c r="AL83" s="20">
        <f t="shared" si="58"/>
        <v>621.78112531404156</v>
      </c>
      <c r="AM83" s="59">
        <f t="shared" si="59"/>
        <v>892.50973695272774</v>
      </c>
      <c r="AN83" s="59">
        <f ca="1">AVERAGE(OFFSET($AM$3,0,0,'Données projet'!$E$10+1,1))-AVERAGE(OFFSET($H$3,0,0,'Données projet'!$E$10+1,1))</f>
        <v>408.246209980743</v>
      </c>
      <c r="AO83" s="59">
        <f t="shared" si="90"/>
        <v>394.10236303013903</v>
      </c>
      <c r="AP83" s="15">
        <f>IF(ISNA(VLOOKUP(A83,'Données projet'!$A$61:$I$81,3,0)),0,VLOOKUP(A83,'Données projet'!$A$61:$I$81,3,0))</f>
        <v>14</v>
      </c>
      <c r="AQ83" s="15">
        <f>IF(ISNA(VLOOKUP(A83,'Données projet'!$A$61:$I$81,4,0)),0,VLOOKUP(A83,'Données projet'!$A$61:$I$81,4,0))</f>
        <v>330</v>
      </c>
      <c r="AR83" s="16">
        <f>IF(ISNA(VLOOKUP(A83,'Données projet'!$A$61:$I$81,5,0)),0%,VLOOKUP(A83,'Données projet'!$A$61:$I$81,5,0)*VLOOKUP('Données projet'!$B$10,Paramètres!$A$1:$I$89,7,0))</f>
        <v>0.13250000000000001</v>
      </c>
      <c r="AS83" s="16">
        <f>IF(ISNA(VLOOKUP(A83,'Données projet'!$A$61:$I$81,6,0)),0%,VLOOKUP(A83,'Données projet'!$A$61:$I$81,6,0)*VLOOKUP('Données projet'!$B$10,Paramètres!$A$1:$I$89,7,0))</f>
        <v>0.13250000000000001</v>
      </c>
      <c r="AT83" s="16">
        <f>IF(ISNA(VLOOKUP(A83,'Données projet'!$A$61:$I$81,7,0)),0%,VLOOKUP(A83,'Données projet'!$A$61:$I$81,7,0))</f>
        <v>0.25</v>
      </c>
      <c r="AU83" s="21">
        <f>EXP(-LN(2)/35)*AU82+(1-EXP(-LN(2)/35))/(LN(2)/35)*AQ83*AR83*VLOOKUP('Données projet'!$B$10,Paramètres!$A$1:$I$89,3,0)*0.475*44/12</f>
        <v>57.078371244968004</v>
      </c>
      <c r="AV83" s="21">
        <f>EXP(-LN(2)/25)*AV82+(1-EXP(-LN(2)/25))/(LN(2)/25)*Calculateur!AQ83*Calculateur!AS83*VLOOKUP('Données projet'!$B$10,Paramètres!$A$1:$I$89,3,0)*0.475*44/12</f>
        <v>56.35548673046695</v>
      </c>
      <c r="AW83" s="21">
        <f>EXP(-LN(2)/2)*AW82+(1-EXP(-LN(2)/2))/(LN(2)/2)*AQ83*AT83*VLOOKUP('Données projet'!$B$10,Paramètres!$A$1:$I$89,3,0)*0.475*44/12</f>
        <v>68.541058577381563</v>
      </c>
      <c r="AX83" s="21">
        <f t="shared" si="60"/>
        <v>181.97491655281652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6.7444444444444462</v>
      </c>
      <c r="BD83" s="12">
        <f>IF('Données projet'!$A$88&gt;35,BD82+BC83-BL82,IF(A83&lt;'Données projet'!$A$88,$BA$205^A83,IF(A83='Données projet'!$A$88,'Données projet'!$B$88,BD82+BC83-BL82)))</f>
        <v>188.80333333333334</v>
      </c>
      <c r="BE83" s="13">
        <f>BD83*VLOOKUP('Données projet'!$B$11,Paramètres!$A$1:$I$89,3,0)*VLOOKUP('Données projet'!$B$11,Paramètres!$A$1:$I$89,5,0)</f>
        <v>191.44658000000004</v>
      </c>
      <c r="BF83" s="13">
        <f t="shared" si="91"/>
        <v>47.859629835500797</v>
      </c>
      <c r="BG83" s="20">
        <f t="shared" si="61"/>
        <v>416.79164879683066</v>
      </c>
      <c r="BH83" s="59">
        <f t="shared" si="62"/>
        <v>687.52026043551678</v>
      </c>
      <c r="BI83" s="59">
        <f ca="1">AVERAGE(OFFSET($BH$3,0,0,'Données projet'!$E$11+1,1))-AVERAGE(OFFSET($H$3,0,0,'Données projet'!$E$11+1,1))</f>
        <v>580.02848304986492</v>
      </c>
      <c r="BJ83" s="59">
        <f t="shared" si="92"/>
        <v>281.68891895586728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40.027683734325194</v>
      </c>
      <c r="BR83" s="21">
        <f>EXP(-LN(2)/2)*BR82+(1-EXP(-LN(2)/2))/(LN(2)/2)*BL83*BO83*VLOOKUP('Données projet'!$B$11,Paramètres!$A$1:$I$89,3,0)*0.475*44/12</f>
        <v>2.4888994686983255</v>
      </c>
      <c r="BS83" s="22">
        <f t="shared" si="63"/>
        <v>42.516583203023522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5.6843418860808015E-14</v>
      </c>
      <c r="BZ83" s="13">
        <f>BY83*VLOOKUP('Données projet'!$B$12,Paramètres!$A$1:$I$89,3,0)*VLOOKUP('Données projet'!$B$12,Paramètres!$A$1:$I$89,5,0)</f>
        <v>4.4337866711430253E-14</v>
      </c>
      <c r="CA83" s="13">
        <f t="shared" si="93"/>
        <v>7.3222115536967035E-13</v>
      </c>
      <c r="CB83" s="20">
        <f t="shared" si="64"/>
        <v>1.3525069634579169E-12</v>
      </c>
      <c r="CC83" s="59">
        <f t="shared" si="65"/>
        <v>270.72861163868748</v>
      </c>
      <c r="CD83" s="59">
        <f ca="1">AVERAGE(OFFSET($CC$3,0,0,'Données projet'!$E$12+1,1))-AVERAGE(OFFSET($H$3,0,0,'Données projet'!$E$12+1,1))</f>
        <v>308.85018589589453</v>
      </c>
      <c r="CE83" s="59">
        <f t="shared" si="94"/>
        <v>302.59481222418219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34.581568495516095</v>
      </c>
      <c r="CL83" s="21">
        <f>EXP(-LN(2)/25)*CL82+(1-EXP(-LN(2)/25))/(LN(2)/25)*Calculateur!CG83*Calculateur!CI83*VLOOKUP('Données projet'!$B$12,Paramètres!$A$1:$I$89,3,0)*0.475*44/12</f>
        <v>31.206727756581291</v>
      </c>
      <c r="CM83" s="21">
        <f>EXP(-LN(2)/2)*CM82+(1-EXP(-LN(2)/2))/(LN(2)/2)*CG83*CJ83*VLOOKUP('Données projet'!$B$12,Paramètres!$A$1:$I$89,3,0)*0.475*44/12</f>
        <v>1.3425310909047947</v>
      </c>
      <c r="CN83" s="22">
        <f t="shared" si="66"/>
        <v>67.130827343002181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268.58974358974359</v>
      </c>
      <c r="CR83" s="12">
        <f>VLOOKUP(A83,'Données projet'!$A$139:$I$159,9,0)</f>
        <v>4.2307692307692264</v>
      </c>
      <c r="CS83" s="12">
        <f t="array" ref="CS83">INDEX(CR:CR,MIN(IF(ISNUMBER(CR83:CR279),ROW(CR83:CR279),"")))</f>
        <v>4.2307692307692264</v>
      </c>
      <c r="CT83" s="12">
        <f>IF('Données projet'!$A$140&gt;35,CT82+CS83-DB82,IF(A83&lt;'Données projet'!$A$140,$CQ$205^A83,IF(A83='Données projet'!$A$140,'Données projet'!$B$140,CT82+CS83-DB82)))</f>
        <v>268.5897435897437</v>
      </c>
      <c r="CU83" s="17">
        <f>CT83*VLOOKUP('Données projet'!$B$13,Paramètres!$A$1:$I$89,3,0)*VLOOKUP('Données projet'!$B$13,Paramètres!$A$1:$I$89,5,0)</f>
        <v>180.17000000000007</v>
      </c>
      <c r="CV83" s="13">
        <f t="shared" si="95"/>
        <v>45.36000595628817</v>
      </c>
      <c r="CW83" s="20">
        <f t="shared" si="67"/>
        <v>392.79809370720199</v>
      </c>
      <c r="CX83" s="59">
        <f t="shared" si="68"/>
        <v>663.5267053458881</v>
      </c>
      <c r="CY83" s="59">
        <f ca="1">AVERAGE(OFFSET($CX$3,0,0,'Données projet'!$E$13+1,1))-AVERAGE(OFFSET($H$3,0,0,'Données projet'!$E$13+1,1))</f>
        <v>335.73816489539837</v>
      </c>
      <c r="CZ83" s="59">
        <f t="shared" si="96"/>
        <v>254.09787950201044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12.820512820512819</v>
      </c>
      <c r="DC83" s="16">
        <f>IF(ISNA(VLOOKUP(A83,'Données projet'!$A$139:$I$159,5,0)),0%,VLOOKUP(A83,'Données projet'!$A$139:$I$159,5,0)*VLOOKUP('Données projet'!$B$13,Paramètres!$A$1:$I$89,7,0))</f>
        <v>0.13250000000000001</v>
      </c>
      <c r="DD83" s="16">
        <f>IF(ISNA(VLOOKUP(A83,'Données projet'!$A$139:$I$159,6,0)),0%,VLOOKUP(A83,'Données projet'!$A$139:$I$159,6,0)*VLOOKUP('Données projet'!$B$13,Paramètres!$A$1:$I$89,7,0))</f>
        <v>0.13250000000000001</v>
      </c>
      <c r="DE83" s="16">
        <f>IF(ISNA(VLOOKUP(A83,'Données projet'!$A$139:$I$159,7,0)),0%,VLOOKUP(A83,'Données projet'!$A$139:$I$159,7,0))</f>
        <v>0.25</v>
      </c>
      <c r="DF83" s="21">
        <f>EXP(-LN(2)/35)*DF82+(1-EXP(-LN(2)/35))/(LN(2)/35)*DB83*DC83*VLOOKUP('Données projet'!$B$13,Paramètres!$A$1:$I$89,3,0)*0.475*44/12</f>
        <v>5.5519521640492657</v>
      </c>
      <c r="DG83" s="21">
        <f>EXP(-LN(2)/25)*DG82+(1-EXP(-LN(2)/25))/(LN(2)/25)*Calculateur!DB83*Calculateur!DD83*VLOOKUP('Données projet'!$B$13,Paramètres!$A$1:$I$89,3,0)*0.475*44/12</f>
        <v>9.4205854203367121</v>
      </c>
      <c r="DH83" s="21">
        <f>EXP(-LN(2)/2)*DH82+(1-EXP(-LN(2)/2))/(LN(2)/2)*DB83*DE83*VLOOKUP('Données projet'!$B$13,Paramètres!$A$1:$I$89,3,0)*0.475*44/12</f>
        <v>2.4894118657747528</v>
      </c>
      <c r="DI83" s="22">
        <f t="shared" si="69"/>
        <v>17.461949450160731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9.4837500000000006</v>
      </c>
      <c r="DO83" s="12">
        <f>IF('Données projet'!$A$166&gt;35,DO82+DN83-DW82,IF(A83&lt;'Données projet'!$A$166,$DL$205^A83,IF(A83='Données projet'!$A$166,'Données projet'!$B$166,DO82+DN83-DW82)))</f>
        <v>277.65874999999994</v>
      </c>
      <c r="DP83" s="17">
        <f>DO83*VLOOKUP('Données projet'!$B$14,Paramètres!$A$1:$I$89,3,0)*VLOOKUP('Données projet'!$B$14,Paramètres!$A$1:$I$89,5,0)</f>
        <v>268.55154299999998</v>
      </c>
      <c r="DQ83" s="13">
        <f t="shared" si="97"/>
        <v>64.541773986621124</v>
      </c>
      <c r="DR83" s="20">
        <f t="shared" si="70"/>
        <v>580.13752708503171</v>
      </c>
      <c r="DS83" s="59">
        <f t="shared" si="71"/>
        <v>850.86613872371777</v>
      </c>
      <c r="DT83" s="59">
        <f ca="1">AVERAGE(OFFSET($DS$3,0,0,'Données projet'!$E$14+1,1))-AVERAGE(OFFSET($H$3,0,0,'Données projet'!$E$14+1,1))</f>
        <v>493.03862850474161</v>
      </c>
      <c r="DU83" s="59">
        <f t="shared" si="98"/>
        <v>312.51819065560528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20.177991473531691</v>
      </c>
      <c r="EB83" s="21">
        <f>EXP(-LN(2)/25)*EB82+(1-EXP(-LN(2)/25))/(LN(2)/25)*Calculateur!DW83*Calculateur!DY83*VLOOKUP('Données projet'!$B$14,Paramètres!$A$1:$I$89,3,0)*0.475*44/12</f>
        <v>24.16859419028172</v>
      </c>
      <c r="EC83" s="21">
        <f>EXP(-LN(2)/2)*EC82+(1-EXP(-LN(2)/2))/(LN(2)/2)*DW83*DZ83*VLOOKUP('Données projet'!$B$14,Paramètres!$A$1:$I$89,3,0)*0.475*44/12</f>
        <v>0.74790764600201454</v>
      </c>
      <c r="ED83" s="22">
        <f t="shared" si="72"/>
        <v>45.094493309815427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9.4837500000000006</v>
      </c>
      <c r="EJ83" s="12">
        <f>IF('Données projet'!$A$192&gt;35,EJ82+EI83-ER82,IF(A83&lt;'Données projet'!$A$192,$EG$205^A83,IF(A83='Données projet'!$A$192,'Données projet'!$B$192,EJ82+EI83-ER82)))</f>
        <v>277.65874999999994</v>
      </c>
      <c r="EK83" s="17">
        <f>EJ83*VLOOKUP('Données projet'!$B$15,Paramètres!$A$1:$I$89,3,0)*VLOOKUP('Données projet'!$B$15,Paramètres!$A$1:$I$89,5,0)</f>
        <v>298.87187849999992</v>
      </c>
      <c r="EL83" s="13">
        <f t="shared" si="99"/>
        <v>70.939914046272307</v>
      </c>
      <c r="EM83" s="20">
        <f t="shared" si="73"/>
        <v>644.08887201809068</v>
      </c>
      <c r="EN83" s="59">
        <f t="shared" si="74"/>
        <v>914.81748365677686</v>
      </c>
      <c r="EO83" s="59">
        <f ca="1">AVERAGE(OFFSET($EN$3,0,0,'Données projet'!$E$15+1,1))-AVERAGE(OFFSET($H$3,0,0,'Données projet'!$E$15+1,1))</f>
        <v>539.72194201710272</v>
      </c>
      <c r="EP83" s="59">
        <f t="shared" si="100"/>
        <v>340.76505385159362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22.45615180118849</v>
      </c>
      <c r="EW83" s="21">
        <f>EXP(-LN(2)/25)*EW82+(1-EXP(-LN(2)/25))/(LN(2)/25)*Calculateur!ER83*Calculateur!ET83*VLOOKUP('Données projet'!$B$15,Paramètres!$A$1:$I$89,3,0)*0.475*44/12</f>
        <v>26.897306437571601</v>
      </c>
      <c r="EX83" s="21">
        <f>EXP(-LN(2)/2)*EX82+(1-EXP(-LN(2)/2))/(LN(2)/2)*ER83*EU83*VLOOKUP('Données projet'!$B$15,Paramètres!$A$1:$I$89,3,0)*0.475*44/12</f>
        <v>0.83234883184095199</v>
      </c>
      <c r="EY83" s="22">
        <f t="shared" si="75"/>
        <v>50.185807070601044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330</v>
      </c>
      <c r="FC83" s="12">
        <f>VLOOKUP(A83,'Données projet'!$A$217:$I$237,9,0)</f>
        <v>3.6</v>
      </c>
      <c r="FD83" s="12">
        <f t="array" ref="FD83">INDEX(FC:FC,MIN(IF(ISNUMBER(FC83:FC279),ROW(FC83:FC279),"")))</f>
        <v>3.6</v>
      </c>
      <c r="FE83" s="12">
        <f>IF('Données projet'!$A$218&gt;35,FE82+FD83-FM82,IF(A83&lt;'Données projet'!$A$218,$FB$205^A83,IF(A83='Données projet'!$A$218,'Données projet'!$B$218,FE82+FD83-FM82)))</f>
        <v>330</v>
      </c>
      <c r="FF83" s="17">
        <f>FE83*VLOOKUP('Données projet'!$B$16,Paramètres!$A$1:$I$89,3,0)*VLOOKUP('Données projet'!$B$16,Paramètres!$A$1:$I$89,5,0)</f>
        <v>267.69600000000003</v>
      </c>
      <c r="FG83" s="13">
        <f t="shared" si="101"/>
        <v>64.360058723585496</v>
      </c>
      <c r="FH83" s="20">
        <f t="shared" si="76"/>
        <v>578.33096894357811</v>
      </c>
      <c r="FI83" s="59">
        <f t="shared" si="77"/>
        <v>849.05958058226429</v>
      </c>
      <c r="FJ83" s="59">
        <f ca="1">AVERAGE(OFFSET($FI$3,0,0,'Données projet'!$E$16+1,1))-AVERAGE(OFFSET($H$3,0,0,'Données projet'!$E$16+1,1))</f>
        <v>383.47860767209028</v>
      </c>
      <c r="FK83" s="59">
        <f t="shared" si="102"/>
        <v>370.49129421395628</v>
      </c>
      <c r="FL83" s="15">
        <f>IF(ISNA(VLOOKUP(A83,'Données projet'!$A$217:$I$237,3,0)),0,VLOOKUP(A83,'Données projet'!$A$217:$I$237,3,0))</f>
        <v>14</v>
      </c>
      <c r="FM83" s="15">
        <f>IF(ISNA(VLOOKUP(A83,'Données projet'!$A$217:$I$237,4,0)),0,VLOOKUP(A83,'Données projet'!$A$217:$I$237,4,0))</f>
        <v>330</v>
      </c>
      <c r="FN83" s="16">
        <f>IF(ISNA(VLOOKUP(A83,'Données projet'!$A$217:$I$237,5,0)),0%,VLOOKUP(A83,'Données projet'!$A$217:$I$237,5,0)*VLOOKUP('Données projet'!$B$16,Paramètres!$A$1:$I$89,7,0))</f>
        <v>0.13250000000000001</v>
      </c>
      <c r="FO83" s="16">
        <f>IF(ISNA(VLOOKUP(A83,'Données projet'!$A$217:$I$237,6,0)),0%,VLOOKUP(A83,'Données projet'!$A$217:$I$237,6,0)*VLOOKUP('Données projet'!$B$16,Paramètres!$A$1:$I$89,7,0))</f>
        <v>0.13250000000000001</v>
      </c>
      <c r="FP83" s="16">
        <f>IF(ISNA(VLOOKUP(A83,'Données projet'!$A$217:$I$237,7,0)),0%,VLOOKUP(A83,'Données projet'!$A$217:$I$237,7,0))</f>
        <v>0.25</v>
      </c>
      <c r="FQ83" s="21">
        <f>EXP(-LN(2)/35)*FQ82+(1-EXP(-LN(2)/35))/(LN(2)/35)*FM83*FN83*VLOOKUP('Données projet'!$B$16,Paramètres!$A$1:$I$89,3,0)*0.475*44/12</f>
        <v>53.001344727470297</v>
      </c>
      <c r="FR83" s="21">
        <f>EXP(-LN(2)/25)*FR82+(1-EXP(-LN(2)/25))/(LN(2)/25)*Calculateur!FM83*Calculateur!FO83*VLOOKUP('Données projet'!$B$16,Paramètres!$A$1:$I$89,3,0)*0.475*44/12</f>
        <v>52.330094821147895</v>
      </c>
      <c r="FS83" s="21">
        <f>EXP(-LN(2)/2)*FS82+(1-EXP(-LN(2)/2))/(LN(2)/2)*FM83*FP83*VLOOKUP('Données projet'!$B$16,Paramètres!$A$1:$I$89,3,0)*0.475*44/12</f>
        <v>63.645268678997184</v>
      </c>
      <c r="FT83" s="22">
        <f t="shared" si="78"/>
        <v>168.97670822761538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6.7444444444444462</v>
      </c>
      <c r="FZ83" s="12">
        <f>IF('Données projet'!$A$244&gt;35,FZ82+FY83-GH82,IF(A83&lt;'Données projet'!$A$244,$FW$205^A83,IF(A83='Données projet'!$A$244,'Données projet'!$B$244,FZ82+FY83-GH82)))</f>
        <v>188.80333333333334</v>
      </c>
      <c r="GA83" s="17">
        <f>FZ83*VLOOKUP('Données projet'!$B$17,Paramètres!$A$1:$I$89,3,0)*VLOOKUP('Données projet'!$B$17,Paramètres!$A$1:$I$89,5,0)</f>
        <v>215.00923600000002</v>
      </c>
      <c r="GB83" s="13">
        <f t="shared" si="103"/>
        <v>53.028723450763223</v>
      </c>
      <c r="GC83" s="20">
        <f t="shared" si="79"/>
        <v>466.83277937674598</v>
      </c>
      <c r="GD83" s="59">
        <f t="shared" si="80"/>
        <v>737.56139101543204</v>
      </c>
      <c r="GE83" s="59">
        <f ca="1">AVERAGE(OFFSET($GD$3,0,0,'Données projet'!$E$17+1,1))-AVERAGE(OFFSET($H$3,0,0,'Données projet'!$E$17+1,1))</f>
        <v>640.05156427113661</v>
      </c>
      <c r="GF83" s="59">
        <f t="shared" si="104"/>
        <v>308.77220155372902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44.954167886242139</v>
      </c>
      <c r="GN83" s="21">
        <f>EXP(-LN(2)/2)*GN82+(1-EXP(-LN(2)/2))/(LN(2)/2)*GH83*GK83*VLOOKUP('Données projet'!$B$17,Paramètres!$A$1:$I$89,3,0)*0.475*44/12</f>
        <v>2.7952255571535041</v>
      </c>
      <c r="GO83" s="21">
        <f t="shared" si="81"/>
        <v>47.749393443395647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>
        <f>VLOOKUP(A84,'Données projet'!$A$35:$I$55,2,0)</f>
        <v>433.28</v>
      </c>
      <c r="L84" s="12">
        <f>VLOOKUP(A84,'Données projet'!$A$35:$I$55,9,0)</f>
        <v>12.707777777777771</v>
      </c>
      <c r="M84" s="12">
        <f t="array" ref="M84">INDEX(L:L,MIN(IF(ISNUMBER(L84:L280),ROW(L84:L280),"")))</f>
        <v>12.707777777777771</v>
      </c>
      <c r="N84" s="13">
        <f>IF('Données projet'!$A$36&gt;35,N83+M84-V83,IF(A84&lt;'Données projet'!$A$36,$K$205^A84,IF(A84='Données projet'!$A$36,'Données projet'!$B$36,N83+M84-V83)))</f>
        <v>433.27999999999975</v>
      </c>
      <c r="O84" s="13">
        <f>N84*VLOOKUP('Données projet'!$B$9,Paramètres!$A$1:$I$89,3,0)*VLOOKUP('Données projet'!$B$9,Paramètres!$A$1:$I$89,5,0)</f>
        <v>364.99507199999982</v>
      </c>
      <c r="P84" s="13">
        <f t="shared" si="87"/>
        <v>84.642573401902411</v>
      </c>
      <c r="Q84" s="20">
        <f t="shared" si="54"/>
        <v>783.11889907497971</v>
      </c>
      <c r="R84" s="59">
        <f t="shared" si="55"/>
        <v>1054.2396520984812</v>
      </c>
      <c r="S84" s="59">
        <f ca="1">AVERAGE(OFFSET($R$3,0,0,'Données projet'!$E$9+1,1))-AVERAGE(OFFSET($H$3,0,0,'Données projet'!$E$9+1,1))</f>
        <v>456.35333554128226</v>
      </c>
      <c r="T84" s="59">
        <f t="shared" si="88"/>
        <v>296.4517290984877</v>
      </c>
      <c r="U84" s="15">
        <f>IF(ISNA(VLOOKUP(A84,'Données projet'!$A$35:$I$55,3,0)),0,VLOOKUP(A84,'Données projet'!$A$35:$I$55,3,0))</f>
        <v>8</v>
      </c>
      <c r="V84" s="15">
        <f>IF(ISNA(VLOOKUP(A84,'Données projet'!$A$35:$I$55,4,0)),0,VLOOKUP(A84,'Données projet'!$A$35:$I$55,4,0))</f>
        <v>87.399999999999977</v>
      </c>
      <c r="W84" s="16">
        <f>IF(ISNA(VLOOKUP(A84,'Données projet'!$A$35:$I$55,5,0)),0%,VLOOKUP(A84,'Données projet'!$A$35:$I$55,5,0)*VLOOKUP('Données projet'!$B$9,Paramètres!$A$1:$I$89,7,0))</f>
        <v>0.215</v>
      </c>
      <c r="X84" s="16">
        <f>IF(ISNA(VLOOKUP(A84,'Données projet'!$A$35:$I$55,6,0)),0%,VLOOKUP(A84,'Données projet'!$A$35:$I$55,6,0)*VLOOKUP('Données projet'!$B$9,Paramètres!$A$1:$I$89,7,0))</f>
        <v>8.6000000000000007E-2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43.919174375838409</v>
      </c>
      <c r="AA84" s="21">
        <f>EXP(-LN(2)/25)*AA83+(1-EXP(-LN(2)/25))/(LN(2)/25)*Calculateur!V84*Calculateur!X84*VLOOKUP('Données projet'!$B$9,Paramètres!$A$1:$I$89,3,0)*0.475*44/12</f>
        <v>29.175234656002758</v>
      </c>
      <c r="AB84" s="21">
        <f>EXP(-LN(2)/2)*AB83+(1-EXP(-LN(2)/2))/(LN(2)/2)*V84*Y84*VLOOKUP('Données projet'!$B$9,Paramètres!$A$1:$I$89,3,0)*0.475*44/12</f>
        <v>0.25143477323427887</v>
      </c>
      <c r="AC84" s="22">
        <f t="shared" si="57"/>
        <v>73.345843805075447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408.246209980743</v>
      </c>
      <c r="AO84" s="59">
        <f t="shared" si="90"/>
        <v>394.10236303013903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55.959099199223004</v>
      </c>
      <c r="AV84" s="21">
        <f>EXP(-LN(2)/25)*AV83+(1-EXP(-LN(2)/25))/(LN(2)/25)*Calculateur!AQ84*Calculateur!AS84*VLOOKUP('Données projet'!$B$10,Paramètres!$A$1:$I$89,3,0)*0.475*44/12</f>
        <v>54.814442982216086</v>
      </c>
      <c r="AW84" s="21">
        <f>EXP(-LN(2)/2)*AW83+(1-EXP(-LN(2)/2))/(LN(2)/2)*AQ84*AT84*VLOOKUP('Données projet'!$B$10,Paramètres!$A$1:$I$89,3,0)*0.475*44/12</f>
        <v>48.465847309770886</v>
      </c>
      <c r="AX84" s="21">
        <f t="shared" si="60"/>
        <v>159.23938949120998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6.7444444444444462</v>
      </c>
      <c r="BD84" s="12">
        <f>IF('Données projet'!$A$88&gt;35,BD83+BC84-BL83,IF(A84&lt;'Données projet'!$A$88,$BA$205^A84,IF(A84='Données projet'!$A$88,'Données projet'!$B$88,BD83+BC84-BL83)))</f>
        <v>195.54777777777778</v>
      </c>
      <c r="BE84" s="13">
        <f>BD84*VLOOKUP('Données projet'!$B$11,Paramètres!$A$1:$I$89,3,0)*VLOOKUP('Données projet'!$B$11,Paramètres!$A$1:$I$89,5,0)</f>
        <v>198.28544666666667</v>
      </c>
      <c r="BF84" s="13">
        <f t="shared" si="91"/>
        <v>49.367172192409612</v>
      </c>
      <c r="BG84" s="20">
        <f t="shared" si="61"/>
        <v>431.32831117955783</v>
      </c>
      <c r="BH84" s="59">
        <f t="shared" si="62"/>
        <v>702.44906420305927</v>
      </c>
      <c r="BI84" s="59">
        <f ca="1">AVERAGE(OFFSET($BH$3,0,0,'Données projet'!$E$11+1,1))-AVERAGE(OFFSET($H$3,0,0,'Données projet'!$E$11+1,1))</f>
        <v>580.02848304986492</v>
      </c>
      <c r="BJ84" s="59">
        <f t="shared" si="92"/>
        <v>281.68891895586728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38.933124617645667</v>
      </c>
      <c r="BR84" s="21">
        <f>EXP(-LN(2)/2)*BR83+(1-EXP(-LN(2)/2))/(LN(2)/2)*BL84*BO84*VLOOKUP('Données projet'!$B$11,Paramètres!$A$1:$I$89,3,0)*0.475*44/12</f>
        <v>1.7599176920081814</v>
      </c>
      <c r="BS84" s="22">
        <f t="shared" si="63"/>
        <v>40.693042309653848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5.6843418860808015E-14</v>
      </c>
      <c r="BZ84" s="13">
        <f>BY84*VLOOKUP('Données projet'!$B$12,Paramètres!$A$1:$I$89,3,0)*VLOOKUP('Données projet'!$B$12,Paramètres!$A$1:$I$89,5,0)</f>
        <v>4.4337866711430253E-14</v>
      </c>
      <c r="CA84" s="13">
        <f t="shared" si="93"/>
        <v>7.3222115536967035E-13</v>
      </c>
      <c r="CB84" s="20">
        <f t="shared" si="64"/>
        <v>1.3525069634579169E-12</v>
      </c>
      <c r="CC84" s="59">
        <f t="shared" si="65"/>
        <v>271.1207530235028</v>
      </c>
      <c r="CD84" s="59">
        <f ca="1">AVERAGE(OFFSET($CC$3,0,0,'Données projet'!$E$12+1,1))-AVERAGE(OFFSET($H$3,0,0,'Données projet'!$E$12+1,1))</f>
        <v>308.85018589589453</v>
      </c>
      <c r="CE84" s="59">
        <f t="shared" si="94"/>
        <v>302.59481222418219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33.90344502999308</v>
      </c>
      <c r="CL84" s="21">
        <f>EXP(-LN(2)/25)*CL83+(1-EXP(-LN(2)/25))/(LN(2)/25)*Calculateur!CG84*Calculateur!CI84*VLOOKUP('Données projet'!$B$12,Paramètres!$A$1:$I$89,3,0)*0.475*44/12</f>
        <v>30.353378144987087</v>
      </c>
      <c r="CM84" s="21">
        <f>EXP(-LN(2)/2)*CM83+(1-EXP(-LN(2)/2))/(LN(2)/2)*CG84*CJ84*VLOOKUP('Données projet'!$B$12,Paramètres!$A$1:$I$89,3,0)*0.475*44/12</f>
        <v>0.94931283833255364</v>
      </c>
      <c r="CN84" s="22">
        <f t="shared" si="66"/>
        <v>65.206136013312729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4.1025641025640995</v>
      </c>
      <c r="CT84" s="12">
        <f>IF('Données projet'!$A$140&gt;35,CT83+CS84-DB83,IF(A84&lt;'Données projet'!$A$140,$CQ$205^A84,IF(A84='Données projet'!$A$140,'Données projet'!$B$140,CT83+CS84-DB83)))</f>
        <v>259.87179487179498</v>
      </c>
      <c r="CU84" s="17">
        <f>CT84*VLOOKUP('Données projet'!$B$13,Paramètres!$A$1:$I$89,3,0)*VLOOKUP('Données projet'!$B$13,Paramètres!$A$1:$I$89,5,0)</f>
        <v>174.32200000000009</v>
      </c>
      <c r="CV84" s="13">
        <f t="shared" si="95"/>
        <v>44.056588905148665</v>
      </c>
      <c r="CW84" s="20">
        <f t="shared" si="67"/>
        <v>380.34270900980073</v>
      </c>
      <c r="CX84" s="59">
        <f t="shared" si="68"/>
        <v>651.46346203330222</v>
      </c>
      <c r="CY84" s="59">
        <f ca="1">AVERAGE(OFFSET($CX$3,0,0,'Données projet'!$E$13+1,1))-AVERAGE(OFFSET($H$3,0,0,'Données projet'!$E$13+1,1))</f>
        <v>335.73816489539837</v>
      </c>
      <c r="CZ84" s="59">
        <f t="shared" si="96"/>
        <v>254.09787950201044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5.443081768468705</v>
      </c>
      <c r="DG84" s="21">
        <f>EXP(-LN(2)/25)*DG83+(1-EXP(-LN(2)/25))/(LN(2)/25)*Calculateur!DB84*Calculateur!DD84*VLOOKUP('Données projet'!$B$13,Paramètres!$A$1:$I$89,3,0)*0.475*44/12</f>
        <v>9.1629790166105494</v>
      </c>
      <c r="DH84" s="21">
        <f>EXP(-LN(2)/2)*DH83+(1-EXP(-LN(2)/2))/(LN(2)/2)*DB84*DE84*VLOOKUP('Données projet'!$B$13,Paramètres!$A$1:$I$89,3,0)*0.475*44/12</f>
        <v>1.7602800114555832</v>
      </c>
      <c r="DI84" s="22">
        <f t="shared" si="69"/>
        <v>16.366340796534839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9.4837500000000006</v>
      </c>
      <c r="DO84" s="12">
        <f>IF('Données projet'!$A$166&gt;35,DO83+DN84-DW83,IF(A84&lt;'Données projet'!$A$166,$DL$205^A84,IF(A84='Données projet'!$A$166,'Données projet'!$B$166,DO83+DN84-DW83)))</f>
        <v>287.14249999999993</v>
      </c>
      <c r="DP84" s="17">
        <f>DO84*VLOOKUP('Données projet'!$B$14,Paramètres!$A$1:$I$89,3,0)*VLOOKUP('Données projet'!$B$14,Paramètres!$A$1:$I$89,5,0)</f>
        <v>277.72422599999993</v>
      </c>
      <c r="DQ84" s="13">
        <f t="shared" si="97"/>
        <v>66.485844222868806</v>
      </c>
      <c r="DR84" s="20">
        <f t="shared" si="70"/>
        <v>599.49920563816306</v>
      </c>
      <c r="DS84" s="59">
        <f t="shared" si="71"/>
        <v>870.61995866166444</v>
      </c>
      <c r="DT84" s="59">
        <f ca="1">AVERAGE(OFFSET($DS$3,0,0,'Données projet'!$E$14+1,1))-AVERAGE(OFFSET($H$3,0,0,'Données projet'!$E$14+1,1))</f>
        <v>493.03862850474161</v>
      </c>
      <c r="DU84" s="59">
        <f t="shared" si="98"/>
        <v>312.51819065560528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19.782313368095281</v>
      </c>
      <c r="EB84" s="21">
        <f>EXP(-LN(2)/25)*EB83+(1-EXP(-LN(2)/25))/(LN(2)/25)*Calculateur!DW84*Calculateur!DY84*VLOOKUP('Données projet'!$B$14,Paramètres!$A$1:$I$89,3,0)*0.475*44/12</f>
        <v>23.507702711177338</v>
      </c>
      <c r="EC84" s="21">
        <f>EXP(-LN(2)/2)*EC83+(1-EXP(-LN(2)/2))/(LN(2)/2)*DW84*DZ84*VLOOKUP('Données projet'!$B$14,Paramètres!$A$1:$I$89,3,0)*0.475*44/12</f>
        <v>0.52885056818929232</v>
      </c>
      <c r="ED84" s="22">
        <f t="shared" si="72"/>
        <v>43.81886664746191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9.4837500000000006</v>
      </c>
      <c r="EJ84" s="12">
        <f>IF('Données projet'!$A$192&gt;35,EJ83+EI84-ER83,IF(A84&lt;'Données projet'!$A$192,$EG$205^A84,IF(A84='Données projet'!$A$192,'Données projet'!$B$192,EJ83+EI84-ER83)))</f>
        <v>287.14249999999993</v>
      </c>
      <c r="EK84" s="17">
        <f>EJ84*VLOOKUP('Données projet'!$B$15,Paramètres!$A$1:$I$89,3,0)*VLOOKUP('Données projet'!$B$15,Paramètres!$A$1:$I$89,5,0)</f>
        <v>309.08018699999991</v>
      </c>
      <c r="EL84" s="13">
        <f t="shared" si="99"/>
        <v>73.076703398977713</v>
      </c>
      <c r="EM84" s="20">
        <f t="shared" si="73"/>
        <v>665.58991744488594</v>
      </c>
      <c r="EN84" s="59">
        <f t="shared" si="74"/>
        <v>936.71067046838743</v>
      </c>
      <c r="EO84" s="59">
        <f ca="1">AVERAGE(OFFSET($EN$3,0,0,'Données projet'!$E$15+1,1))-AVERAGE(OFFSET($H$3,0,0,'Données projet'!$E$15+1,1))</f>
        <v>539.72194201710272</v>
      </c>
      <c r="EP84" s="59">
        <f t="shared" si="100"/>
        <v>340.76505385159362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22.015800361267324</v>
      </c>
      <c r="EW84" s="21">
        <f>EXP(-LN(2)/25)*EW83+(1-EXP(-LN(2)/25))/(LN(2)/25)*Calculateur!ER84*Calculateur!ET84*VLOOKUP('Données projet'!$B$15,Paramètres!$A$1:$I$89,3,0)*0.475*44/12</f>
        <v>26.161798178568333</v>
      </c>
      <c r="EX84" s="21">
        <f>EXP(-LN(2)/2)*EX83+(1-EXP(-LN(2)/2))/(LN(2)/2)*ER84*EU84*VLOOKUP('Données projet'!$B$15,Paramètres!$A$1:$I$89,3,0)*0.475*44/12</f>
        <v>0.58855950330743856</v>
      </c>
      <c r="EY84" s="22">
        <f t="shared" si="75"/>
        <v>48.766158043143093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>
        <f>FE84*VLOOKUP('Données projet'!$B$16,Paramètres!$A$1:$I$89,3,0)*VLOOKUP('Données projet'!$B$16,Paramètres!$A$1:$I$89,5,0)</f>
        <v>0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383.47860767209028</v>
      </c>
      <c r="FK84" s="59">
        <f t="shared" si="102"/>
        <v>370.49129421395628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51.962020684992801</v>
      </c>
      <c r="FR84" s="21">
        <f>EXP(-LN(2)/25)*FR83+(1-EXP(-LN(2)/25))/(LN(2)/25)*Calculateur!FM84*Calculateur!FO84*VLOOKUP('Données projet'!$B$16,Paramètres!$A$1:$I$89,3,0)*0.475*44/12</f>
        <v>50.899125626343519</v>
      </c>
      <c r="FS84" s="21">
        <f>EXP(-LN(2)/2)*FS83+(1-EXP(-LN(2)/2))/(LN(2)/2)*FM84*FP84*VLOOKUP('Données projet'!$B$16,Paramètres!$A$1:$I$89,3,0)*0.475*44/12</f>
        <v>45.004001073358694</v>
      </c>
      <c r="FT84" s="22">
        <f t="shared" si="78"/>
        <v>147.86514738469501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6.7444444444444462</v>
      </c>
      <c r="FZ84" s="12">
        <f>IF('Données projet'!$A$244&gt;35,FZ83+FY84-GH83,IF(A84&lt;'Données projet'!$A$244,$FW$205^A84,IF(A84='Données projet'!$A$244,'Données projet'!$B$244,FZ83+FY84-GH83)))</f>
        <v>195.54777777777778</v>
      </c>
      <c r="GA84" s="17">
        <f>FZ84*VLOOKUP('Données projet'!$B$17,Paramètres!$A$1:$I$89,3,0)*VLOOKUP('Données projet'!$B$17,Paramètres!$A$1:$I$89,5,0)</f>
        <v>222.68980933333336</v>
      </c>
      <c r="GB84" s="13">
        <f t="shared" si="103"/>
        <v>54.699088370207967</v>
      </c>
      <c r="GC84" s="20">
        <f t="shared" si="79"/>
        <v>483.11899683366778</v>
      </c>
      <c r="GD84" s="59">
        <f t="shared" si="80"/>
        <v>754.23974985716927</v>
      </c>
      <c r="GE84" s="59">
        <f ca="1">AVERAGE(OFFSET($GD$3,0,0,'Données projet'!$E$17+1,1))-AVERAGE(OFFSET($H$3,0,0,'Données projet'!$E$17+1,1))</f>
        <v>640.05156427113661</v>
      </c>
      <c r="GF84" s="59">
        <f t="shared" si="104"/>
        <v>308.77220155372902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43.724893801355904</v>
      </c>
      <c r="GN84" s="21">
        <f>EXP(-LN(2)/2)*GN83+(1-EXP(-LN(2)/2))/(LN(2)/2)*GH84*GK84*VLOOKUP('Données projet'!$B$17,Paramètres!$A$1:$I$89,3,0)*0.475*44/12</f>
        <v>1.9765229464091882</v>
      </c>
      <c r="GO84" s="21">
        <f t="shared" si="81"/>
        <v>45.701416747765094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11.905555555555553</v>
      </c>
      <c r="N85" s="13">
        <f>IF('Données projet'!$A$36&gt;35,N84+M85-V84,IF(A85&lt;'Données projet'!$A$36,$K$205^A85,IF(A85='Données projet'!$A$36,'Données projet'!$B$36,N84+M85-V84)))</f>
        <v>357.78555555555533</v>
      </c>
      <c r="O85" s="13">
        <f>N85*VLOOKUP('Données projet'!$B$9,Paramètres!$A$1:$I$89,3,0)*VLOOKUP('Données projet'!$B$9,Paramètres!$A$1:$I$89,5,0)</f>
        <v>301.39855199999988</v>
      </c>
      <c r="P85" s="13">
        <f t="shared" si="87"/>
        <v>71.469574283423256</v>
      </c>
      <c r="Q85" s="20">
        <f t="shared" si="54"/>
        <v>649.41198661029523</v>
      </c>
      <c r="R85" s="59">
        <f t="shared" si="55"/>
        <v>920.91807824228226</v>
      </c>
      <c r="S85" s="59">
        <f ca="1">AVERAGE(OFFSET($R$3,0,0,'Données projet'!$E$9+1,1))-AVERAGE(OFFSET($H$3,0,0,'Données projet'!$E$9+1,1))</f>
        <v>456.35333554128226</v>
      </c>
      <c r="T85" s="59">
        <f t="shared" si="88"/>
        <v>296.4517290984877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43.057946154379486</v>
      </c>
      <c r="AA85" s="21">
        <f>EXP(-LN(2)/25)*AA84+(1-EXP(-LN(2)/25))/(LN(2)/25)*Calculateur!V85*Calculateur!X85*VLOOKUP('Données projet'!$B$9,Paramètres!$A$1:$I$89,3,0)*0.475*44/12</f>
        <v>28.377436330075451</v>
      </c>
      <c r="AB85" s="21">
        <f>EXP(-LN(2)/2)*AB84+(1-EXP(-LN(2)/2))/(LN(2)/2)*V85*Y85*VLOOKUP('Données projet'!$B$9,Paramètres!$A$1:$I$89,3,0)*0.475*44/12</f>
        <v>0.17779123318006043</v>
      </c>
      <c r="AC85" s="22">
        <f t="shared" si="57"/>
        <v>71.613173717634993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408.246209980743</v>
      </c>
      <c r="AO85" s="59">
        <f t="shared" si="90"/>
        <v>394.10236303013903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54.861775395606529</v>
      </c>
      <c r="AV85" s="21">
        <f>EXP(-LN(2)/25)*AV84+(1-EXP(-LN(2)/25))/(LN(2)/25)*Calculateur!AQ85*Calculateur!AS85*VLOOKUP('Données projet'!$B$10,Paramètres!$A$1:$I$89,3,0)*0.475*44/12</f>
        <v>53.315539156301114</v>
      </c>
      <c r="AW85" s="21">
        <f>EXP(-LN(2)/2)*AW84+(1-EXP(-LN(2)/2))/(LN(2)/2)*AQ85*AT85*VLOOKUP('Données projet'!$B$10,Paramètres!$A$1:$I$89,3,0)*0.475*44/12</f>
        <v>34.270529288690788</v>
      </c>
      <c r="AX85" s="21">
        <f t="shared" si="60"/>
        <v>142.44784384059844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6.7444444444444462</v>
      </c>
      <c r="BD85" s="12">
        <f>IF('Données projet'!$A$88&gt;35,BD84+BC85-BL84,IF(A85&lt;'Données projet'!$A$88,$BA$205^A85,IF(A85='Données projet'!$A$88,'Données projet'!$B$88,BD84+BC85-BL84)))</f>
        <v>202.29222222222222</v>
      </c>
      <c r="BE85" s="13">
        <f>BD85*VLOOKUP('Données projet'!$B$11,Paramètres!$A$1:$I$89,3,0)*VLOOKUP('Données projet'!$B$11,Paramètres!$A$1:$I$89,5,0)</f>
        <v>205.12431333333336</v>
      </c>
      <c r="BF85" s="13">
        <f t="shared" si="91"/>
        <v>50.868673181302917</v>
      </c>
      <c r="BG85" s="20">
        <f t="shared" si="61"/>
        <v>445.85445151299149</v>
      </c>
      <c r="BH85" s="59">
        <f t="shared" si="62"/>
        <v>717.36054314497846</v>
      </c>
      <c r="BI85" s="59">
        <f ca="1">AVERAGE(OFFSET($BH$3,0,0,'Données projet'!$E$11+1,1))-AVERAGE(OFFSET($H$3,0,0,'Données projet'!$E$11+1,1))</f>
        <v>580.02848304986492</v>
      </c>
      <c r="BJ85" s="59">
        <f t="shared" si="92"/>
        <v>281.68891895586728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37.868496277572106</v>
      </c>
      <c r="BR85" s="21">
        <f>EXP(-LN(2)/2)*BR84+(1-EXP(-LN(2)/2))/(LN(2)/2)*BL85*BO85*VLOOKUP('Données projet'!$B$11,Paramètres!$A$1:$I$89,3,0)*0.475*44/12</f>
        <v>1.244449734349163</v>
      </c>
      <c r="BS85" s="22">
        <f t="shared" si="63"/>
        <v>39.112946011921267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5.6843418860808015E-14</v>
      </c>
      <c r="BZ85" s="13">
        <f>BY85*VLOOKUP('Données projet'!$B$12,Paramètres!$A$1:$I$89,3,0)*VLOOKUP('Données projet'!$B$12,Paramètres!$A$1:$I$89,5,0)</f>
        <v>4.4337866711430253E-14</v>
      </c>
      <c r="CA85" s="13">
        <f t="shared" si="93"/>
        <v>7.3222115536967035E-13</v>
      </c>
      <c r="CB85" s="20">
        <f t="shared" si="64"/>
        <v>1.3525069634579169E-12</v>
      </c>
      <c r="CC85" s="59">
        <f t="shared" si="65"/>
        <v>271.5060916319884</v>
      </c>
      <c r="CD85" s="59">
        <f ca="1">AVERAGE(OFFSET($CC$3,0,0,'Données projet'!$E$12+1,1))-AVERAGE(OFFSET($H$3,0,0,'Données projet'!$E$12+1,1))</f>
        <v>308.85018589589453</v>
      </c>
      <c r="CE85" s="59">
        <f t="shared" si="94"/>
        <v>302.59481222418219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33.238619152014493</v>
      </c>
      <c r="CL85" s="21">
        <f>EXP(-LN(2)/25)*CL84+(1-EXP(-LN(2)/25))/(LN(2)/25)*Calculateur!CG85*Calculateur!CI85*VLOOKUP('Données projet'!$B$12,Paramètres!$A$1:$I$89,3,0)*0.475*44/12</f>
        <v>29.523363423397633</v>
      </c>
      <c r="CM85" s="21">
        <f>EXP(-LN(2)/2)*CM84+(1-EXP(-LN(2)/2))/(LN(2)/2)*CG85*CJ85*VLOOKUP('Données projet'!$B$12,Paramètres!$A$1:$I$89,3,0)*0.475*44/12</f>
        <v>0.67126554545239747</v>
      </c>
      <c r="CN85" s="22">
        <f t="shared" si="66"/>
        <v>63.433248120864526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4.1025641025640995</v>
      </c>
      <c r="CT85" s="12">
        <f>IF('Données projet'!$A$140&gt;35,CT84+CS85-DB84,IF(A85&lt;'Données projet'!$A$140,$CQ$205^A85,IF(A85='Données projet'!$A$140,'Données projet'!$B$140,CT84+CS85-DB84)))</f>
        <v>263.97435897435906</v>
      </c>
      <c r="CU85" s="17">
        <f>CT85*VLOOKUP('Données projet'!$B$13,Paramètres!$A$1:$I$89,3,0)*VLOOKUP('Données projet'!$B$13,Paramètres!$A$1:$I$89,5,0)</f>
        <v>177.07400000000007</v>
      </c>
      <c r="CV85" s="13">
        <f t="shared" si="95"/>
        <v>44.670585441115527</v>
      </c>
      <c r="CW85" s="20">
        <f t="shared" si="67"/>
        <v>386.20515297660967</v>
      </c>
      <c r="CX85" s="59">
        <f t="shared" si="68"/>
        <v>657.71124460859664</v>
      </c>
      <c r="CY85" s="59">
        <f ca="1">AVERAGE(OFFSET($CX$3,0,0,'Données projet'!$E$13+1,1))-AVERAGE(OFFSET($H$3,0,0,'Données projet'!$E$13+1,1))</f>
        <v>335.73816489539837</v>
      </c>
      <c r="CZ85" s="59">
        <f t="shared" si="96"/>
        <v>254.09787950201044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5.3363462549410947</v>
      </c>
      <c r="DG85" s="21">
        <f>EXP(-LN(2)/25)*DG84+(1-EXP(-LN(2)/25))/(LN(2)/25)*Calculateur!DB85*Calculateur!DD85*VLOOKUP('Données projet'!$B$13,Paramètres!$A$1:$I$89,3,0)*0.475*44/12</f>
        <v>8.9124168735412095</v>
      </c>
      <c r="DH85" s="21">
        <f>EXP(-LN(2)/2)*DH84+(1-EXP(-LN(2)/2))/(LN(2)/2)*DB85*DE85*VLOOKUP('Données projet'!$B$13,Paramètres!$A$1:$I$89,3,0)*0.475*44/12</f>
        <v>1.2447059328873766</v>
      </c>
      <c r="DI85" s="22">
        <f t="shared" si="69"/>
        <v>15.49346906136968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9.4837500000000006</v>
      </c>
      <c r="DO85" s="12">
        <f>IF('Données projet'!$A$166&gt;35,DO84+DN85-DW84,IF(A85&lt;'Données projet'!$A$166,$DL$205^A85,IF(A85='Données projet'!$A$166,'Données projet'!$B$166,DO84+DN85-DW84)))</f>
        <v>296.62624999999991</v>
      </c>
      <c r="DP85" s="17">
        <f>DO85*VLOOKUP('Données projet'!$B$14,Paramètres!$A$1:$I$89,3,0)*VLOOKUP('Données projet'!$B$14,Paramètres!$A$1:$I$89,5,0)</f>
        <v>286.89690899999994</v>
      </c>
      <c r="DQ85" s="13">
        <f t="shared" si="97"/>
        <v>68.422453469633254</v>
      </c>
      <c r="DR85" s="20">
        <f t="shared" si="70"/>
        <v>618.84788963461108</v>
      </c>
      <c r="DS85" s="59">
        <f t="shared" si="71"/>
        <v>890.35398126659811</v>
      </c>
      <c r="DT85" s="59">
        <f ca="1">AVERAGE(OFFSET($DS$3,0,0,'Données projet'!$E$14+1,1))-AVERAGE(OFFSET($H$3,0,0,'Données projet'!$E$14+1,1))</f>
        <v>493.03862850474161</v>
      </c>
      <c r="DU85" s="59">
        <f t="shared" si="98"/>
        <v>312.51819065560528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19.394394268966668</v>
      </c>
      <c r="EB85" s="21">
        <f>EXP(-LN(2)/25)*EB84+(1-EXP(-LN(2)/25))/(LN(2)/25)*Calculateur!DW85*Calculateur!DY85*VLOOKUP('Données projet'!$B$14,Paramètres!$A$1:$I$89,3,0)*0.475*44/12</f>
        <v>22.864883344323836</v>
      </c>
      <c r="EC85" s="21">
        <f>EXP(-LN(2)/2)*EC84+(1-EXP(-LN(2)/2))/(LN(2)/2)*DW85*DZ85*VLOOKUP('Données projet'!$B$14,Paramètres!$A$1:$I$89,3,0)*0.475*44/12</f>
        <v>0.37395382300100727</v>
      </c>
      <c r="ED85" s="22">
        <f t="shared" si="72"/>
        <v>42.633231436291517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9.4837500000000006</v>
      </c>
      <c r="EJ85" s="12">
        <f>IF('Données projet'!$A$192&gt;35,EJ84+EI85-ER84,IF(A85&lt;'Données projet'!$A$192,$EG$205^A85,IF(A85='Données projet'!$A$192,'Données projet'!$B$192,EJ84+EI85-ER84)))</f>
        <v>296.62624999999991</v>
      </c>
      <c r="EK85" s="17">
        <f>EJ85*VLOOKUP('Données projet'!$B$15,Paramètres!$A$1:$I$89,3,0)*VLOOKUP('Données projet'!$B$15,Paramètres!$A$1:$I$89,5,0)</f>
        <v>319.2884954999999</v>
      </c>
      <c r="EL85" s="13">
        <f t="shared" si="99"/>
        <v>75.205292141133469</v>
      </c>
      <c r="EM85" s="20">
        <f t="shared" si="73"/>
        <v>687.07668014164062</v>
      </c>
      <c r="EN85" s="59">
        <f t="shared" si="74"/>
        <v>958.58277177362766</v>
      </c>
      <c r="EO85" s="59">
        <f ca="1">AVERAGE(OFFSET($EN$3,0,0,'Données projet'!$E$15+1,1))-AVERAGE(OFFSET($H$3,0,0,'Données projet'!$E$15+1,1))</f>
        <v>539.72194201710272</v>
      </c>
      <c r="EP85" s="59">
        <f t="shared" si="100"/>
        <v>340.76505385159362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21.584083944495156</v>
      </c>
      <c r="EW85" s="21">
        <f>EXP(-LN(2)/25)*EW84+(1-EXP(-LN(2)/25))/(LN(2)/25)*Calculateur!ER85*Calculateur!ET85*VLOOKUP('Données projet'!$B$15,Paramètres!$A$1:$I$89,3,0)*0.475*44/12</f>
        <v>25.446402431586208</v>
      </c>
      <c r="EX85" s="21">
        <f>EXP(-LN(2)/2)*EX84+(1-EXP(-LN(2)/2))/(LN(2)/2)*ER85*EU85*VLOOKUP('Données projet'!$B$15,Paramètres!$A$1:$I$89,3,0)*0.475*44/12</f>
        <v>0.4161744159204761</v>
      </c>
      <c r="EY85" s="22">
        <f t="shared" si="75"/>
        <v>47.446660792001836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>
        <f>FE85*VLOOKUP('Données projet'!$B$16,Paramètres!$A$1:$I$89,3,0)*VLOOKUP('Données projet'!$B$16,Paramètres!$A$1:$I$89,5,0)</f>
        <v>0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383.47860767209028</v>
      </c>
      <c r="FK85" s="59">
        <f t="shared" si="102"/>
        <v>370.49129421395628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50.943077153063214</v>
      </c>
      <c r="FR85" s="21">
        <f>EXP(-LN(2)/25)*FR84+(1-EXP(-LN(2)/25))/(LN(2)/25)*Calculateur!FM85*Calculateur!FO85*VLOOKUP('Données projet'!$B$16,Paramètres!$A$1:$I$89,3,0)*0.475*44/12</f>
        <v>49.507286359422473</v>
      </c>
      <c r="FS85" s="21">
        <f>EXP(-LN(2)/2)*FS84+(1-EXP(-LN(2)/2))/(LN(2)/2)*FM85*FP85*VLOOKUP('Données projet'!$B$16,Paramètres!$A$1:$I$89,3,0)*0.475*44/12</f>
        <v>31.822634339498599</v>
      </c>
      <c r="FT85" s="22">
        <f t="shared" si="78"/>
        <v>132.27299785198429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6.7444444444444462</v>
      </c>
      <c r="FZ85" s="12">
        <f>IF('Données projet'!$A$244&gt;35,FZ84+FY85-GH84,IF(A85&lt;'Données projet'!$A$244,$FW$205^A85,IF(A85='Données projet'!$A$244,'Données projet'!$B$244,FZ84+FY85-GH84)))</f>
        <v>202.29222222222222</v>
      </c>
      <c r="GA85" s="17">
        <f>FZ85*VLOOKUP('Données projet'!$B$17,Paramètres!$A$1:$I$89,3,0)*VLOOKUP('Données projet'!$B$17,Paramètres!$A$1:$I$89,5,0)</f>
        <v>230.37038266666667</v>
      </c>
      <c r="GB85" s="13">
        <f t="shared" si="103"/>
        <v>56.362759421880078</v>
      </c>
      <c r="GC85" s="20">
        <f t="shared" si="79"/>
        <v>499.39355580421892</v>
      </c>
      <c r="GD85" s="59">
        <f t="shared" si="80"/>
        <v>770.8996474362059</v>
      </c>
      <c r="GE85" s="59">
        <f ca="1">AVERAGE(OFFSET($GD$3,0,0,'Données projet'!$E$17+1,1))-AVERAGE(OFFSET($H$3,0,0,'Données projet'!$E$17+1,1))</f>
        <v>640.05156427113661</v>
      </c>
      <c r="GF85" s="59">
        <f t="shared" si="104"/>
        <v>308.77220155372902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42.529234280965596</v>
      </c>
      <c r="GN85" s="21">
        <f>EXP(-LN(2)/2)*GN84+(1-EXP(-LN(2)/2))/(LN(2)/2)*GH85*GK85*VLOOKUP('Données projet'!$B$17,Paramètres!$A$1:$I$89,3,0)*0.475*44/12</f>
        <v>1.3976127785767523</v>
      </c>
      <c r="GO85" s="21">
        <f t="shared" si="81"/>
        <v>43.926847059542347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11.905555555555553</v>
      </c>
      <c r="N86" s="13">
        <f>IF('Données projet'!$A$36&gt;35,N85+M86-V85,IF(A86&lt;'Données projet'!$A$36,$K$205^A86,IF(A86='Données projet'!$A$36,'Données projet'!$B$36,N85+M86-V85)))</f>
        <v>369.6911111111109</v>
      </c>
      <c r="O86" s="13">
        <f>N86*VLOOKUP('Données projet'!$B$9,Paramètres!$A$1:$I$89,3,0)*VLOOKUP('Données projet'!$B$9,Paramètres!$A$1:$I$89,5,0)</f>
        <v>311.42779199999984</v>
      </c>
      <c r="P86" s="13">
        <f t="shared" si="87"/>
        <v>73.566930176716866</v>
      </c>
      <c r="Q86" s="20">
        <f t="shared" si="54"/>
        <v>670.53247445778163</v>
      </c>
      <c r="R86" s="59">
        <f t="shared" si="55"/>
        <v>942.41721993488511</v>
      </c>
      <c r="S86" s="59">
        <f ca="1">AVERAGE(OFFSET($R$3,0,0,'Données projet'!$E$9+1,1))-AVERAGE(OFFSET($H$3,0,0,'Données projet'!$E$9+1,1))</f>
        <v>456.35333554128226</v>
      </c>
      <c r="T86" s="59">
        <f t="shared" si="88"/>
        <v>296.4517290984877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42.213606093046025</v>
      </c>
      <c r="AA86" s="21">
        <f>EXP(-LN(2)/25)*AA85+(1-EXP(-LN(2)/25))/(LN(2)/25)*Calculateur!V86*Calculateur!X86*VLOOKUP('Données projet'!$B$9,Paramètres!$A$1:$I$89,3,0)*0.475*44/12</f>
        <v>27.601453841325018</v>
      </c>
      <c r="AB86" s="21">
        <f>EXP(-LN(2)/2)*AB85+(1-EXP(-LN(2)/2))/(LN(2)/2)*V86*Y86*VLOOKUP('Données projet'!$B$9,Paramètres!$A$1:$I$89,3,0)*0.475*44/12</f>
        <v>0.12571738661713944</v>
      </c>
      <c r="AC86" s="22">
        <f t="shared" si="57"/>
        <v>69.94077732098819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408.246209980743</v>
      </c>
      <c r="AO86" s="59">
        <f t="shared" si="90"/>
        <v>394.10236303013903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53.785969442477537</v>
      </c>
      <c r="AV86" s="21">
        <f>EXP(-LN(2)/25)*AV85+(1-EXP(-LN(2)/25))/(LN(2)/25)*Calculateur!AQ86*Calculateur!AS86*VLOOKUP('Données projet'!$B$10,Paramètres!$A$1:$I$89,3,0)*0.475*44/12</f>
        <v>51.857622934329711</v>
      </c>
      <c r="AW86" s="21">
        <f>EXP(-LN(2)/2)*AW85+(1-EXP(-LN(2)/2))/(LN(2)/2)*AQ86*AT86*VLOOKUP('Données projet'!$B$10,Paramètres!$A$1:$I$89,3,0)*0.475*44/12</f>
        <v>24.232923654885447</v>
      </c>
      <c r="AX86" s="21">
        <f t="shared" si="60"/>
        <v>129.87651603169269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6.7444444444444462</v>
      </c>
      <c r="BD86" s="12">
        <f>IF('Données projet'!$A$88&gt;35,BD85+BC86-BL85,IF(A86&lt;'Données projet'!$A$88,$BA$205^A86,IF(A86='Données projet'!$A$88,'Données projet'!$B$88,BD85+BC86-BL85)))</f>
        <v>209.03666666666666</v>
      </c>
      <c r="BE86" s="13">
        <f>BD86*VLOOKUP('Données projet'!$B$11,Paramètres!$A$1:$I$89,3,0)*VLOOKUP('Données projet'!$B$11,Paramètres!$A$1:$I$89,5,0)</f>
        <v>211.96317999999999</v>
      </c>
      <c r="BF86" s="13">
        <f t="shared" si="91"/>
        <v>52.364357316031814</v>
      </c>
      <c r="BG86" s="20">
        <f t="shared" si="61"/>
        <v>460.37046082542201</v>
      </c>
      <c r="BH86" s="59">
        <f t="shared" si="62"/>
        <v>732.25520630252549</v>
      </c>
      <c r="BI86" s="59">
        <f ca="1">AVERAGE(OFFSET($BH$3,0,0,'Données projet'!$E$11+1,1))-AVERAGE(OFFSET($H$3,0,0,'Données projet'!$E$11+1,1))</f>
        <v>580.02848304986492</v>
      </c>
      <c r="BJ86" s="59">
        <f t="shared" si="92"/>
        <v>281.68891895586728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36.832980255444227</v>
      </c>
      <c r="BR86" s="21">
        <f>EXP(-LN(2)/2)*BR85+(1-EXP(-LN(2)/2))/(LN(2)/2)*BL86*BO86*VLOOKUP('Données projet'!$B$11,Paramètres!$A$1:$I$89,3,0)*0.475*44/12</f>
        <v>0.8799588460040908</v>
      </c>
      <c r="BS86" s="22">
        <f t="shared" si="63"/>
        <v>37.71293910144832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5.6843418860808015E-14</v>
      </c>
      <c r="BZ86" s="13">
        <f>BY86*VLOOKUP('Données projet'!$B$12,Paramètres!$A$1:$I$89,3,0)*VLOOKUP('Données projet'!$B$12,Paramètres!$A$1:$I$89,5,0)</f>
        <v>4.4337866711430253E-14</v>
      </c>
      <c r="CA86" s="13">
        <f t="shared" si="93"/>
        <v>7.3222115536967035E-13</v>
      </c>
      <c r="CB86" s="20">
        <f t="shared" si="64"/>
        <v>1.3525069634579169E-12</v>
      </c>
      <c r="CC86" s="59">
        <f t="shared" si="65"/>
        <v>271.88474547710484</v>
      </c>
      <c r="CD86" s="59">
        <f ca="1">AVERAGE(OFFSET($CC$3,0,0,'Données projet'!$E$12+1,1))-AVERAGE(OFFSET($H$3,0,0,'Données projet'!$E$12+1,1))</f>
        <v>308.85018589589453</v>
      </c>
      <c r="CE86" s="59">
        <f t="shared" si="94"/>
        <v>302.59481222418219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32.586830103999326</v>
      </c>
      <c r="CL86" s="21">
        <f>EXP(-LN(2)/25)*CL85+(1-EXP(-LN(2)/25))/(LN(2)/25)*Calculateur!CG86*Calculateur!CI86*VLOOKUP('Données projet'!$B$12,Paramètres!$A$1:$I$89,3,0)*0.475*44/12</f>
        <v>28.716045498018619</v>
      </c>
      <c r="CM86" s="21">
        <f>EXP(-LN(2)/2)*CM85+(1-EXP(-LN(2)/2))/(LN(2)/2)*CG86*CJ86*VLOOKUP('Données projet'!$B$12,Paramètres!$A$1:$I$89,3,0)*0.475*44/12</f>
        <v>0.47465641916627693</v>
      </c>
      <c r="CN86" s="22">
        <f t="shared" si="66"/>
        <v>61.777532021184228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4.1025641025640995</v>
      </c>
      <c r="CT86" s="12">
        <f>IF('Données projet'!$A$140&gt;35,CT85+CS86-DB85,IF(A86&lt;'Données projet'!$A$140,$CQ$205^A86,IF(A86='Données projet'!$A$140,'Données projet'!$B$140,CT85+CS86-DB85)))</f>
        <v>268.07692307692315</v>
      </c>
      <c r="CU86" s="17">
        <f>CT86*VLOOKUP('Données projet'!$B$13,Paramètres!$A$1:$I$89,3,0)*VLOOKUP('Données projet'!$B$13,Paramètres!$A$1:$I$89,5,0)</f>
        <v>179.82600000000005</v>
      </c>
      <c r="CV86" s="13">
        <f t="shared" si="95"/>
        <v>45.283472193614408</v>
      </c>
      <c r="CW86" s="20">
        <f t="shared" si="67"/>
        <v>392.06566407054515</v>
      </c>
      <c r="CX86" s="59">
        <f t="shared" si="68"/>
        <v>663.95040954764863</v>
      </c>
      <c r="CY86" s="59">
        <f ca="1">AVERAGE(OFFSET($CX$3,0,0,'Données projet'!$E$13+1,1))-AVERAGE(OFFSET($H$3,0,0,'Données projet'!$E$13+1,1))</f>
        <v>335.73816489539837</v>
      </c>
      <c r="CZ86" s="59">
        <f t="shared" si="96"/>
        <v>254.09787950201044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5.2317037597315252</v>
      </c>
      <c r="DG86" s="21">
        <f>EXP(-LN(2)/25)*DG85+(1-EXP(-LN(2)/25))/(LN(2)/25)*Calculateur!DB86*Calculateur!DD86*VLOOKUP('Données projet'!$B$13,Paramètres!$A$1:$I$89,3,0)*0.475*44/12</f>
        <v>8.6687063654505909</v>
      </c>
      <c r="DH86" s="21">
        <f>EXP(-LN(2)/2)*DH85+(1-EXP(-LN(2)/2))/(LN(2)/2)*DB86*DE86*VLOOKUP('Données projet'!$B$13,Paramètres!$A$1:$I$89,3,0)*0.475*44/12</f>
        <v>0.88014000572779183</v>
      </c>
      <c r="DI86" s="22">
        <f t="shared" si="69"/>
        <v>14.780550130909909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>
        <f>VLOOKUP(A86,'Données projet'!$A$165:$I$185,2,0)</f>
        <v>306.11</v>
      </c>
      <c r="DM86" s="12">
        <f>VLOOKUP(A86,'Données projet'!$A$165:$I$185,9,0)</f>
        <v>9.4837500000000006</v>
      </c>
      <c r="DN86" s="12">
        <f t="array" ref="DN86">INDEX(DM:DM,MIN(IF(ISNUMBER(DM86:DM282),ROW(DM86:DM282),"")))</f>
        <v>9.4837500000000006</v>
      </c>
      <c r="DO86" s="12">
        <f>IF('Données projet'!$A$166&gt;35,DO85+DN86-DW85,IF(A86&lt;'Données projet'!$A$166,$DL$205^A86,IF(A86='Données projet'!$A$166,'Données projet'!$B$166,DO85+DN86-DW85)))</f>
        <v>306.1099999999999</v>
      </c>
      <c r="DP86" s="17">
        <f>DO86*VLOOKUP('Données projet'!$B$14,Paramètres!$A$1:$I$89,3,0)*VLOOKUP('Données projet'!$B$14,Paramètres!$A$1:$I$89,5,0)</f>
        <v>296.06959199999989</v>
      </c>
      <c r="DQ86" s="13">
        <f t="shared" si="97"/>
        <v>70.351867633510381</v>
      </c>
      <c r="DR86" s="20">
        <f t="shared" si="70"/>
        <v>638.18404219503043</v>
      </c>
      <c r="DS86" s="59">
        <f t="shared" si="71"/>
        <v>910.06878767213391</v>
      </c>
      <c r="DT86" s="59">
        <f ca="1">AVERAGE(OFFSET($DS$3,0,0,'Données projet'!$E$14+1,1))-AVERAGE(OFFSET($H$3,0,0,'Données projet'!$E$14+1,1))</f>
        <v>493.03862850474161</v>
      </c>
      <c r="DU86" s="59">
        <f t="shared" si="98"/>
        <v>312.51819065560528</v>
      </c>
      <c r="DV86" s="15">
        <f>IF(ISNA(VLOOKUP(A86,'Données projet'!$A$165:$I$185,3,0)),0,VLOOKUP(A86,'Données projet'!$A$165:$I$185,3,0))</f>
        <v>7</v>
      </c>
      <c r="DW86" s="15">
        <f>IF(ISNA(VLOOKUP(A86,'Données projet'!$A$165:$I$185,4,0)),0,VLOOKUP(A86,'Données projet'!$A$165:$I$185,4,0))</f>
        <v>49.980000000000018</v>
      </c>
      <c r="DX86" s="16">
        <f>IF(ISNA(VLOOKUP(A86,'Données projet'!$A$165:$I$185,5,0)),0%,VLOOKUP(A86,'Données projet'!$A$165:$I$185,5,0)*VLOOKUP('Données projet'!$B$14,Paramètres!$A$1:$I$89,7,0))</f>
        <v>0.15049999999999999</v>
      </c>
      <c r="DY86" s="16">
        <f>IF(ISNA(VLOOKUP(A86,'Données projet'!$A$165:$I$185,6,0)),0%,VLOOKUP(A86,'Données projet'!$A$165:$I$185,6,0)*VLOOKUP('Données projet'!$B$14,Paramètres!$A$1:$I$89,7,0))</f>
        <v>8.6000000000000007E-2</v>
      </c>
      <c r="DZ86" s="16">
        <f>IF(ISNA(VLOOKUP(A86,'Données projet'!$A$165:$I$185,7,0)),0%,VLOOKUP(A86,'Données projet'!$A$165:$I$185,7,0))</f>
        <v>0.1</v>
      </c>
      <c r="EA86" s="21">
        <f>EXP(-LN(2)/35)*EA85+(1-EXP(-LN(2)/35))/(LN(2)/35)*DW86*DX86*VLOOKUP('Données projet'!$B$14,Paramètres!$A$1:$I$89,3,0)*0.475*44/12</f>
        <v>27.056676108711045</v>
      </c>
      <c r="EB86" s="21">
        <f>EXP(-LN(2)/25)*EB85+(1-EXP(-LN(2)/25))/(LN(2)/25)*Calculateur!DW86*Calculateur!DY86*VLOOKUP('Données projet'!$B$14,Paramètres!$A$1:$I$89,3,0)*0.475*44/12</f>
        <v>26.81731466376257</v>
      </c>
      <c r="EC86" s="21">
        <f>EXP(-LN(2)/2)*EC85+(1-EXP(-LN(2)/2))/(LN(2)/2)*DW86*DZ86*VLOOKUP('Données projet'!$B$14,Paramètres!$A$1:$I$89,3,0)*0.475*44/12</f>
        <v>4.8254962846626945</v>
      </c>
      <c r="ED86" s="22">
        <f t="shared" si="72"/>
        <v>58.699487057136309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>
        <f>VLOOKUP(A86,'Données projet'!$A$191:$I$211,2,0)</f>
        <v>306.11</v>
      </c>
      <c r="EH86" s="12">
        <f>VLOOKUP(A86,'Données projet'!$A$191:$I$211,9,0)</f>
        <v>9.4837500000000006</v>
      </c>
      <c r="EI86" s="12">
        <f t="array" ref="EI86">INDEX(EH:EH,MIN(IF(ISNUMBER(EH86:EH282),ROW(EH86:EH282),"")))</f>
        <v>9.4837500000000006</v>
      </c>
      <c r="EJ86" s="12">
        <f>IF('Données projet'!$A$192&gt;35,EJ85+EI86-ER85,IF(A86&lt;'Données projet'!$A$192,$EG$205^A86,IF(A86='Données projet'!$A$192,'Données projet'!$B$192,EJ85+EI86-ER85)))</f>
        <v>306.1099999999999</v>
      </c>
      <c r="EK86" s="17">
        <f>EJ86*VLOOKUP('Données projet'!$B$15,Paramètres!$A$1:$I$89,3,0)*VLOOKUP('Données projet'!$B$15,Paramètres!$A$1:$I$89,5,0)</f>
        <v>329.49680399999988</v>
      </c>
      <c r="EL86" s="13">
        <f t="shared" si="99"/>
        <v>77.325972539126184</v>
      </c>
      <c r="EM86" s="20">
        <f t="shared" si="73"/>
        <v>708.54966913897795</v>
      </c>
      <c r="EN86" s="59">
        <f t="shared" si="74"/>
        <v>980.43441461608143</v>
      </c>
      <c r="EO86" s="59">
        <f ca="1">AVERAGE(OFFSET($EN$3,0,0,'Données projet'!$E$15+1,1))-AVERAGE(OFFSET($H$3,0,0,'Données projet'!$E$15+1,1))</f>
        <v>539.72194201710272</v>
      </c>
      <c r="EP86" s="59">
        <f t="shared" si="100"/>
        <v>340.76505385159362</v>
      </c>
      <c r="EQ86" s="15">
        <f>IF(ISNA(VLOOKUP(A86,'Données projet'!$A$191:$I$211,3,0)),0,VLOOKUP(A86,'Données projet'!$A$191:$I$211,3,0))</f>
        <v>7</v>
      </c>
      <c r="ER86" s="15">
        <f>IF(ISNA(VLOOKUP(A86,'Données projet'!$A$191:$I$211,4,0)),0,VLOOKUP(A86,'Données projet'!$A$191:$I$211,4,0))</f>
        <v>49.980000000000018</v>
      </c>
      <c r="ES86" s="16">
        <f>IF(ISNA(VLOOKUP(A86,'Données projet'!$A$191:$I$211,5,0)),0%,VLOOKUP(A86,'Données projet'!$A$191:$I$211,5,0)*VLOOKUP('Données projet'!$B$15,Paramètres!$A$1:$I$89,7,0))</f>
        <v>0.15049999999999999</v>
      </c>
      <c r="ET86" s="16">
        <f>IF(ISNA(VLOOKUP(A86,'Données projet'!$A$191:$I$211,6,0)),0%,VLOOKUP(A86,'Données projet'!$A$191:$I$211,6,0)*VLOOKUP('Données projet'!$B$15,Paramètres!$A$1:$I$89,7,0))</f>
        <v>8.6000000000000007E-2</v>
      </c>
      <c r="EU86" s="16">
        <f>IF(ISNA(VLOOKUP(A86,'Données projet'!$A$191:$I$211,7,0)),0%,VLOOKUP(A86,'Données projet'!$A$191:$I$211,7,0))</f>
        <v>0.1</v>
      </c>
      <c r="EV86" s="21">
        <f>EXP(-LN(2)/35)*EV85+(1-EXP(-LN(2)/35))/(LN(2)/35)*ER86*ES86*VLOOKUP('Données projet'!$B$15,Paramètres!$A$1:$I$89,3,0)*0.475*44/12</f>
        <v>30.111462120984861</v>
      </c>
      <c r="EW86" s="21">
        <f>EXP(-LN(2)/25)*EW85+(1-EXP(-LN(2)/25))/(LN(2)/25)*Calculateur!ER86*Calculateur!ET86*VLOOKUP('Données projet'!$B$15,Paramètres!$A$1:$I$89,3,0)*0.475*44/12</f>
        <v>29.845075996768024</v>
      </c>
      <c r="EX86" s="21">
        <f>EXP(-LN(2)/2)*EX85+(1-EXP(-LN(2)/2))/(LN(2)/2)*ER86*EU86*VLOOKUP('Données projet'!$B$15,Paramètres!$A$1:$I$89,3,0)*0.475*44/12</f>
        <v>5.3703103813181592</v>
      </c>
      <c r="EY86" s="22">
        <f t="shared" si="75"/>
        <v>65.326848499071048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>
        <f>FE86*VLOOKUP('Données projet'!$B$16,Paramètres!$A$1:$I$89,3,0)*VLOOKUP('Données projet'!$B$16,Paramètres!$A$1:$I$89,5,0)</f>
        <v>0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383.47860767209028</v>
      </c>
      <c r="FK86" s="59">
        <f t="shared" si="102"/>
        <v>370.49129421395628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49.944114482300584</v>
      </c>
      <c r="FR86" s="21">
        <f>EXP(-LN(2)/25)*FR85+(1-EXP(-LN(2)/25))/(LN(2)/25)*Calculateur!FM86*Calculateur!FO86*VLOOKUP('Données projet'!$B$16,Paramètres!$A$1:$I$89,3,0)*0.475*44/12</f>
        <v>48.153507010449026</v>
      </c>
      <c r="FS86" s="21">
        <f>EXP(-LN(2)/2)*FS85+(1-EXP(-LN(2)/2))/(LN(2)/2)*FM86*FP86*VLOOKUP('Données projet'!$B$16,Paramètres!$A$1:$I$89,3,0)*0.475*44/12</f>
        <v>22.502000536679351</v>
      </c>
      <c r="FT86" s="22">
        <f t="shared" si="78"/>
        <v>120.59962202942896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6.7444444444444462</v>
      </c>
      <c r="FZ86" s="12">
        <f>IF('Données projet'!$A$244&gt;35,FZ85+FY86-GH85,IF(A86&lt;'Données projet'!$A$244,$FW$205^A86,IF(A86='Données projet'!$A$244,'Données projet'!$B$244,FZ85+FY86-GH85)))</f>
        <v>209.03666666666666</v>
      </c>
      <c r="GA86" s="17">
        <f>FZ86*VLOOKUP('Données projet'!$B$17,Paramètres!$A$1:$I$89,3,0)*VLOOKUP('Données projet'!$B$17,Paramètres!$A$1:$I$89,5,0)</f>
        <v>238.05095600000001</v>
      </c>
      <c r="GB86" s="13">
        <f t="shared" si="103"/>
        <v>58.019985368316512</v>
      </c>
      <c r="GC86" s="20">
        <f t="shared" si="79"/>
        <v>515.65688954981795</v>
      </c>
      <c r="GD86" s="59">
        <f t="shared" si="80"/>
        <v>787.54163502692143</v>
      </c>
      <c r="GE86" s="59">
        <f ca="1">AVERAGE(OFFSET($GD$3,0,0,'Données projet'!$E$17+1,1))-AVERAGE(OFFSET($H$3,0,0,'Données projet'!$E$17+1,1))</f>
        <v>640.05156427113661</v>
      </c>
      <c r="GF86" s="59">
        <f t="shared" si="104"/>
        <v>308.77220155372902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41.366270133037361</v>
      </c>
      <c r="GN86" s="21">
        <f>EXP(-LN(2)/2)*GN85+(1-EXP(-LN(2)/2))/(LN(2)/2)*GH86*GK86*VLOOKUP('Données projet'!$B$17,Paramètres!$A$1:$I$89,3,0)*0.475*44/12</f>
        <v>0.98826147320459434</v>
      </c>
      <c r="GO86" s="21">
        <f t="shared" si="81"/>
        <v>42.354531606241956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11.905555555555553</v>
      </c>
      <c r="N87" s="13">
        <f>IF('Données projet'!$A$36&gt;35,N86+M87-V86,IF(A87&lt;'Données projet'!$A$36,$K$205^A87,IF(A87='Données projet'!$A$36,'Données projet'!$B$36,N86+M87-V86)))</f>
        <v>381.59666666666647</v>
      </c>
      <c r="O87" s="13">
        <f>N87*VLOOKUP('Données projet'!$B$9,Paramètres!$A$1:$I$89,3,0)*VLOOKUP('Données projet'!$B$9,Paramètres!$A$1:$I$89,5,0)</f>
        <v>321.45703199999986</v>
      </c>
      <c r="P87" s="13">
        <f t="shared" si="87"/>
        <v>75.656437304576173</v>
      </c>
      <c r="Q87" s="20">
        <f t="shared" si="54"/>
        <v>691.63929237213654</v>
      </c>
      <c r="R87" s="59">
        <f t="shared" si="55"/>
        <v>963.89612289668685</v>
      </c>
      <c r="S87" s="59">
        <f ca="1">AVERAGE(OFFSET($R$3,0,0,'Données projet'!$E$9+1,1))-AVERAGE(OFFSET($H$3,0,0,'Données projet'!$E$9+1,1))</f>
        <v>456.35333554128226</v>
      </c>
      <c r="T87" s="59">
        <f t="shared" si="88"/>
        <v>296.4517290984877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41.385823025318729</v>
      </c>
      <c r="AA87" s="21">
        <f>EXP(-LN(2)/25)*AA86+(1-EXP(-LN(2)/25))/(LN(2)/25)*Calculateur!V87*Calculateur!X87*VLOOKUP('Données projet'!$B$9,Paramètres!$A$1:$I$89,3,0)*0.475*44/12</f>
        <v>26.846690634536611</v>
      </c>
      <c r="AB87" s="21">
        <f>EXP(-LN(2)/2)*AB86+(1-EXP(-LN(2)/2))/(LN(2)/2)*V87*Y87*VLOOKUP('Données projet'!$B$9,Paramètres!$A$1:$I$89,3,0)*0.475*44/12</f>
        <v>8.8895616590030216E-2</v>
      </c>
      <c r="AC87" s="22">
        <f t="shared" si="57"/>
        <v>68.32140927644538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408.246209980743</v>
      </c>
      <c r="AO87" s="59">
        <f t="shared" si="90"/>
        <v>394.10236303013903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52.731259387912566</v>
      </c>
      <c r="AV87" s="21">
        <f>EXP(-LN(2)/25)*AV86+(1-EXP(-LN(2)/25))/(LN(2)/25)*Calculateur!AQ87*Calculateur!AS87*VLOOKUP('Données projet'!$B$10,Paramètres!$A$1:$I$89,3,0)*0.475*44/12</f>
        <v>50.439573508116595</v>
      </c>
      <c r="AW87" s="21">
        <f>EXP(-LN(2)/2)*AW86+(1-EXP(-LN(2)/2))/(LN(2)/2)*AQ87*AT87*VLOOKUP('Données projet'!$B$10,Paramètres!$A$1:$I$89,3,0)*0.475*44/12</f>
        <v>17.135264644345398</v>
      </c>
      <c r="AX87" s="21">
        <f t="shared" si="60"/>
        <v>120.30609754037457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6.7444444444444462</v>
      </c>
      <c r="BD87" s="12">
        <f>IF('Données projet'!$A$88&gt;35,BD86+BC87-BL86,IF(A87&lt;'Données projet'!$A$88,$BA$205^A87,IF(A87='Données projet'!$A$88,'Données projet'!$B$88,BD86+BC87-BL86)))</f>
        <v>215.7811111111111</v>
      </c>
      <c r="BE87" s="13">
        <f>BD87*VLOOKUP('Données projet'!$B$11,Paramètres!$A$1:$I$89,3,0)*VLOOKUP('Données projet'!$B$11,Paramètres!$A$1:$I$89,5,0)</f>
        <v>218.80204666666666</v>
      </c>
      <c r="BF87" s="13">
        <f t="shared" si="91"/>
        <v>53.854433800339066</v>
      </c>
      <c r="BG87" s="20">
        <f t="shared" si="61"/>
        <v>474.87670348003502</v>
      </c>
      <c r="BH87" s="59">
        <f t="shared" si="62"/>
        <v>747.13353400458527</v>
      </c>
      <c r="BI87" s="59">
        <f ca="1">AVERAGE(OFFSET($BH$3,0,0,'Données projet'!$E$11+1,1))-AVERAGE(OFFSET($H$3,0,0,'Données projet'!$E$11+1,1))</f>
        <v>580.02848304986492</v>
      </c>
      <c r="BJ87" s="59">
        <f t="shared" si="92"/>
        <v>281.68891895586728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35.825780473396854</v>
      </c>
      <c r="BR87" s="21">
        <f>EXP(-LN(2)/2)*BR86+(1-EXP(-LN(2)/2))/(LN(2)/2)*BL87*BO87*VLOOKUP('Données projet'!$B$11,Paramètres!$A$1:$I$89,3,0)*0.475*44/12</f>
        <v>0.62222486717458159</v>
      </c>
      <c r="BS87" s="22">
        <f t="shared" si="63"/>
        <v>36.448005340571434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5.6843418860808015E-14</v>
      </c>
      <c r="BZ87" s="13">
        <f>BY87*VLOOKUP('Données projet'!$B$12,Paramètres!$A$1:$I$89,3,0)*VLOOKUP('Données projet'!$B$12,Paramètres!$A$1:$I$89,5,0)</f>
        <v>4.4337866711430253E-14</v>
      </c>
      <c r="CA87" s="13">
        <f t="shared" si="93"/>
        <v>7.3222115536967035E-13</v>
      </c>
      <c r="CB87" s="20">
        <f t="shared" si="64"/>
        <v>1.3525069634579169E-12</v>
      </c>
      <c r="CC87" s="59">
        <f t="shared" si="65"/>
        <v>272.25683052455167</v>
      </c>
      <c r="CD87" s="59">
        <f ca="1">AVERAGE(OFFSET($CC$3,0,0,'Données projet'!$E$12+1,1))-AVERAGE(OFFSET($H$3,0,0,'Données projet'!$E$12+1,1))</f>
        <v>308.85018589589453</v>
      </c>
      <c r="CE87" s="59">
        <f t="shared" si="94"/>
        <v>302.59481222418219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31.947822241663669</v>
      </c>
      <c r="CL87" s="21">
        <f>EXP(-LN(2)/25)*CL86+(1-EXP(-LN(2)/25))/(LN(2)/25)*Calculateur!CG87*Calculateur!CI87*VLOOKUP('Données projet'!$B$12,Paramètres!$A$1:$I$89,3,0)*0.475*44/12</f>
        <v>27.9308037237641</v>
      </c>
      <c r="CM87" s="21">
        <f>EXP(-LN(2)/2)*CM86+(1-EXP(-LN(2)/2))/(LN(2)/2)*CG87*CJ87*VLOOKUP('Données projet'!$B$12,Paramètres!$A$1:$I$89,3,0)*0.475*44/12</f>
        <v>0.33563277272619879</v>
      </c>
      <c r="CN87" s="22">
        <f t="shared" si="66"/>
        <v>60.214258738153973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4.1025641025640995</v>
      </c>
      <c r="CT87" s="12">
        <f>IF('Données projet'!$A$140&gt;35,CT86+CS87-DB86,IF(A87&lt;'Données projet'!$A$140,$CQ$205^A87,IF(A87='Données projet'!$A$140,'Données projet'!$B$140,CT86+CS87-DB86)))</f>
        <v>272.17948717948724</v>
      </c>
      <c r="CU87" s="17">
        <f>CT87*VLOOKUP('Données projet'!$B$13,Paramètres!$A$1:$I$89,3,0)*VLOOKUP('Données projet'!$B$13,Paramètres!$A$1:$I$89,5,0)</f>
        <v>182.57800000000006</v>
      </c>
      <c r="CV87" s="13">
        <f t="shared" si="95"/>
        <v>45.895268107941853</v>
      </c>
      <c r="CW87" s="20">
        <f t="shared" si="67"/>
        <v>397.92427528799885</v>
      </c>
      <c r="CX87" s="59">
        <f t="shared" si="68"/>
        <v>670.18110581254916</v>
      </c>
      <c r="CY87" s="59">
        <f ca="1">AVERAGE(OFFSET($CX$3,0,0,'Données projet'!$E$13+1,1))-AVERAGE(OFFSET($H$3,0,0,'Données projet'!$E$13+1,1))</f>
        <v>335.73816489539837</v>
      </c>
      <c r="CZ87" s="59">
        <f t="shared" si="96"/>
        <v>254.09787950201044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5.1291132400273964</v>
      </c>
      <c r="DG87" s="21">
        <f>EXP(-LN(2)/25)*DG86+(1-EXP(-LN(2)/25))/(LN(2)/25)*Calculateur!DB87*Calculateur!DD87*VLOOKUP('Données projet'!$B$13,Paramètres!$A$1:$I$89,3,0)*0.475*44/12</f>
        <v>8.4316601340198893</v>
      </c>
      <c r="DH87" s="21">
        <f>EXP(-LN(2)/2)*DH86+(1-EXP(-LN(2)/2))/(LN(2)/2)*DB87*DE87*VLOOKUP('Données projet'!$B$13,Paramètres!$A$1:$I$89,3,0)*0.475*44/12</f>
        <v>0.62235296644368843</v>
      </c>
      <c r="DI87" s="22">
        <f t="shared" si="69"/>
        <v>14.183126340490976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9.2740000000000009</v>
      </c>
      <c r="DO87" s="12">
        <f>IF('Données projet'!$A$166&gt;35,DO86+DN87-DW86,IF(A87&lt;'Données projet'!$A$166,$DL$205^A87,IF(A87='Données projet'!$A$166,'Données projet'!$B$166,DO86+DN87-DW86)))</f>
        <v>265.40399999999988</v>
      </c>
      <c r="DP87" s="17">
        <f>DO87*VLOOKUP('Données projet'!$B$14,Paramètres!$A$1:$I$89,3,0)*VLOOKUP('Données projet'!$B$14,Paramètres!$A$1:$I$89,5,0)</f>
        <v>256.69874879999992</v>
      </c>
      <c r="DQ87" s="13">
        <f t="shared" si="97"/>
        <v>62.018162123256175</v>
      </c>
      <c r="DR87" s="20">
        <f t="shared" si="70"/>
        <v>555.09861985800433</v>
      </c>
      <c r="DS87" s="59">
        <f t="shared" si="71"/>
        <v>827.35545038255464</v>
      </c>
      <c r="DT87" s="59">
        <f ca="1">AVERAGE(OFFSET($DS$3,0,0,'Données projet'!$E$14+1,1))-AVERAGE(OFFSET($H$3,0,0,'Données projet'!$E$14+1,1))</f>
        <v>493.03862850474161</v>
      </c>
      <c r="DU87" s="59">
        <f t="shared" si="98"/>
        <v>312.51819065560528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26.526111193162116</v>
      </c>
      <c r="EB87" s="21">
        <f>EXP(-LN(2)/25)*EB86+(1-EXP(-LN(2)/25))/(LN(2)/25)*Calculateur!DW87*Calculateur!DY87*VLOOKUP('Données projet'!$B$14,Paramètres!$A$1:$I$89,3,0)*0.475*44/12</f>
        <v>26.083993784020695</v>
      </c>
      <c r="EC87" s="21">
        <f>EXP(-LN(2)/2)*EC86+(1-EXP(-LN(2)/2))/(LN(2)/2)*DW87*DZ87*VLOOKUP('Données projet'!$B$14,Paramètres!$A$1:$I$89,3,0)*0.475*44/12</f>
        <v>3.4121411454754824</v>
      </c>
      <c r="ED87" s="22">
        <f t="shared" si="72"/>
        <v>56.022246122658295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9.2740000000000009</v>
      </c>
      <c r="EJ87" s="12">
        <f>IF('Données projet'!$A$192&gt;35,EJ86+EI87-ER86,IF(A87&lt;'Données projet'!$A$192,$EG$205^A87,IF(A87='Données projet'!$A$192,'Données projet'!$B$192,EJ86+EI87-ER86)))</f>
        <v>265.40399999999988</v>
      </c>
      <c r="EK87" s="17">
        <f>EJ87*VLOOKUP('Données projet'!$B$15,Paramètres!$A$1:$I$89,3,0)*VLOOKUP('Données projet'!$B$15,Paramètres!$A$1:$I$89,5,0)</f>
        <v>285.68086559999989</v>
      </c>
      <c r="EL87" s="13">
        <f t="shared" si="99"/>
        <v>68.166132081271343</v>
      </c>
      <c r="EM87" s="20">
        <f t="shared" si="73"/>
        <v>616.28352096154731</v>
      </c>
      <c r="EN87" s="59">
        <f t="shared" si="74"/>
        <v>888.54035148609762</v>
      </c>
      <c r="EO87" s="59">
        <f ca="1">AVERAGE(OFFSET($EN$3,0,0,'Données projet'!$E$15+1,1))-AVERAGE(OFFSET($H$3,0,0,'Données projet'!$E$15+1,1))</f>
        <v>539.72194201710272</v>
      </c>
      <c r="EP87" s="59">
        <f t="shared" si="100"/>
        <v>340.76505385159362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29.520994714970733</v>
      </c>
      <c r="EW87" s="21">
        <f>EXP(-LN(2)/25)*EW86+(1-EXP(-LN(2)/25))/(LN(2)/25)*Calculateur!ER87*Calculateur!ET87*VLOOKUP('Données projet'!$B$15,Paramètres!$A$1:$I$89,3,0)*0.475*44/12</f>
        <v>29.028960824152069</v>
      </c>
      <c r="EX87" s="21">
        <f>EXP(-LN(2)/2)*EX86+(1-EXP(-LN(2)/2))/(LN(2)/2)*ER87*EU87*VLOOKUP('Données projet'!$B$15,Paramètres!$A$1:$I$89,3,0)*0.475*44/12</f>
        <v>3.7973828877065845</v>
      </c>
      <c r="EY87" s="22">
        <f t="shared" si="75"/>
        <v>62.347338426829388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>
        <f>FE87*VLOOKUP('Données projet'!$B$16,Paramètres!$A$1:$I$89,3,0)*VLOOKUP('Données projet'!$B$16,Paramètres!$A$1:$I$89,5,0)</f>
        <v>0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383.47860767209028</v>
      </c>
      <c r="FK87" s="59">
        <f t="shared" si="102"/>
        <v>370.49129421395628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48.964740860204543</v>
      </c>
      <c r="FR87" s="21">
        <f>EXP(-LN(2)/25)*FR86+(1-EXP(-LN(2)/25))/(LN(2)/25)*Calculateur!FM87*Calculateur!FO87*VLOOKUP('Données projet'!$B$16,Paramètres!$A$1:$I$89,3,0)*0.475*44/12</f>
        <v>46.836746828965417</v>
      </c>
      <c r="FS87" s="21">
        <f>EXP(-LN(2)/2)*FS86+(1-EXP(-LN(2)/2))/(LN(2)/2)*FM87*FP87*VLOOKUP('Données projet'!$B$16,Paramètres!$A$1:$I$89,3,0)*0.475*44/12</f>
        <v>15.911317169749301</v>
      </c>
      <c r="FT87" s="22">
        <f t="shared" si="78"/>
        <v>111.71280485891926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6.7444444444444462</v>
      </c>
      <c r="FZ87" s="12">
        <f>IF('Données projet'!$A$244&gt;35,FZ86+FY87-GH86,IF(A87&lt;'Données projet'!$A$244,$FW$205^A87,IF(A87='Données projet'!$A$244,'Données projet'!$B$244,FZ86+FY87-GH86)))</f>
        <v>215.7811111111111</v>
      </c>
      <c r="GA87" s="17">
        <f>FZ87*VLOOKUP('Données projet'!$B$17,Paramètres!$A$1:$I$89,3,0)*VLOOKUP('Données projet'!$B$17,Paramètres!$A$1:$I$89,5,0)</f>
        <v>245.73152933333333</v>
      </c>
      <c r="GB87" s="13">
        <f t="shared" si="103"/>
        <v>59.67099800837255</v>
      </c>
      <c r="GC87" s="20">
        <f t="shared" si="79"/>
        <v>531.90940178680432</v>
      </c>
      <c r="GD87" s="59">
        <f t="shared" si="80"/>
        <v>804.16623231135463</v>
      </c>
      <c r="GE87" s="59">
        <f ca="1">AVERAGE(OFFSET($GD$3,0,0,'Données projet'!$E$17+1,1))-AVERAGE(OFFSET($H$3,0,0,'Données projet'!$E$17+1,1))</f>
        <v>640.05156427113661</v>
      </c>
      <c r="GF87" s="59">
        <f t="shared" si="104"/>
        <v>308.77220155372902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40.235107300891855</v>
      </c>
      <c r="GN87" s="21">
        <f>EXP(-LN(2)/2)*GN86+(1-EXP(-LN(2)/2))/(LN(2)/2)*GH87*GK87*VLOOKUP('Données projet'!$B$17,Paramètres!$A$1:$I$89,3,0)*0.475*44/12</f>
        <v>0.69880638928837624</v>
      </c>
      <c r="GO87" s="21">
        <f t="shared" si="81"/>
        <v>40.933913690180233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11.905555555555553</v>
      </c>
      <c r="N88" s="13">
        <f>IF('Données projet'!$A$36&gt;35,N87+M88-V87,IF(A88&lt;'Données projet'!$A$36,$K$205^A88,IF(A88='Données projet'!$A$36,'Données projet'!$B$36,N87+M88-V87)))</f>
        <v>393.50222222222203</v>
      </c>
      <c r="O88" s="13">
        <f>N88*VLOOKUP('Données projet'!$B$9,Paramètres!$A$1:$I$89,3,0)*VLOOKUP('Données projet'!$B$9,Paramètres!$A$1:$I$89,5,0)</f>
        <v>331.48627199999987</v>
      </c>
      <c r="P88" s="13">
        <f t="shared" si="87"/>
        <v>77.738368640761308</v>
      </c>
      <c r="Q88" s="20">
        <f t="shared" si="54"/>
        <v>712.73291578265901</v>
      </c>
      <c r="R88" s="59">
        <f t="shared" si="55"/>
        <v>985.35537651094046</v>
      </c>
      <c r="S88" s="59">
        <f ca="1">AVERAGE(OFFSET($R$3,0,0,'Données projet'!$E$9+1,1))-AVERAGE(OFFSET($H$3,0,0,'Données projet'!$E$9+1,1))</f>
        <v>456.35333554128226</v>
      </c>
      <c r="T88" s="59">
        <f t="shared" si="88"/>
        <v>296.4517290984877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40.574272278651748</v>
      </c>
      <c r="AA88" s="21">
        <f>EXP(-LN(2)/25)*AA87+(1-EXP(-LN(2)/25))/(LN(2)/25)*Calculateur!V88*Calculateur!X88*VLOOKUP('Données projet'!$B$9,Paramètres!$A$1:$I$89,3,0)*0.475*44/12</f>
        <v>26.112566467329106</v>
      </c>
      <c r="AB88" s="21">
        <f>EXP(-LN(2)/2)*AB87+(1-EXP(-LN(2)/2))/(LN(2)/2)*V88*Y88*VLOOKUP('Données projet'!$B$9,Paramètres!$A$1:$I$89,3,0)*0.475*44/12</f>
        <v>6.2858693308569719E-2</v>
      </c>
      <c r="AC88" s="22">
        <f t="shared" si="57"/>
        <v>66.74969743928942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408.246209980743</v>
      </c>
      <c r="AO88" s="59">
        <f t="shared" si="90"/>
        <v>394.10236303013903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51.697231554208003</v>
      </c>
      <c r="AV88" s="21">
        <f>EXP(-LN(2)/25)*AV87+(1-EXP(-LN(2)/25))/(LN(2)/25)*Calculateur!AQ88*Calculateur!AS88*VLOOKUP('Données projet'!$B$10,Paramètres!$A$1:$I$89,3,0)*0.475*44/12</f>
        <v>49.060300718035258</v>
      </c>
      <c r="AW88" s="21">
        <f>EXP(-LN(2)/2)*AW87+(1-EXP(-LN(2)/2))/(LN(2)/2)*AQ88*AT88*VLOOKUP('Données projet'!$B$10,Paramètres!$A$1:$I$89,3,0)*0.475*44/12</f>
        <v>12.116461827442727</v>
      </c>
      <c r="AX88" s="21">
        <f t="shared" si="60"/>
        <v>112.87399409968597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6.7444444444444462</v>
      </c>
      <c r="BD88" s="12">
        <f>IF('Données projet'!$A$88&gt;35,BD87+BC88-BL87,IF(A88&lt;'Données projet'!$A$88,$BA$205^A88,IF(A88='Données projet'!$A$88,'Données projet'!$B$88,BD87+BC88-BL87)))</f>
        <v>222.52555555555554</v>
      </c>
      <c r="BE88" s="13">
        <f>BD88*VLOOKUP('Données projet'!$B$11,Paramètres!$A$1:$I$89,3,0)*VLOOKUP('Données projet'!$B$11,Paramètres!$A$1:$I$89,5,0)</f>
        <v>225.64091333333332</v>
      </c>
      <c r="BF88" s="13">
        <f t="shared" si="91"/>
        <v>55.339098017434395</v>
      </c>
      <c r="BG88" s="20">
        <f t="shared" si="61"/>
        <v>489.37351976925379</v>
      </c>
      <c r="BH88" s="59">
        <f t="shared" si="62"/>
        <v>761.99598049753536</v>
      </c>
      <c r="BI88" s="59">
        <f ca="1">AVERAGE(OFFSET($BH$3,0,0,'Données projet'!$E$11+1,1))-AVERAGE(OFFSET($H$3,0,0,'Données projet'!$E$11+1,1))</f>
        <v>580.02848304986492</v>
      </c>
      <c r="BJ88" s="59">
        <f t="shared" si="92"/>
        <v>281.68891895586728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34.8461226223559</v>
      </c>
      <c r="BR88" s="21">
        <f>EXP(-LN(2)/2)*BR87+(1-EXP(-LN(2)/2))/(LN(2)/2)*BL88*BO88*VLOOKUP('Données projet'!$B$11,Paramètres!$A$1:$I$89,3,0)*0.475*44/12</f>
        <v>0.43997942300204551</v>
      </c>
      <c r="BS88" s="22">
        <f t="shared" si="63"/>
        <v>35.286102045357943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5.6843418860808015E-14</v>
      </c>
      <c r="BZ88" s="13">
        <f>BY88*VLOOKUP('Données projet'!$B$12,Paramètres!$A$1:$I$89,3,0)*VLOOKUP('Données projet'!$B$12,Paramètres!$A$1:$I$89,5,0)</f>
        <v>4.4337866711430253E-14</v>
      </c>
      <c r="CA88" s="13">
        <f t="shared" si="93"/>
        <v>7.3222115536967035E-13</v>
      </c>
      <c r="CB88" s="20">
        <f t="shared" si="64"/>
        <v>1.3525069634579169E-12</v>
      </c>
      <c r="CC88" s="59">
        <f t="shared" si="65"/>
        <v>272.62246072828287</v>
      </c>
      <c r="CD88" s="59">
        <f ca="1">AVERAGE(OFFSET($CC$3,0,0,'Données projet'!$E$12+1,1))-AVERAGE(OFFSET($H$3,0,0,'Données projet'!$E$12+1,1))</f>
        <v>308.85018589589453</v>
      </c>
      <c r="CE88" s="59">
        <f t="shared" si="94"/>
        <v>302.59481222418219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31.321344933752105</v>
      </c>
      <c r="CL88" s="21">
        <f>EXP(-LN(2)/25)*CL87+(1-EXP(-LN(2)/25))/(LN(2)/25)*Calculateur!CG88*Calculateur!CI88*VLOOKUP('Données projet'!$B$12,Paramètres!$A$1:$I$89,3,0)*0.475*44/12</f>
        <v>27.16703442712064</v>
      </c>
      <c r="CM88" s="21">
        <f>EXP(-LN(2)/2)*CM87+(1-EXP(-LN(2)/2))/(LN(2)/2)*CG88*CJ88*VLOOKUP('Données projet'!$B$12,Paramètres!$A$1:$I$89,3,0)*0.475*44/12</f>
        <v>0.23732820958313849</v>
      </c>
      <c r="CN88" s="22">
        <f t="shared" si="66"/>
        <v>58.725707570455882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276.28205128205127</v>
      </c>
      <c r="CR88" s="12">
        <f>VLOOKUP(A88,'Données projet'!$A$139:$I$159,9,0)</f>
        <v>4.1025641025640995</v>
      </c>
      <c r="CS88" s="12">
        <f t="array" ref="CS88">INDEX(CR:CR,MIN(IF(ISNUMBER(CR88:CR284),ROW(CR88:CR284),"")))</f>
        <v>4.1025641025640995</v>
      </c>
      <c r="CT88" s="12">
        <f>IF('Données projet'!$A$140&gt;35,CT87+CS88-DB87,IF(A88&lt;'Données projet'!$A$140,$CQ$205^A88,IF(A88='Données projet'!$A$140,'Données projet'!$B$140,CT87+CS88-DB87)))</f>
        <v>276.28205128205133</v>
      </c>
      <c r="CU88" s="17">
        <f>CT88*VLOOKUP('Données projet'!$B$13,Paramètres!$A$1:$I$89,3,0)*VLOOKUP('Données projet'!$B$13,Paramètres!$A$1:$I$89,5,0)</f>
        <v>185.33000000000004</v>
      </c>
      <c r="CV88" s="13">
        <f t="shared" si="95"/>
        <v>46.505991525491268</v>
      </c>
      <c r="CW88" s="20">
        <f t="shared" si="67"/>
        <v>403.78101857356393</v>
      </c>
      <c r="CX88" s="59">
        <f t="shared" si="68"/>
        <v>676.40347930184544</v>
      </c>
      <c r="CY88" s="59">
        <f ca="1">AVERAGE(OFFSET($CX$3,0,0,'Données projet'!$E$13+1,1))-AVERAGE(OFFSET($H$3,0,0,'Données projet'!$E$13+1,1))</f>
        <v>335.73816489539837</v>
      </c>
      <c r="CZ88" s="59">
        <f t="shared" si="96"/>
        <v>254.09787950201044</v>
      </c>
      <c r="DA88" s="15">
        <f>IF(ISNA(VLOOKUP(A88,'Données projet'!$A$139:$I$159,3,0)),0,VLOOKUP(A88,'Données projet'!$A$139:$I$159,3,0))</f>
        <v>15</v>
      </c>
      <c r="DB88" s="15">
        <f>IF(ISNA(VLOOKUP(A88,'Données projet'!$A$139:$I$159,4,0)),0,VLOOKUP(A88,'Données projet'!$A$139:$I$159,4,0))</f>
        <v>12.179487179487179</v>
      </c>
      <c r="DC88" s="16">
        <f>IF(ISNA(VLOOKUP(A88,'Données projet'!$A$139:$I$159,5,0)),0%,VLOOKUP(A88,'Données projet'!$A$139:$I$159,5,0)*VLOOKUP('Données projet'!$B$13,Paramètres!$A$1:$I$89,7,0))</f>
        <v>0.13250000000000001</v>
      </c>
      <c r="DD88" s="16">
        <f>IF(ISNA(VLOOKUP(A88,'Données projet'!$A$139:$I$159,6,0)),0%,VLOOKUP(A88,'Données projet'!$A$139:$I$159,6,0)*VLOOKUP('Données projet'!$B$13,Paramètres!$A$1:$I$89,7,0))</f>
        <v>0.13250000000000001</v>
      </c>
      <c r="DE88" s="16">
        <f>IF(ISNA(VLOOKUP(A88,'Données projet'!$A$139:$I$159,7,0)),0%,VLOOKUP(A88,'Données projet'!$A$139:$I$159,7,0))</f>
        <v>0.25</v>
      </c>
      <c r="DF88" s="21">
        <f>EXP(-LN(2)/35)*DF87+(1-EXP(-LN(2)/35))/(LN(2)/35)*DB88*DC88*VLOOKUP('Données projet'!$B$13,Paramètres!$A$1:$I$89,3,0)*0.475*44/12</f>
        <v>6.2252337804445341</v>
      </c>
      <c r="DG88" s="21">
        <f>EXP(-LN(2)/25)*DG87+(1-EXP(-LN(2)/25))/(LN(2)/25)*Calculateur!DB88*Calculateur!DD88*VLOOKUP('Données projet'!$B$13,Paramètres!$A$1:$I$89,3,0)*0.475*44/12</f>
        <v>9.3930834056460046</v>
      </c>
      <c r="DH88" s="21">
        <f>EXP(-LN(2)/2)*DH87+(1-EXP(-LN(2)/2))/(LN(2)/2)*DB88*DE88*VLOOKUP('Données projet'!$B$13,Paramètres!$A$1:$I$89,3,0)*0.475*44/12</f>
        <v>2.3672237259454016</v>
      </c>
      <c r="DI88" s="22">
        <f t="shared" si="69"/>
        <v>17.98554091203594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9.2740000000000009</v>
      </c>
      <c r="DO88" s="12">
        <f>IF('Données projet'!$A$166&gt;35,DO87+DN88-DW87,IF(A88&lt;'Données projet'!$A$166,$DL$205^A88,IF(A88='Données projet'!$A$166,'Données projet'!$B$166,DO87+DN88-DW87)))</f>
        <v>274.67799999999988</v>
      </c>
      <c r="DP88" s="17">
        <f>DO88*VLOOKUP('Données projet'!$B$14,Paramètres!$A$1:$I$89,3,0)*VLOOKUP('Données projet'!$B$14,Paramètres!$A$1:$I$89,5,0)</f>
        <v>265.66856159999992</v>
      </c>
      <c r="DQ88" s="13">
        <f t="shared" si="97"/>
        <v>63.929165310227916</v>
      </c>
      <c r="DR88" s="20">
        <f t="shared" si="70"/>
        <v>574.04937436864668</v>
      </c>
      <c r="DS88" s="59">
        <f t="shared" si="71"/>
        <v>846.67183509692813</v>
      </c>
      <c r="DT88" s="59">
        <f ca="1">AVERAGE(OFFSET($DS$3,0,0,'Données projet'!$E$14+1,1))-AVERAGE(OFFSET($H$3,0,0,'Données projet'!$E$14+1,1))</f>
        <v>493.03862850474161</v>
      </c>
      <c r="DU88" s="59">
        <f t="shared" si="98"/>
        <v>312.51819065560528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26.005950331994459</v>
      </c>
      <c r="EB88" s="21">
        <f>EXP(-LN(2)/25)*EB87+(1-EXP(-LN(2)/25))/(LN(2)/25)*Calculateur!DW88*Calculateur!DY88*VLOOKUP('Données projet'!$B$14,Paramètres!$A$1:$I$89,3,0)*0.475*44/12</f>
        <v>25.370725602299032</v>
      </c>
      <c r="EC88" s="21">
        <f>EXP(-LN(2)/2)*EC87+(1-EXP(-LN(2)/2))/(LN(2)/2)*DW88*DZ88*VLOOKUP('Données projet'!$B$14,Paramètres!$A$1:$I$89,3,0)*0.475*44/12</f>
        <v>2.4127481423313477</v>
      </c>
      <c r="ED88" s="22">
        <f t="shared" si="72"/>
        <v>53.789424076624833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9.2740000000000009</v>
      </c>
      <c r="EJ88" s="12">
        <f>IF('Données projet'!$A$192&gt;35,EJ87+EI88-ER87,IF(A88&lt;'Données projet'!$A$192,$EG$205^A88,IF(A88='Données projet'!$A$192,'Données projet'!$B$192,EJ87+EI88-ER87)))</f>
        <v>274.67799999999988</v>
      </c>
      <c r="EK88" s="17">
        <f>EJ88*VLOOKUP('Données projet'!$B$15,Paramètres!$A$1:$I$89,3,0)*VLOOKUP('Données projet'!$B$15,Paramètres!$A$1:$I$89,5,0)</f>
        <v>295.66339919999984</v>
      </c>
      <c r="EL88" s="13">
        <f t="shared" si="99"/>
        <v>70.266576389697462</v>
      </c>
      <c r="EM88" s="20">
        <f t="shared" si="73"/>
        <v>637.3280408187228</v>
      </c>
      <c r="EN88" s="59">
        <f t="shared" si="74"/>
        <v>909.95050154700425</v>
      </c>
      <c r="EO88" s="59">
        <f ca="1">AVERAGE(OFFSET($EN$3,0,0,'Données projet'!$E$15+1,1))-AVERAGE(OFFSET($H$3,0,0,'Données projet'!$E$15+1,1))</f>
        <v>539.72194201710272</v>
      </c>
      <c r="EP88" s="59">
        <f t="shared" si="100"/>
        <v>340.76505385159362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28.942106014638984</v>
      </c>
      <c r="EW88" s="21">
        <f>EXP(-LN(2)/25)*EW87+(1-EXP(-LN(2)/25))/(LN(2)/25)*Calculateur!ER88*Calculateur!ET88*VLOOKUP('Données projet'!$B$15,Paramètres!$A$1:$I$89,3,0)*0.475*44/12</f>
        <v>28.235162363848929</v>
      </c>
      <c r="EX88" s="21">
        <f>EXP(-LN(2)/2)*EX87+(1-EXP(-LN(2)/2))/(LN(2)/2)*ER88*EU88*VLOOKUP('Données projet'!$B$15,Paramètres!$A$1:$I$89,3,0)*0.475*44/12</f>
        <v>2.68515519065908</v>
      </c>
      <c r="EY88" s="22">
        <f t="shared" si="75"/>
        <v>59.862423569146991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>
        <f>FE88*VLOOKUP('Données projet'!$B$16,Paramètres!$A$1:$I$89,3,0)*VLOOKUP('Données projet'!$B$16,Paramètres!$A$1:$I$89,5,0)</f>
        <v>0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383.47860767209028</v>
      </c>
      <c r="FK88" s="59">
        <f t="shared" si="102"/>
        <v>370.49129421395628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48.004572157478876</v>
      </c>
      <c r="FR88" s="21">
        <f>EXP(-LN(2)/25)*FR87+(1-EXP(-LN(2)/25))/(LN(2)/25)*Calculateur!FM88*Calculateur!FO88*VLOOKUP('Données projet'!$B$16,Paramètres!$A$1:$I$89,3,0)*0.475*44/12</f>
        <v>45.555993523889889</v>
      </c>
      <c r="FS88" s="21">
        <f>EXP(-LN(2)/2)*FS87+(1-EXP(-LN(2)/2))/(LN(2)/2)*FM88*FP88*VLOOKUP('Données projet'!$B$16,Paramètres!$A$1:$I$89,3,0)*0.475*44/12</f>
        <v>11.251000268339677</v>
      </c>
      <c r="FT88" s="22">
        <f t="shared" si="78"/>
        <v>104.81156594970844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6.7444444444444462</v>
      </c>
      <c r="FZ88" s="12">
        <f>IF('Données projet'!$A$244&gt;35,FZ87+FY88-GH87,IF(A88&lt;'Données projet'!$A$244,$FW$205^A88,IF(A88='Données projet'!$A$244,'Données projet'!$B$244,FZ87+FY88-GH87)))</f>
        <v>222.52555555555554</v>
      </c>
      <c r="GA88" s="17">
        <f>FZ88*VLOOKUP('Données projet'!$B$17,Paramètres!$A$1:$I$89,3,0)*VLOOKUP('Données projet'!$B$17,Paramètres!$A$1:$I$89,5,0)</f>
        <v>253.41210266666667</v>
      </c>
      <c r="GB88" s="13">
        <f t="shared" si="103"/>
        <v>61.316013827679889</v>
      </c>
      <c r="GC88" s="20">
        <f t="shared" si="79"/>
        <v>548.15146956098692</v>
      </c>
      <c r="GD88" s="59">
        <f t="shared" si="80"/>
        <v>820.77393028926849</v>
      </c>
      <c r="GE88" s="59">
        <f ca="1">AVERAGE(OFFSET($GD$3,0,0,'Données projet'!$E$17+1,1))-AVERAGE(OFFSET($H$3,0,0,'Données projet'!$E$17+1,1))</f>
        <v>640.05156427113661</v>
      </c>
      <c r="GF88" s="59">
        <f t="shared" si="104"/>
        <v>308.77220155372902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39.134876175876634</v>
      </c>
      <c r="GN88" s="21">
        <f>EXP(-LN(2)/2)*GN87+(1-EXP(-LN(2)/2))/(LN(2)/2)*GH88*GK88*VLOOKUP('Données projet'!$B$17,Paramètres!$A$1:$I$89,3,0)*0.475*44/12</f>
        <v>0.49413073660229723</v>
      </c>
      <c r="GO88" s="21">
        <f t="shared" si="81"/>
        <v>39.629006912478928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11.905555555555553</v>
      </c>
      <c r="N89" s="13">
        <f>IF('Données projet'!$A$36&gt;35,N88+M89-V88,IF(A89&lt;'Données projet'!$A$36,$K$205^A89,IF(A89='Données projet'!$A$36,'Données projet'!$B$36,N88+M89-V88)))</f>
        <v>405.4077777777776</v>
      </c>
      <c r="O89" s="13">
        <f>N89*VLOOKUP('Données projet'!$B$9,Paramètres!$A$1:$I$89,3,0)*VLOOKUP('Données projet'!$B$9,Paramètres!$A$1:$I$89,5,0)</f>
        <v>341.51551199999989</v>
      </c>
      <c r="P89" s="13">
        <f t="shared" si="87"/>
        <v>79.812979702519371</v>
      </c>
      <c r="Q89" s="20">
        <f t="shared" si="54"/>
        <v>733.81378971522111</v>
      </c>
      <c r="R89" s="59">
        <f t="shared" si="55"/>
        <v>1006.7955377806259</v>
      </c>
      <c r="S89" s="59">
        <f ca="1">AVERAGE(OFFSET($R$3,0,0,'Données projet'!$E$9+1,1))-AVERAGE(OFFSET($H$3,0,0,'Données projet'!$E$9+1,1))</f>
        <v>456.35333554128226</v>
      </c>
      <c r="T89" s="59">
        <f t="shared" si="88"/>
        <v>296.4517290984877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39.778635547129831</v>
      </c>
      <c r="AA89" s="21">
        <f>EXP(-LN(2)/25)*AA88+(1-EXP(-LN(2)/25))/(LN(2)/25)*Calculateur!V89*Calculateur!X89*VLOOKUP('Données projet'!$B$9,Paramètres!$A$1:$I$89,3,0)*0.475*44/12</f>
        <v>25.398516964079803</v>
      </c>
      <c r="AB89" s="21">
        <f>EXP(-LN(2)/2)*AB88+(1-EXP(-LN(2)/2))/(LN(2)/2)*V89*Y89*VLOOKUP('Données projet'!$B$9,Paramètres!$A$1:$I$89,3,0)*0.475*44/12</f>
        <v>4.4447808295015108E-2</v>
      </c>
      <c r="AC89" s="22">
        <f t="shared" si="57"/>
        <v>65.22160031950466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408.246209980743</v>
      </c>
      <c r="AO89" s="59">
        <f t="shared" si="90"/>
        <v>394.10236303013903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50.683480375627688</v>
      </c>
      <c r="AV89" s="21">
        <f>EXP(-LN(2)/25)*AV88+(1-EXP(-LN(2)/25))/(LN(2)/25)*Calculateur!AQ89*Calculateur!AS89*VLOOKUP('Données projet'!$B$10,Paramètres!$A$1:$I$89,3,0)*0.475*44/12</f>
        <v>47.718744214931498</v>
      </c>
      <c r="AW89" s="21">
        <f>EXP(-LN(2)/2)*AW88+(1-EXP(-LN(2)/2))/(LN(2)/2)*AQ89*AT89*VLOOKUP('Données projet'!$B$10,Paramètres!$A$1:$I$89,3,0)*0.475*44/12</f>
        <v>8.5676323221727007</v>
      </c>
      <c r="AX89" s="21">
        <f t="shared" si="60"/>
        <v>106.96985691273188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>
        <f>VLOOKUP(A89,'Données projet'!$A$87:$I$107,2,0)</f>
        <v>229.27</v>
      </c>
      <c r="BB89" s="12">
        <f>VLOOKUP(A89,'Données projet'!$A$87:$I$107,9,0)</f>
        <v>6.7444444444444462</v>
      </c>
      <c r="BC89" s="12">
        <f t="array" ref="BC89">INDEX(BB:BB,MIN(IF(ISNUMBER(BB89:BB285),ROW(BB89:BB285),"")))</f>
        <v>6.7444444444444462</v>
      </c>
      <c r="BD89" s="12">
        <f>IF('Données projet'!$A$88&gt;35,BD88+BC89-BL88,IF(A89&lt;'Données projet'!$A$88,$BA$205^A89,IF(A89='Données projet'!$A$88,'Données projet'!$B$88,BD88+BC89-BL88)))</f>
        <v>229.26999999999998</v>
      </c>
      <c r="BE89" s="13">
        <f>BD89*VLOOKUP('Données projet'!$B$11,Paramètres!$A$1:$I$89,3,0)*VLOOKUP('Données projet'!$B$11,Paramètres!$A$1:$I$89,5,0)</f>
        <v>232.47978000000001</v>
      </c>
      <c r="BF89" s="13">
        <f t="shared" si="91"/>
        <v>56.81853283390906</v>
      </c>
      <c r="BG89" s="20">
        <f t="shared" si="61"/>
        <v>503.86122818572488</v>
      </c>
      <c r="BH89" s="59">
        <f t="shared" si="62"/>
        <v>776.84297625112958</v>
      </c>
      <c r="BI89" s="59">
        <f ca="1">AVERAGE(OFFSET($BH$3,0,0,'Données projet'!$E$11+1,1))-AVERAGE(OFFSET($H$3,0,0,'Données projet'!$E$11+1,1))</f>
        <v>580.02848304986492</v>
      </c>
      <c r="BJ89" s="59">
        <f t="shared" si="92"/>
        <v>281.68891895586728</v>
      </c>
      <c r="BK89" s="15">
        <f>IF(ISNA(VLOOKUP(A89,'Données projet'!$A$87:$I$107,3,0)),0,VLOOKUP(A89,'Données projet'!$A$87:$I$107,3,0))</f>
        <v>4</v>
      </c>
      <c r="BL89" s="15">
        <f>IF(ISNA(VLOOKUP(A89,'Données projet'!$A$87:$I$107,4,0)),0,VLOOKUP(A89,'Données projet'!$A$87:$I$107,4,0))</f>
        <v>37.54000000000002</v>
      </c>
      <c r="BM89" s="16">
        <f>IF(ISNA(VLOOKUP(A89,'Données projet'!$A$87:$I$107,5,0)),0%,VLOOKUP(A89,'Données projet'!$A$87:$I$107,5,0)*VLOOKUP('Données projet'!$B$11,Paramètres!$A$1:$I$89,7,0))</f>
        <v>0.15049999999999999</v>
      </c>
      <c r="BN89" s="16">
        <f>IF(ISNA(VLOOKUP(A89,'Données projet'!$A$87:$I$107,6,0)),0%,VLOOKUP(A89,'Données projet'!$A$87:$I$107,6,0)*VLOOKUP('Données projet'!$B$11,Paramètres!$A$1:$I$89,7,0))</f>
        <v>8.6000000000000007E-2</v>
      </c>
      <c r="BO89" s="16">
        <f>IF(ISNA(VLOOKUP(A89,'Données projet'!$A$87:$I$107,7,0)),0%,VLOOKUP(A89,'Données projet'!$A$87:$I$107,7,0))</f>
        <v>0.1</v>
      </c>
      <c r="BP89" s="21">
        <f>EXP(-LN(2)/35)*BP88+(1-EXP(-LN(2)/35))/(LN(2)/35)*BL89*BM89*VLOOKUP('Données projet'!$B$11,Paramètres!$A$1:$I$89,3,0)*0.475*44/12</f>
        <v>6.333092533580313</v>
      </c>
      <c r="BQ89" s="21">
        <f>EXP(-LN(2)/25)*BQ88+(1-EXP(-LN(2)/25))/(LN(2)/25)*Calculateur!BL89*Calculateur!BN89*VLOOKUP('Données projet'!$B$11,Paramètres!$A$1:$I$89,3,0)*0.475*44/12</f>
        <v>37.49791455830001</v>
      </c>
      <c r="BR89" s="21">
        <f>EXP(-LN(2)/2)*BR88+(1-EXP(-LN(2)/2))/(LN(2)/2)*BL89*BO89*VLOOKUP('Données projet'!$B$11,Paramètres!$A$1:$I$89,3,0)*0.475*44/12</f>
        <v>3.9027004715399207</v>
      </c>
      <c r="BS89" s="22">
        <f t="shared" si="63"/>
        <v>47.733707563420246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5.6843418860808015E-14</v>
      </c>
      <c r="BZ89" s="13">
        <f>BY89*VLOOKUP('Données projet'!$B$12,Paramètres!$A$1:$I$89,3,0)*VLOOKUP('Données projet'!$B$12,Paramètres!$A$1:$I$89,5,0)</f>
        <v>4.4337866711430253E-14</v>
      </c>
      <c r="CA89" s="13">
        <f t="shared" si="93"/>
        <v>7.3222115536967035E-13</v>
      </c>
      <c r="CB89" s="20">
        <f t="shared" si="64"/>
        <v>1.3525069634579169E-12</v>
      </c>
      <c r="CC89" s="59">
        <f t="shared" si="65"/>
        <v>272.98174806540607</v>
      </c>
      <c r="CD89" s="59">
        <f ca="1">AVERAGE(OFFSET($CC$3,0,0,'Données projet'!$E$12+1,1))-AVERAGE(OFFSET($H$3,0,0,'Données projet'!$E$12+1,1))</f>
        <v>308.85018589589453</v>
      </c>
      <c r="CE89" s="59">
        <f t="shared" si="94"/>
        <v>302.59481222418219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30.707152463735259</v>
      </c>
      <c r="CL89" s="21">
        <f>EXP(-LN(2)/25)*CL88+(1-EXP(-LN(2)/25))/(LN(2)/25)*Calculateur!CG89*Calculateur!CI89*VLOOKUP('Données projet'!$B$12,Paramètres!$A$1:$I$89,3,0)*0.475*44/12</f>
        <v>26.424150442058778</v>
      </c>
      <c r="CM89" s="21">
        <f>EXP(-LN(2)/2)*CM88+(1-EXP(-LN(2)/2))/(LN(2)/2)*CG89*CJ89*VLOOKUP('Données projet'!$B$12,Paramètres!$A$1:$I$89,3,0)*0.475*44/12</f>
        <v>0.16781638636309942</v>
      </c>
      <c r="CN89" s="22">
        <f t="shared" si="66"/>
        <v>57.299119292157137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3.8461538461538454</v>
      </c>
      <c r="CT89" s="12">
        <f>IF('Données projet'!$A$140&gt;35,CT88+CS89-DB88,IF(A89&lt;'Données projet'!$A$140,$CQ$205^A89,IF(A89='Données projet'!$A$140,'Données projet'!$B$140,CT88+CS89-DB88)))</f>
        <v>267.94871794871801</v>
      </c>
      <c r="CU89" s="17">
        <f>CT89*VLOOKUP('Données projet'!$B$13,Paramètres!$A$1:$I$89,3,0)*VLOOKUP('Données projet'!$B$13,Paramètres!$A$1:$I$89,5,0)</f>
        <v>179.74000000000004</v>
      </c>
      <c r="CV89" s="13">
        <f t="shared" si="95"/>
        <v>45.264336091309922</v>
      </c>
      <c r="CW89" s="20">
        <f t="shared" si="67"/>
        <v>391.8825520256982</v>
      </c>
      <c r="CX89" s="59">
        <f t="shared" si="68"/>
        <v>664.8643000911029</v>
      </c>
      <c r="CY89" s="59">
        <f ca="1">AVERAGE(OFFSET($CX$3,0,0,'Données projet'!$E$13+1,1))-AVERAGE(OFFSET($H$3,0,0,'Données projet'!$E$13+1,1))</f>
        <v>335.73816489539837</v>
      </c>
      <c r="CZ89" s="59">
        <f t="shared" si="96"/>
        <v>254.09787950201044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6.1031607430276988</v>
      </c>
      <c r="DG89" s="21">
        <f>EXP(-LN(2)/25)*DG88+(1-EXP(-LN(2)/25))/(LN(2)/25)*Calculateur!DB89*Calculateur!DD89*VLOOKUP('Données projet'!$B$13,Paramètres!$A$1:$I$89,3,0)*0.475*44/12</f>
        <v>9.1362290459578261</v>
      </c>
      <c r="DH89" s="21">
        <f>EXP(-LN(2)/2)*DH88+(1-EXP(-LN(2)/2))/(LN(2)/2)*DB89*DE89*VLOOKUP('Données projet'!$B$13,Paramètres!$A$1:$I$89,3,0)*0.475*44/12</f>
        <v>1.6738799492016789</v>
      </c>
      <c r="DI89" s="22">
        <f t="shared" si="69"/>
        <v>16.913269738187203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9.2740000000000009</v>
      </c>
      <c r="DO89" s="12">
        <f>IF('Données projet'!$A$166&gt;35,DO88+DN89-DW88,IF(A89&lt;'Données projet'!$A$166,$DL$205^A89,IF(A89='Données projet'!$A$166,'Données projet'!$B$166,DO88+DN89-DW88)))</f>
        <v>283.95199999999988</v>
      </c>
      <c r="DP89" s="17">
        <f>DO89*VLOOKUP('Données projet'!$B$14,Paramètres!$A$1:$I$89,3,0)*VLOOKUP('Données projet'!$B$14,Paramètres!$A$1:$I$89,5,0)</f>
        <v>274.63837439999986</v>
      </c>
      <c r="DQ89" s="13">
        <f t="shared" si="97"/>
        <v>65.832671425464142</v>
      </c>
      <c r="DR89" s="20">
        <f t="shared" si="70"/>
        <v>592.98707147934977</v>
      </c>
      <c r="DS89" s="59">
        <f t="shared" si="71"/>
        <v>865.96881954475452</v>
      </c>
      <c r="DT89" s="59">
        <f ca="1">AVERAGE(OFFSET($DS$3,0,0,'Données projet'!$E$14+1,1))-AVERAGE(OFFSET($H$3,0,0,'Données projet'!$E$14+1,1))</f>
        <v>493.03862850474161</v>
      </c>
      <c r="DU89" s="59">
        <f t="shared" si="98"/>
        <v>312.51819065560528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25.495989508047501</v>
      </c>
      <c r="EB89" s="21">
        <f>EXP(-LN(2)/25)*EB88+(1-EXP(-LN(2)/25))/(LN(2)/25)*Calculateur!DW89*Calculateur!DY89*VLOOKUP('Données projet'!$B$14,Paramètres!$A$1:$I$89,3,0)*0.475*44/12</f>
        <v>24.676961776515693</v>
      </c>
      <c r="EC89" s="21">
        <f>EXP(-LN(2)/2)*EC88+(1-EXP(-LN(2)/2))/(LN(2)/2)*DW89*DZ89*VLOOKUP('Données projet'!$B$14,Paramètres!$A$1:$I$89,3,0)*0.475*44/12</f>
        <v>1.7060705727377414</v>
      </c>
      <c r="ED89" s="22">
        <f t="shared" si="72"/>
        <v>51.879021857300941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9.2740000000000009</v>
      </c>
      <c r="EJ89" s="12">
        <f>IF('Données projet'!$A$192&gt;35,EJ88+EI89-ER88,IF(A89&lt;'Données projet'!$A$192,$EG$205^A89,IF(A89='Données projet'!$A$192,'Données projet'!$B$192,EJ88+EI89-ER88)))</f>
        <v>283.95199999999988</v>
      </c>
      <c r="EK89" s="17">
        <f>EJ89*VLOOKUP('Données projet'!$B$15,Paramètres!$A$1:$I$89,3,0)*VLOOKUP('Données projet'!$B$15,Paramètres!$A$1:$I$89,5,0)</f>
        <v>305.64593279999985</v>
      </c>
      <c r="EL89" s="13">
        <f t="shared" si="99"/>
        <v>72.358780428424367</v>
      </c>
      <c r="EM89" s="20">
        <f t="shared" si="73"/>
        <v>658.35820887283887</v>
      </c>
      <c r="EN89" s="59">
        <f t="shared" si="74"/>
        <v>931.33995693824363</v>
      </c>
      <c r="EO89" s="59">
        <f ca="1">AVERAGE(OFFSET($EN$3,0,0,'Données projet'!$E$15+1,1))-AVERAGE(OFFSET($H$3,0,0,'Données projet'!$E$15+1,1))</f>
        <v>539.72194201710272</v>
      </c>
      <c r="EP89" s="59">
        <f t="shared" si="100"/>
        <v>340.76505385159362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28.374568968633501</v>
      </c>
      <c r="EW89" s="21">
        <f>EXP(-LN(2)/25)*EW88+(1-EXP(-LN(2)/25))/(LN(2)/25)*Calculateur!ER89*Calculateur!ET89*VLOOKUP('Données projet'!$B$15,Paramètres!$A$1:$I$89,3,0)*0.475*44/12</f>
        <v>27.463070364186823</v>
      </c>
      <c r="EX89" s="21">
        <f>EXP(-LN(2)/2)*EX88+(1-EXP(-LN(2)/2))/(LN(2)/2)*ER89*EU89*VLOOKUP('Données projet'!$B$15,Paramètres!$A$1:$I$89,3,0)*0.475*44/12</f>
        <v>1.8986914438532925</v>
      </c>
      <c r="EY89" s="22">
        <f t="shared" si="75"/>
        <v>57.736330776673618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>
        <f>FE89*VLOOKUP('Données projet'!$B$16,Paramètres!$A$1:$I$89,3,0)*VLOOKUP('Données projet'!$B$16,Paramètres!$A$1:$I$89,5,0)</f>
        <v>0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383.47860767209028</v>
      </c>
      <c r="FK89" s="59">
        <f t="shared" si="102"/>
        <v>370.49129421395628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47.063231777368578</v>
      </c>
      <c r="FR89" s="21">
        <f>EXP(-LN(2)/25)*FR88+(1-EXP(-LN(2)/25))/(LN(2)/25)*Calculateur!FM89*Calculateur!FO89*VLOOKUP('Données projet'!$B$16,Paramètres!$A$1:$I$89,3,0)*0.475*44/12</f>
        <v>44.310262485293542</v>
      </c>
      <c r="FS89" s="21">
        <f>EXP(-LN(2)/2)*FS88+(1-EXP(-LN(2)/2))/(LN(2)/2)*FM89*FP89*VLOOKUP('Données projet'!$B$16,Paramètres!$A$1:$I$89,3,0)*0.475*44/12</f>
        <v>7.9556585848746524</v>
      </c>
      <c r="FT89" s="22">
        <f t="shared" si="78"/>
        <v>99.329152847536776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>
        <f>VLOOKUP(A89,'Données projet'!$A$243:$I$263,2,0)</f>
        <v>229.27</v>
      </c>
      <c r="FX89" s="12">
        <f>VLOOKUP(A89,'Données projet'!$A$243:$I$263,9,0)</f>
        <v>6.7444444444444462</v>
      </c>
      <c r="FY89" s="12">
        <f t="array" ref="FY89">INDEX(FX:FX,MIN(IF(ISNUMBER(FX89:FX285),ROW(FX89:FX285),"")))</f>
        <v>6.7444444444444462</v>
      </c>
      <c r="FZ89" s="12">
        <f>IF('Données projet'!$A$244&gt;35,FZ88+FY89-GH88,IF(A89&lt;'Données projet'!$A$244,$FW$205^A89,IF(A89='Données projet'!$A$244,'Données projet'!$B$244,FZ88+FY89-GH88)))</f>
        <v>229.26999999999998</v>
      </c>
      <c r="GA89" s="17">
        <f>FZ89*VLOOKUP('Données projet'!$B$17,Paramètres!$A$1:$I$89,3,0)*VLOOKUP('Données projet'!$B$17,Paramètres!$A$1:$I$89,5,0)</f>
        <v>261.09267599999998</v>
      </c>
      <c r="GB89" s="13">
        <f t="shared" si="103"/>
        <v>62.955235443390585</v>
      </c>
      <c r="GC89" s="20">
        <f t="shared" si="79"/>
        <v>564.38344576390512</v>
      </c>
      <c r="GD89" s="59">
        <f t="shared" si="80"/>
        <v>837.36519382930987</v>
      </c>
      <c r="GE89" s="59">
        <f ca="1">AVERAGE(OFFSET($GD$3,0,0,'Données projet'!$E$17+1,1))-AVERAGE(OFFSET($H$3,0,0,'Données projet'!$E$17+1,1))</f>
        <v>640.05156427113661</v>
      </c>
      <c r="GF89" s="59">
        <f t="shared" si="104"/>
        <v>308.77220155372902</v>
      </c>
      <c r="GG89" s="15">
        <f>IF(ISNA(VLOOKUP(A89,'Données projet'!$A$243:$I$263,3,0)),0,VLOOKUP(A89,'Données projet'!$A$243:$I$263,3,0))</f>
        <v>4</v>
      </c>
      <c r="GH89" s="15">
        <f>IF(ISNA(VLOOKUP(A89,'Données projet'!$A$243:$I$263,4,0)),0,VLOOKUP(A89,'Données projet'!$A$243:$I$263,4,0))</f>
        <v>37.54000000000002</v>
      </c>
      <c r="GI89" s="16">
        <f>IF(ISNA(VLOOKUP(A89,'Données projet'!$A$243:$I$263,5,0)),0%,VLOOKUP(A89,'Données projet'!$A$243:$I$263,5,0)*VLOOKUP('Données projet'!$B$17,Paramètres!$A$1:$I$89,7,0))</f>
        <v>0.15049999999999999</v>
      </c>
      <c r="GJ89" s="16">
        <f>IF(ISNA(VLOOKUP(A89,'Données projet'!$A$243:$I$263,6,0)),0%,VLOOKUP(A89,'Données projet'!$A$243:$I$263,6,0)*VLOOKUP('Données projet'!$B$17,Paramètres!$A$1:$I$89,7,0))</f>
        <v>8.6000000000000007E-2</v>
      </c>
      <c r="GK89" s="16">
        <f>IF(ISNA(VLOOKUP(A89,'Données projet'!$A$243:$I$263,7,0)),0%,VLOOKUP(A89,'Données projet'!$A$243:$I$263,7,0))</f>
        <v>0.1</v>
      </c>
      <c r="GL89" s="21">
        <f>EXP(-LN(2)/35)*GL88+(1-EXP(-LN(2)/35))/(LN(2)/35)*GH89*GI89*VLOOKUP('Données projet'!$B$17,Paramètres!$A$1:$I$89,3,0)*0.475*44/12</f>
        <v>7.1125500761748128</v>
      </c>
      <c r="GM89" s="21">
        <f>EXP(-LN(2)/25)*GM88+(1-EXP(-LN(2)/25))/(LN(2)/25)*Calculateur!GH89*Calculateur!GJ89*VLOOKUP('Données projet'!$B$17,Paramètres!$A$1:$I$89,3,0)*0.475*44/12</f>
        <v>42.113042503936946</v>
      </c>
      <c r="GN89" s="21">
        <f>EXP(-LN(2)/2)*GN88+(1-EXP(-LN(2)/2))/(LN(2)/2)*GH89*GK89*VLOOKUP('Données projet'!$B$17,Paramètres!$A$1:$I$89,3,0)*0.475*44/12</f>
        <v>4.383032837267911</v>
      </c>
      <c r="GO89" s="21">
        <f t="shared" si="81"/>
        <v>53.60862541737967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11.905555555555553</v>
      </c>
      <c r="N90" s="13">
        <f>IF('Données projet'!$A$36&gt;35,N89+M90-V89,IF(A90&lt;'Données projet'!$A$36,$K$205^A90,IF(A90='Données projet'!$A$36,'Données projet'!$B$36,N89+M90-V89)))</f>
        <v>417.31333333333316</v>
      </c>
      <c r="O90" s="13">
        <f>N90*VLOOKUP('Données projet'!$B$9,Paramètres!$A$1:$I$89,3,0)*VLOOKUP('Données projet'!$B$9,Paramètres!$A$1:$I$89,5,0)</f>
        <v>351.54475199999985</v>
      </c>
      <c r="P90" s="13">
        <f t="shared" si="87"/>
        <v>81.880510146389071</v>
      </c>
      <c r="Q90" s="20">
        <f t="shared" si="54"/>
        <v>754.88233157162733</v>
      </c>
      <c r="R90" s="59">
        <f t="shared" si="55"/>
        <v>1028.2171341421022</v>
      </c>
      <c r="S90" s="59">
        <f ca="1">AVERAGE(OFFSET($R$3,0,0,'Données projet'!$E$9+1,1))-AVERAGE(OFFSET($H$3,0,0,'Données projet'!$E$9+1,1))</f>
        <v>456.35333554128226</v>
      </c>
      <c r="T90" s="59">
        <f t="shared" si="88"/>
        <v>296.4517290984877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38.998600766622566</v>
      </c>
      <c r="AA90" s="21">
        <f>EXP(-LN(2)/25)*AA89+(1-EXP(-LN(2)/25))/(LN(2)/25)*Calculateur!V90*Calculateur!X90*VLOOKUP('Données projet'!$B$9,Paramètres!$A$1:$I$89,3,0)*0.475*44/12</f>
        <v>24.703993182047082</v>
      </c>
      <c r="AB90" s="21">
        <f>EXP(-LN(2)/2)*AB89+(1-EXP(-LN(2)/2))/(LN(2)/2)*V90*Y90*VLOOKUP('Données projet'!$B$9,Paramètres!$A$1:$I$89,3,0)*0.475*44/12</f>
        <v>3.1429346654284859E-2</v>
      </c>
      <c r="AC90" s="22">
        <f t="shared" si="57"/>
        <v>63.734023295323929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408.246209980743</v>
      </c>
      <c r="AO90" s="59">
        <f t="shared" si="90"/>
        <v>394.10236303013903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49.689608239332166</v>
      </c>
      <c r="AV90" s="21">
        <f>EXP(-LN(2)/25)*AV89+(1-EXP(-LN(2)/25))/(LN(2)/25)*Calculateur!AQ90*Calculateur!AS90*VLOOKUP('Données projet'!$B$10,Paramètres!$A$1:$I$89,3,0)*0.475*44/12</f>
        <v>46.413872644954502</v>
      </c>
      <c r="AW90" s="21">
        <f>EXP(-LN(2)/2)*AW89+(1-EXP(-LN(2)/2))/(LN(2)/2)*AQ90*AT90*VLOOKUP('Données projet'!$B$10,Paramètres!$A$1:$I$89,3,0)*0.475*44/12</f>
        <v>6.0582309137213644</v>
      </c>
      <c r="AX90" s="21">
        <f t="shared" si="60"/>
        <v>102.16171179800803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6.7600000000000007</v>
      </c>
      <c r="BD90" s="12">
        <f>IF('Données projet'!$A$88&gt;35,BD89+BC90-BL89,IF(A90&lt;'Données projet'!$A$88,$BA$205^A90,IF(A90='Données projet'!$A$88,'Données projet'!$B$88,BD89+BC90-BL89)))</f>
        <v>198.48999999999995</v>
      </c>
      <c r="BE90" s="13">
        <f>BD90*VLOOKUP('Données projet'!$B$11,Paramètres!$A$1:$I$89,3,0)*VLOOKUP('Données projet'!$B$11,Paramètres!$A$1:$I$89,5,0)</f>
        <v>201.26885999999993</v>
      </c>
      <c r="BF90" s="13">
        <f t="shared" si="91"/>
        <v>50.022922026408203</v>
      </c>
      <c r="BG90" s="20">
        <f t="shared" si="61"/>
        <v>437.66652036266078</v>
      </c>
      <c r="BH90" s="59">
        <f t="shared" si="62"/>
        <v>711.00132293313561</v>
      </c>
      <c r="BI90" s="59">
        <f ca="1">AVERAGE(OFFSET($BH$3,0,0,'Données projet'!$E$11+1,1))-AVERAGE(OFFSET($H$3,0,0,'Données projet'!$E$11+1,1))</f>
        <v>580.02848304986492</v>
      </c>
      <c r="BJ90" s="59">
        <f t="shared" si="92"/>
        <v>281.68891895586728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6.2089044518018284</v>
      </c>
      <c r="BQ90" s="21">
        <f>EXP(-LN(2)/25)*BQ89+(1-EXP(-LN(2)/25))/(LN(2)/25)*Calculateur!BL90*Calculateur!BN90*VLOOKUP('Données projet'!$B$11,Paramètres!$A$1:$I$89,3,0)*0.475*44/12</f>
        <v>36.472532112773671</v>
      </c>
      <c r="BR90" s="21">
        <f>EXP(-LN(2)/2)*BR89+(1-EXP(-LN(2)/2))/(LN(2)/2)*BL90*BO90*VLOOKUP('Données projet'!$B$11,Paramètres!$A$1:$I$89,3,0)*0.475*44/12</f>
        <v>2.7596259683658149</v>
      </c>
      <c r="BS90" s="22">
        <f t="shared" si="63"/>
        <v>45.441062532941316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5.6843418860808015E-14</v>
      </c>
      <c r="BZ90" s="13">
        <f>BY90*VLOOKUP('Données projet'!$B$12,Paramètres!$A$1:$I$89,3,0)*VLOOKUP('Données projet'!$B$12,Paramètres!$A$1:$I$89,5,0)</f>
        <v>4.4337866711430253E-14</v>
      </c>
      <c r="CA90" s="13">
        <f t="shared" si="93"/>
        <v>7.3222115536967035E-13</v>
      </c>
      <c r="CB90" s="20">
        <f t="shared" si="64"/>
        <v>1.3525069634579169E-12</v>
      </c>
      <c r="CC90" s="59">
        <f t="shared" si="65"/>
        <v>273.3348025704762</v>
      </c>
      <c r="CD90" s="59">
        <f ca="1">AVERAGE(OFFSET($CC$3,0,0,'Données projet'!$E$12+1,1))-AVERAGE(OFFSET($H$3,0,0,'Données projet'!$E$12+1,1))</f>
        <v>308.85018589589453</v>
      </c>
      <c r="CE90" s="59">
        <f t="shared" si="94"/>
        <v>302.59481222418219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30.105003933435029</v>
      </c>
      <c r="CL90" s="21">
        <f>EXP(-LN(2)/25)*CL89+(1-EXP(-LN(2)/25))/(LN(2)/25)*Calculateur!CG90*Calculateur!CI90*VLOOKUP('Données projet'!$B$12,Paramètres!$A$1:$I$89,3,0)*0.475*44/12</f>
        <v>25.701580658635002</v>
      </c>
      <c r="CM90" s="21">
        <f>EXP(-LN(2)/2)*CM89+(1-EXP(-LN(2)/2))/(LN(2)/2)*CG90*CJ90*VLOOKUP('Données projet'!$B$12,Paramètres!$A$1:$I$89,3,0)*0.475*44/12</f>
        <v>0.11866410479156927</v>
      </c>
      <c r="CN90" s="22">
        <f t="shared" si="66"/>
        <v>55.925248696861601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3.8461538461538454</v>
      </c>
      <c r="CT90" s="12">
        <f>IF('Données projet'!$A$140&gt;35,CT89+CS90-DB89,IF(A90&lt;'Données projet'!$A$140,$CQ$205^A90,IF(A90='Données projet'!$A$140,'Données projet'!$B$140,CT89+CS90-DB89)))</f>
        <v>271.79487179487188</v>
      </c>
      <c r="CU90" s="17">
        <f>CT90*VLOOKUP('Données projet'!$B$13,Paramètres!$A$1:$I$89,3,0)*VLOOKUP('Données projet'!$B$13,Paramètres!$A$1:$I$89,5,0)</f>
        <v>182.32000000000005</v>
      </c>
      <c r="CV90" s="13">
        <f t="shared" si="95"/>
        <v>45.837958080870081</v>
      </c>
      <c r="CW90" s="20">
        <f t="shared" si="67"/>
        <v>397.37511032418206</v>
      </c>
      <c r="CX90" s="59">
        <f t="shared" si="68"/>
        <v>670.7099128946569</v>
      </c>
      <c r="CY90" s="59">
        <f ca="1">AVERAGE(OFFSET($CX$3,0,0,'Données projet'!$E$13+1,1))-AVERAGE(OFFSET($H$3,0,0,'Données projet'!$E$13+1,1))</f>
        <v>335.73816489539837</v>
      </c>
      <c r="CZ90" s="59">
        <f t="shared" si="96"/>
        <v>254.09787950201044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5.9834814834174068</v>
      </c>
      <c r="DG90" s="21">
        <f>EXP(-LN(2)/25)*DG89+(1-EXP(-LN(2)/25))/(LN(2)/25)*Calculateur!DB90*Calculateur!DD90*VLOOKUP('Données projet'!$B$13,Paramètres!$A$1:$I$89,3,0)*0.475*44/12</f>
        <v>8.8863983822427048</v>
      </c>
      <c r="DH90" s="21">
        <f>EXP(-LN(2)/2)*DH89+(1-EXP(-LN(2)/2))/(LN(2)/2)*DB90*DE90*VLOOKUP('Données projet'!$B$13,Paramètres!$A$1:$I$89,3,0)*0.475*44/12</f>
        <v>1.183611862972701</v>
      </c>
      <c r="DI90" s="22">
        <f t="shared" si="69"/>
        <v>16.053491728632814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9.2740000000000009</v>
      </c>
      <c r="DO90" s="12">
        <f>IF('Données projet'!$A$166&gt;35,DO89+DN90-DW89,IF(A90&lt;'Données projet'!$A$166,$DL$205^A90,IF(A90='Données projet'!$A$166,'Données projet'!$B$166,DO89+DN90-DW89)))</f>
        <v>293.22599999999989</v>
      </c>
      <c r="DP90" s="17">
        <f>DO90*VLOOKUP('Données projet'!$B$14,Paramètres!$A$1:$I$89,3,0)*VLOOKUP('Données projet'!$B$14,Paramètres!$A$1:$I$89,5,0)</f>
        <v>283.60818719999992</v>
      </c>
      <c r="DQ90" s="13">
        <f t="shared" si="97"/>
        <v>67.72895340771332</v>
      </c>
      <c r="DR90" s="20">
        <f t="shared" si="70"/>
        <v>611.91218655843386</v>
      </c>
      <c r="DS90" s="59">
        <f t="shared" si="71"/>
        <v>885.24698912890869</v>
      </c>
      <c r="DT90" s="59">
        <f ca="1">AVERAGE(OFFSET($DS$3,0,0,'Données projet'!$E$14+1,1))-AVERAGE(OFFSET($H$3,0,0,'Données projet'!$E$14+1,1))</f>
        <v>493.03862850474161</v>
      </c>
      <c r="DU90" s="59">
        <f t="shared" si="98"/>
        <v>312.51819065560528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24.996028704812755</v>
      </c>
      <c r="EB90" s="21">
        <f>EXP(-LN(2)/25)*EB89+(1-EXP(-LN(2)/25))/(LN(2)/25)*Calculateur!DW90*Calculateur!DY90*VLOOKUP('Données projet'!$B$14,Paramètres!$A$1:$I$89,3,0)*0.475*44/12</f>
        <v>24.002168959031852</v>
      </c>
      <c r="EC90" s="21">
        <f>EXP(-LN(2)/2)*EC89+(1-EXP(-LN(2)/2))/(LN(2)/2)*DW90*DZ90*VLOOKUP('Données projet'!$B$14,Paramètres!$A$1:$I$89,3,0)*0.475*44/12</f>
        <v>1.2063740711656741</v>
      </c>
      <c r="ED90" s="22">
        <f t="shared" si="72"/>
        <v>50.204571735010283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9.2740000000000009</v>
      </c>
      <c r="EJ90" s="12">
        <f>IF('Données projet'!$A$192&gt;35,EJ89+EI90-ER89,IF(A90&lt;'Données projet'!$A$192,$EG$205^A90,IF(A90='Données projet'!$A$192,'Données projet'!$B$192,EJ89+EI90-ER89)))</f>
        <v>293.22599999999989</v>
      </c>
      <c r="EK90" s="17">
        <f>EJ90*VLOOKUP('Données projet'!$B$15,Paramètres!$A$1:$I$89,3,0)*VLOOKUP('Données projet'!$B$15,Paramètres!$A$1:$I$89,5,0)</f>
        <v>315.62846639999987</v>
      </c>
      <c r="EL90" s="13">
        <f t="shared" si="99"/>
        <v>74.443044193100945</v>
      </c>
      <c r="EM90" s="20">
        <f t="shared" si="73"/>
        <v>679.37454761631727</v>
      </c>
      <c r="EN90" s="59">
        <f t="shared" si="74"/>
        <v>952.70935018679211</v>
      </c>
      <c r="EO90" s="59">
        <f ca="1">AVERAGE(OFFSET($EN$3,0,0,'Données projet'!$E$15+1,1))-AVERAGE(OFFSET($H$3,0,0,'Données projet'!$E$15+1,1))</f>
        <v>539.72194201710272</v>
      </c>
      <c r="EP90" s="59">
        <f t="shared" si="100"/>
        <v>340.76505385159362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27.818160977936767</v>
      </c>
      <c r="EW90" s="21">
        <f>EXP(-LN(2)/25)*EW89+(1-EXP(-LN(2)/25))/(LN(2)/25)*Calculateur!ER90*Calculateur!ET90*VLOOKUP('Données projet'!$B$15,Paramètres!$A$1:$I$89,3,0)*0.475*44/12</f>
        <v>26.712091260858031</v>
      </c>
      <c r="EX90" s="21">
        <f>EXP(-LN(2)/2)*EX89+(1-EXP(-LN(2)/2))/(LN(2)/2)*ER90*EU90*VLOOKUP('Données projet'!$B$15,Paramètres!$A$1:$I$89,3,0)*0.475*44/12</f>
        <v>1.3425775953295402</v>
      </c>
      <c r="EY90" s="22">
        <f t="shared" si="75"/>
        <v>55.872829834124339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>
        <f>FE90*VLOOKUP('Données projet'!$B$16,Paramètres!$A$1:$I$89,3,0)*VLOOKUP('Données projet'!$B$16,Paramètres!$A$1:$I$89,5,0)</f>
        <v>0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383.47860767209028</v>
      </c>
      <c r="FK90" s="59">
        <f t="shared" si="102"/>
        <v>370.49129421395628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46.140350507951311</v>
      </c>
      <c r="FR90" s="21">
        <f>EXP(-LN(2)/25)*FR89+(1-EXP(-LN(2)/25))/(LN(2)/25)*Calculateur!FM90*Calculateur!FO90*VLOOKUP('Données projet'!$B$16,Paramètres!$A$1:$I$89,3,0)*0.475*44/12</f>
        <v>43.098596027457759</v>
      </c>
      <c r="FS90" s="21">
        <f>EXP(-LN(2)/2)*FS89+(1-EXP(-LN(2)/2))/(LN(2)/2)*FM90*FP90*VLOOKUP('Données projet'!$B$16,Paramètres!$A$1:$I$89,3,0)*0.475*44/12</f>
        <v>5.6255001341698394</v>
      </c>
      <c r="FT90" s="22">
        <f t="shared" si="78"/>
        <v>94.864446669578911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6.7600000000000007</v>
      </c>
      <c r="FZ90" s="12">
        <f>IF('Données projet'!$A$244&gt;35,FZ89+FY90-GH89,IF(A90&lt;'Données projet'!$A$244,$FW$205^A90,IF(A90='Données projet'!$A$244,'Données projet'!$B$244,FZ89+FY90-GH89)))</f>
        <v>198.48999999999995</v>
      </c>
      <c r="GA90" s="17">
        <f>FZ90*VLOOKUP('Données projet'!$B$17,Paramètres!$A$1:$I$89,3,0)*VLOOKUP('Données projet'!$B$17,Paramètres!$A$1:$I$89,5,0)</f>
        <v>226.04041199999995</v>
      </c>
      <c r="GB90" s="13">
        <f t="shared" si="103"/>
        <v>55.425662660889152</v>
      </c>
      <c r="GC90" s="20">
        <f t="shared" si="79"/>
        <v>490.22008003438185</v>
      </c>
      <c r="GD90" s="59">
        <f t="shared" si="80"/>
        <v>763.55488260485663</v>
      </c>
      <c r="GE90" s="59">
        <f ca="1">AVERAGE(OFFSET($GD$3,0,0,'Données projet'!$E$17+1,1))-AVERAGE(OFFSET($H$3,0,0,'Données projet'!$E$17+1,1))</f>
        <v>640.05156427113661</v>
      </c>
      <c r="GF90" s="59">
        <f t="shared" si="104"/>
        <v>308.77220155372902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6.9730773074082073</v>
      </c>
      <c r="GM90" s="21">
        <f>EXP(-LN(2)/25)*GM89+(1-EXP(-LN(2)/25))/(LN(2)/25)*Calculateur!GH90*Calculateur!GJ90*VLOOKUP('Données projet'!$B$17,Paramètres!$A$1:$I$89,3,0)*0.475*44/12</f>
        <v>40.961459142038137</v>
      </c>
      <c r="GN90" s="21">
        <f>EXP(-LN(2)/2)*GN89+(1-EXP(-LN(2)/2))/(LN(2)/2)*GH90*GK90*VLOOKUP('Données projet'!$B$17,Paramètres!$A$1:$I$89,3,0)*0.475*44/12</f>
        <v>3.0992722413954534</v>
      </c>
      <c r="GO90" s="21">
        <f t="shared" si="81"/>
        <v>51.033808690841795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11.905555555555553</v>
      </c>
      <c r="N91" s="13">
        <f>IF('Données projet'!$A$36&gt;35,N90+M91-V90,IF(A91&lt;'Données projet'!$A$36,$K$205^A91,IF(A91='Données projet'!$A$36,'Données projet'!$B$36,N90+M91-V90)))</f>
        <v>429.21888888888873</v>
      </c>
      <c r="O91" s="13">
        <f>N91*VLOOKUP('Données projet'!$B$9,Paramètres!$A$1:$I$89,3,0)*VLOOKUP('Données projet'!$B$9,Paramètres!$A$1:$I$89,5,0)</f>
        <v>361.57399199999992</v>
      </c>
      <c r="P91" s="13">
        <f t="shared" si="87"/>
        <v>83.941185176780493</v>
      </c>
      <c r="Q91" s="20">
        <f t="shared" si="54"/>
        <v>775.93893358289245</v>
      </c>
      <c r="R91" s="59">
        <f t="shared" si="55"/>
        <v>1049.6206659520863</v>
      </c>
      <c r="S91" s="59">
        <f ca="1">AVERAGE(OFFSET($R$3,0,0,'Données projet'!$E$9+1,1))-AVERAGE(OFFSET($H$3,0,0,'Données projet'!$E$9+1,1))</f>
        <v>456.35333554128226</v>
      </c>
      <c r="T91" s="59">
        <f t="shared" si="88"/>
        <v>296.4517290984877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38.233861992386814</v>
      </c>
      <c r="AA91" s="21">
        <f>EXP(-LN(2)/25)*AA90+(1-EXP(-LN(2)/25))/(LN(2)/25)*Calculateur!V91*Calculateur!X91*VLOOKUP('Données projet'!$B$9,Paramètres!$A$1:$I$89,3,0)*0.475*44/12</f>
        <v>24.028461189357465</v>
      </c>
      <c r="AB91" s="21">
        <f>EXP(-LN(2)/2)*AB90+(1-EXP(-LN(2)/2))/(LN(2)/2)*V91*Y91*VLOOKUP('Données projet'!$B$9,Paramètres!$A$1:$I$89,3,0)*0.475*44/12</f>
        <v>2.2223904147507554E-2</v>
      </c>
      <c r="AC91" s="22">
        <f t="shared" si="57"/>
        <v>62.284547085891788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408.246209980743</v>
      </c>
      <c r="AO91" s="59">
        <f t="shared" si="90"/>
        <v>394.10236303013903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48.715225329427255</v>
      </c>
      <c r="AV91" s="21">
        <f>EXP(-LN(2)/25)*AV90+(1-EXP(-LN(2)/25))/(LN(2)/25)*Calculateur!AQ91*Calculateur!AS91*VLOOKUP('Données projet'!$B$10,Paramètres!$A$1:$I$89,3,0)*0.475*44/12</f>
        <v>45.144682856678742</v>
      </c>
      <c r="AW91" s="21">
        <f>EXP(-LN(2)/2)*AW90+(1-EXP(-LN(2)/2))/(LN(2)/2)*AQ91*AT91*VLOOKUP('Données projet'!$B$10,Paramètres!$A$1:$I$89,3,0)*0.475*44/12</f>
        <v>4.2838161610863512</v>
      </c>
      <c r="AX91" s="21">
        <f t="shared" si="60"/>
        <v>98.143724347192347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6.7600000000000007</v>
      </c>
      <c r="BD91" s="12">
        <f>IF('Données projet'!$A$88&gt;35,BD90+BC91-BL90,IF(A91&lt;'Données projet'!$A$88,$BA$205^A91,IF(A91='Données projet'!$A$88,'Données projet'!$B$88,BD90+BC91-BL90)))</f>
        <v>205.24999999999994</v>
      </c>
      <c r="BE91" s="13">
        <f>BD91*VLOOKUP('Données projet'!$B$11,Paramètres!$A$1:$I$89,3,0)*VLOOKUP('Données projet'!$B$11,Paramètres!$A$1:$I$89,5,0)</f>
        <v>208.12349999999995</v>
      </c>
      <c r="BF91" s="13">
        <f t="shared" si="91"/>
        <v>51.525309267242157</v>
      </c>
      <c r="BG91" s="20">
        <f t="shared" si="61"/>
        <v>452.22167614044662</v>
      </c>
      <c r="BH91" s="59">
        <f t="shared" si="62"/>
        <v>725.90340850964026</v>
      </c>
      <c r="BI91" s="59">
        <f ca="1">AVERAGE(OFFSET($BH$3,0,0,'Données projet'!$E$11+1,1))-AVERAGE(OFFSET($H$3,0,0,'Données projet'!$E$11+1,1))</f>
        <v>580.02848304986492</v>
      </c>
      <c r="BJ91" s="59">
        <f t="shared" si="92"/>
        <v>281.68891895586728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6.0871516225597695</v>
      </c>
      <c r="BQ91" s="21">
        <f>EXP(-LN(2)/25)*BQ90+(1-EXP(-LN(2)/25))/(LN(2)/25)*Calculateur!BL91*Calculateur!BN91*VLOOKUP('Données projet'!$B$11,Paramètres!$A$1:$I$89,3,0)*0.475*44/12</f>
        <v>35.475188804142768</v>
      </c>
      <c r="BR91" s="21">
        <f>EXP(-LN(2)/2)*BR90+(1-EXP(-LN(2)/2))/(LN(2)/2)*BL91*BO91*VLOOKUP('Données projet'!$B$11,Paramètres!$A$1:$I$89,3,0)*0.475*44/12</f>
        <v>1.9513502357699608</v>
      </c>
      <c r="BS91" s="22">
        <f t="shared" si="63"/>
        <v>43.513690662472492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5.6843418860808015E-14</v>
      </c>
      <c r="BZ91" s="13">
        <f>BY91*VLOOKUP('Données projet'!$B$12,Paramètres!$A$1:$I$89,3,0)*VLOOKUP('Données projet'!$B$12,Paramètres!$A$1:$I$89,5,0)</f>
        <v>4.4337866711430253E-14</v>
      </c>
      <c r="CA91" s="13">
        <f t="shared" si="93"/>
        <v>7.3222115536967035E-13</v>
      </c>
      <c r="CB91" s="20">
        <f t="shared" si="64"/>
        <v>1.3525069634579169E-12</v>
      </c>
      <c r="CC91" s="59">
        <f t="shared" si="65"/>
        <v>273.68173236919506</v>
      </c>
      <c r="CD91" s="59">
        <f ca="1">AVERAGE(OFFSET($CC$3,0,0,'Données projet'!$E$12+1,1))-AVERAGE(OFFSET($H$3,0,0,'Données projet'!$E$12+1,1))</f>
        <v>308.85018589589453</v>
      </c>
      <c r="CE91" s="59">
        <f t="shared" si="94"/>
        <v>302.59481222418219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29.514663168539645</v>
      </c>
      <c r="CL91" s="21">
        <f>EXP(-LN(2)/25)*CL90+(1-EXP(-LN(2)/25))/(LN(2)/25)*Calculateur!CG91*Calculateur!CI91*VLOOKUP('Données projet'!$B$12,Paramètres!$A$1:$I$89,3,0)*0.475*44/12</f>
        <v>24.998769583937243</v>
      </c>
      <c r="CM91" s="21">
        <f>EXP(-LN(2)/2)*CM90+(1-EXP(-LN(2)/2))/(LN(2)/2)*CG91*CJ91*VLOOKUP('Données projet'!$B$12,Paramètres!$A$1:$I$89,3,0)*0.475*44/12</f>
        <v>8.3908193181549726E-2</v>
      </c>
      <c r="CN91" s="22">
        <f t="shared" si="66"/>
        <v>54.597340945658438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3.8461538461538454</v>
      </c>
      <c r="CT91" s="12">
        <f>IF('Données projet'!$A$140&gt;35,CT90+CS91-DB90,IF(A91&lt;'Données projet'!$A$140,$CQ$205^A91,IF(A91='Données projet'!$A$140,'Données projet'!$B$140,CT90+CS91-DB90)))</f>
        <v>275.64102564102575</v>
      </c>
      <c r="CU91" s="17">
        <f>CT91*VLOOKUP('Données projet'!$B$13,Paramètres!$A$1:$I$89,3,0)*VLOOKUP('Données projet'!$B$13,Paramètres!$A$1:$I$89,5,0)</f>
        <v>184.90000000000006</v>
      </c>
      <c r="CV91" s="13">
        <f t="shared" si="95"/>
        <v>46.410635962027911</v>
      </c>
      <c r="CW91" s="20">
        <f t="shared" si="67"/>
        <v>402.86602430053199</v>
      </c>
      <c r="CX91" s="59">
        <f t="shared" si="68"/>
        <v>676.54775666972569</v>
      </c>
      <c r="CY91" s="59">
        <f ca="1">AVERAGE(OFFSET($CX$3,0,0,'Données projet'!$E$13+1,1))-AVERAGE(OFFSET($H$3,0,0,'Données projet'!$E$13+1,1))</f>
        <v>335.73816489539837</v>
      </c>
      <c r="CZ91" s="59">
        <f t="shared" si="96"/>
        <v>254.09787950201044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5.8661490610909315</v>
      </c>
      <c r="DG91" s="21">
        <f>EXP(-LN(2)/25)*DG90+(1-EXP(-LN(2)/25))/(LN(2)/25)*Calculateur!DB91*Calculateur!DD91*VLOOKUP('Données projet'!$B$13,Paramètres!$A$1:$I$89,3,0)*0.475*44/12</f>
        <v>8.6433993511648968</v>
      </c>
      <c r="DH91" s="21">
        <f>EXP(-LN(2)/2)*DH90+(1-EXP(-LN(2)/2))/(LN(2)/2)*DB91*DE91*VLOOKUP('Données projet'!$B$13,Paramètres!$A$1:$I$89,3,0)*0.475*44/12</f>
        <v>0.83693997460083969</v>
      </c>
      <c r="DI91" s="22">
        <f t="shared" si="69"/>
        <v>15.346488386856668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9.2740000000000009</v>
      </c>
      <c r="DO91" s="12">
        <f>IF('Données projet'!$A$166&gt;35,DO90+DN91-DW90,IF(A91&lt;'Données projet'!$A$166,$DL$205^A91,IF(A91='Données projet'!$A$166,'Données projet'!$B$166,DO90+DN91-DW90)))</f>
        <v>302.49999999999989</v>
      </c>
      <c r="DP91" s="17">
        <f>DO91*VLOOKUP('Données projet'!$B$14,Paramètres!$A$1:$I$89,3,0)*VLOOKUP('Données projet'!$B$14,Paramètres!$A$1:$I$89,5,0)</f>
        <v>292.57799999999992</v>
      </c>
      <c r="DQ91" s="13">
        <f t="shared" si="97"/>
        <v>69.61826595054103</v>
      </c>
      <c r="DR91" s="20">
        <f t="shared" si="70"/>
        <v>630.82516319719207</v>
      </c>
      <c r="DS91" s="59">
        <f t="shared" si="71"/>
        <v>904.50689556638577</v>
      </c>
      <c r="DT91" s="59">
        <f ca="1">AVERAGE(OFFSET($DS$3,0,0,'Données projet'!$E$14+1,1))-AVERAGE(OFFSET($H$3,0,0,'Données projet'!$E$14+1,1))</f>
        <v>493.03862850474161</v>
      </c>
      <c r="DU91" s="59">
        <f t="shared" si="98"/>
        <v>312.51819065560528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24.505871827983462</v>
      </c>
      <c r="EB91" s="21">
        <f>EXP(-LN(2)/25)*EB90+(1-EXP(-LN(2)/25))/(LN(2)/25)*Calculateur!DW91*Calculateur!DY91*VLOOKUP('Données projet'!$B$14,Paramètres!$A$1:$I$89,3,0)*0.475*44/12</f>
        <v>23.345828386627918</v>
      </c>
      <c r="EC91" s="21">
        <f>EXP(-LN(2)/2)*EC90+(1-EXP(-LN(2)/2))/(LN(2)/2)*DW91*DZ91*VLOOKUP('Données projet'!$B$14,Paramètres!$A$1:$I$89,3,0)*0.475*44/12</f>
        <v>0.85303528636887083</v>
      </c>
      <c r="ED91" s="22">
        <f t="shared" si="72"/>
        <v>48.704735500980256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9.2740000000000009</v>
      </c>
      <c r="EJ91" s="12">
        <f>IF('Données projet'!$A$192&gt;35,EJ90+EI91-ER90,IF(A91&lt;'Données projet'!$A$192,$EG$205^A91,IF(A91='Données projet'!$A$192,'Données projet'!$B$192,EJ90+EI91-ER90)))</f>
        <v>302.49999999999989</v>
      </c>
      <c r="EK91" s="17">
        <f>EJ91*VLOOKUP('Données projet'!$B$15,Paramètres!$A$1:$I$89,3,0)*VLOOKUP('Données projet'!$B$15,Paramètres!$A$1:$I$89,5,0)</f>
        <v>325.61099999999988</v>
      </c>
      <c r="EL91" s="13">
        <f t="shared" si="99"/>
        <v>76.519647625515432</v>
      </c>
      <c r="EM91" s="20">
        <f t="shared" si="73"/>
        <v>700.3775446144391</v>
      </c>
      <c r="EN91" s="59">
        <f t="shared" si="74"/>
        <v>974.0592769836328</v>
      </c>
      <c r="EO91" s="59">
        <f ca="1">AVERAGE(OFFSET($EN$3,0,0,'Données projet'!$E$15+1,1))-AVERAGE(OFFSET($H$3,0,0,'Données projet'!$E$15+1,1))</f>
        <v>539.72194201710272</v>
      </c>
      <c r="EP91" s="59">
        <f t="shared" si="100"/>
        <v>340.76505385159362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27.272663808562232</v>
      </c>
      <c r="EW91" s="21">
        <f>EXP(-LN(2)/25)*EW90+(1-EXP(-LN(2)/25))/(LN(2)/25)*Calculateur!ER91*Calculateur!ET91*VLOOKUP('Données projet'!$B$15,Paramètres!$A$1:$I$89,3,0)*0.475*44/12</f>
        <v>25.981647720602041</v>
      </c>
      <c r="EX91" s="21">
        <f>EXP(-LN(2)/2)*EX90+(1-EXP(-LN(2)/2))/(LN(2)/2)*ER91*EU91*VLOOKUP('Données projet'!$B$15,Paramètres!$A$1:$I$89,3,0)*0.475*44/12</f>
        <v>0.94934572192664646</v>
      </c>
      <c r="EY91" s="22">
        <f t="shared" si="75"/>
        <v>54.203657251090917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>
        <f>FE91*VLOOKUP('Données projet'!$B$16,Paramètres!$A$1:$I$89,3,0)*VLOOKUP('Données projet'!$B$16,Paramètres!$A$1:$I$89,5,0)</f>
        <v>0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383.47860767209028</v>
      </c>
      <c r="FK91" s="59">
        <f t="shared" si="102"/>
        <v>370.49129421395628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45.23556637732532</v>
      </c>
      <c r="FR91" s="21">
        <f>EXP(-LN(2)/25)*FR90+(1-EXP(-LN(2)/25))/(LN(2)/25)*Calculateur!FM91*Calculateur!FO91*VLOOKUP('Données projet'!$B$16,Paramètres!$A$1:$I$89,3,0)*0.475*44/12</f>
        <v>41.920062652630264</v>
      </c>
      <c r="FS91" s="21">
        <f>EXP(-LN(2)/2)*FS90+(1-EXP(-LN(2)/2))/(LN(2)/2)*FM91*FP91*VLOOKUP('Données projet'!$B$16,Paramètres!$A$1:$I$89,3,0)*0.475*44/12</f>
        <v>3.9778292924373266</v>
      </c>
      <c r="FT91" s="22">
        <f t="shared" si="78"/>
        <v>91.133458322392897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6.7600000000000007</v>
      </c>
      <c r="FZ91" s="12">
        <f>IF('Données projet'!$A$244&gt;35,FZ90+FY91-GH90,IF(A91&lt;'Données projet'!$A$244,$FW$205^A91,IF(A91='Données projet'!$A$244,'Données projet'!$B$244,FZ90+FY91-GH90)))</f>
        <v>205.24999999999994</v>
      </c>
      <c r="GA91" s="17">
        <f>FZ91*VLOOKUP('Données projet'!$B$17,Paramètres!$A$1:$I$89,3,0)*VLOOKUP('Données projet'!$B$17,Paramètres!$A$1:$I$89,5,0)</f>
        <v>233.73869999999994</v>
      </c>
      <c r="GB91" s="13">
        <f t="shared" si="103"/>
        <v>57.090315684407514</v>
      </c>
      <c r="GC91" s="20">
        <f t="shared" si="79"/>
        <v>506.52720231700965</v>
      </c>
      <c r="GD91" s="59">
        <f t="shared" si="80"/>
        <v>780.20893468620329</v>
      </c>
      <c r="GE91" s="59">
        <f ca="1">AVERAGE(OFFSET($GD$3,0,0,'Données projet'!$E$17+1,1))-AVERAGE(OFFSET($H$3,0,0,'Données projet'!$E$17+1,1))</f>
        <v>640.05156427113661</v>
      </c>
      <c r="GF91" s="59">
        <f t="shared" si="104"/>
        <v>308.77220155372902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6.8363395145671255</v>
      </c>
      <c r="GM91" s="21">
        <f>EXP(-LN(2)/25)*GM90+(1-EXP(-LN(2)/25))/(LN(2)/25)*Calculateur!GH91*Calculateur!GJ91*VLOOKUP('Données projet'!$B$17,Paramètres!$A$1:$I$89,3,0)*0.475*44/12</f>
        <v>39.841365887729587</v>
      </c>
      <c r="GN91" s="21">
        <f>EXP(-LN(2)/2)*GN90+(1-EXP(-LN(2)/2))/(LN(2)/2)*GH91*GK91*VLOOKUP('Données projet'!$B$17,Paramètres!$A$1:$I$89,3,0)*0.475*44/12</f>
        <v>2.1915164186339555</v>
      </c>
      <c r="GO91" s="21">
        <f t="shared" si="81"/>
        <v>48.869221820930662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11.905555555555553</v>
      </c>
      <c r="N92" s="13">
        <f>IF('Données projet'!$A$36&gt;35,N91+M92-V91,IF(A92&lt;'Données projet'!$A$36,$K$205^A92,IF(A92='Données projet'!$A$36,'Données projet'!$B$36,N91+M92-V91)))</f>
        <v>441.12444444444429</v>
      </c>
      <c r="O92" s="13">
        <f>N92*VLOOKUP('Données projet'!$B$9,Paramètres!$A$1:$I$89,3,0)*VLOOKUP('Données projet'!$B$9,Paramètres!$A$1:$I$89,5,0)</f>
        <v>371.60323199999993</v>
      </c>
      <c r="P92" s="13">
        <f t="shared" si="87"/>
        <v>85.995216793877105</v>
      </c>
      <c r="Q92" s="20">
        <f t="shared" si="54"/>
        <v>796.98396498266914</v>
      </c>
      <c r="R92" s="59">
        <f t="shared" si="55"/>
        <v>1071.0066086941927</v>
      </c>
      <c r="S92" s="59">
        <f ca="1">AVERAGE(OFFSET($R$3,0,0,'Données projet'!$E$9+1,1))-AVERAGE(OFFSET($H$3,0,0,'Données projet'!$E$9+1,1))</f>
        <v>456.35333554128226</v>
      </c>
      <c r="T92" s="59">
        <f t="shared" si="88"/>
        <v>296.4517290984877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37.484119279069233</v>
      </c>
      <c r="AA92" s="21">
        <f>EXP(-LN(2)/25)*AA91+(1-EXP(-LN(2)/25))/(LN(2)/25)*Calculateur!V92*Calculateur!X92*VLOOKUP('Données projet'!$B$9,Paramètres!$A$1:$I$89,3,0)*0.475*44/12</f>
        <v>23.37140165453263</v>
      </c>
      <c r="AB92" s="21">
        <f>EXP(-LN(2)/2)*AB91+(1-EXP(-LN(2)/2))/(LN(2)/2)*V92*Y92*VLOOKUP('Données projet'!$B$9,Paramètres!$A$1:$I$89,3,0)*0.475*44/12</f>
        <v>1.571467332714243E-2</v>
      </c>
      <c r="AC92" s="22">
        <f t="shared" si="57"/>
        <v>60.871235606929005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408.246209980743</v>
      </c>
      <c r="AO92" s="59">
        <f t="shared" si="90"/>
        <v>394.10236303013903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47.759949474070687</v>
      </c>
      <c r="AV92" s="21">
        <f>EXP(-LN(2)/25)*AV91+(1-EXP(-LN(2)/25))/(LN(2)/25)*Calculateur!AQ92*Calculateur!AS92*VLOOKUP('Données projet'!$B$10,Paramètres!$A$1:$I$89,3,0)*0.475*44/12</f>
        <v>43.91019912990717</v>
      </c>
      <c r="AW92" s="21">
        <f>EXP(-LN(2)/2)*AW91+(1-EXP(-LN(2)/2))/(LN(2)/2)*AQ92*AT92*VLOOKUP('Données projet'!$B$10,Paramètres!$A$1:$I$89,3,0)*0.475*44/12</f>
        <v>3.0291154568606826</v>
      </c>
      <c r="AX92" s="21">
        <f t="shared" si="60"/>
        <v>94.69926406083853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6.7600000000000007</v>
      </c>
      <c r="BD92" s="12">
        <f>IF('Données projet'!$A$88&gt;35,BD91+BC92-BL91,IF(A92&lt;'Données projet'!$A$88,$BA$205^A92,IF(A92='Données projet'!$A$88,'Données projet'!$B$88,BD91+BC92-BL91)))</f>
        <v>212.00999999999993</v>
      </c>
      <c r="BE92" s="13">
        <f>BD92*VLOOKUP('Données projet'!$B$11,Paramètres!$A$1:$I$89,3,0)*VLOOKUP('Données projet'!$B$11,Paramètres!$A$1:$I$89,5,0)</f>
        <v>214.97813999999997</v>
      </c>
      <c r="BF92" s="13">
        <f t="shared" si="91"/>
        <v>53.021946755647264</v>
      </c>
      <c r="BG92" s="20">
        <f t="shared" si="61"/>
        <v>466.76681776608552</v>
      </c>
      <c r="BH92" s="59">
        <f t="shared" si="62"/>
        <v>740.78946147760917</v>
      </c>
      <c r="BI92" s="59">
        <f ca="1">AVERAGE(OFFSET($BH$3,0,0,'Données projet'!$E$11+1,1))-AVERAGE(OFFSET($H$3,0,0,'Données projet'!$E$11+1,1))</f>
        <v>580.02848304986492</v>
      </c>
      <c r="BJ92" s="59">
        <f t="shared" si="92"/>
        <v>281.68891895586728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5.9677862920372542</v>
      </c>
      <c r="BQ92" s="21">
        <f>EXP(-LN(2)/25)*BQ91+(1-EXP(-LN(2)/25))/(LN(2)/25)*Calculateur!BL92*Calculateur!BN92*VLOOKUP('Données projet'!$B$11,Paramètres!$A$1:$I$89,3,0)*0.475*44/12</f>
        <v>34.505117900734383</v>
      </c>
      <c r="BR92" s="21">
        <f>EXP(-LN(2)/2)*BR91+(1-EXP(-LN(2)/2))/(LN(2)/2)*BL92*BO92*VLOOKUP('Données projet'!$B$11,Paramètres!$A$1:$I$89,3,0)*0.475*44/12</f>
        <v>1.3798129841829077</v>
      </c>
      <c r="BS92" s="22">
        <f t="shared" si="63"/>
        <v>41.852717176954542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5.6843418860808015E-14</v>
      </c>
      <c r="BZ92" s="13">
        <f>BY92*VLOOKUP('Données projet'!$B$12,Paramètres!$A$1:$I$89,3,0)*VLOOKUP('Données projet'!$B$12,Paramètres!$A$1:$I$89,5,0)</f>
        <v>4.4337866711430253E-14</v>
      </c>
      <c r="CA92" s="13">
        <f t="shared" si="93"/>
        <v>7.3222115536967035E-13</v>
      </c>
      <c r="CB92" s="20">
        <f t="shared" si="64"/>
        <v>1.3525069634579169E-12</v>
      </c>
      <c r="CC92" s="59">
        <f t="shared" si="65"/>
        <v>274.02264371152495</v>
      </c>
      <c r="CD92" s="59">
        <f ca="1">AVERAGE(OFFSET($CC$3,0,0,'Données projet'!$E$12+1,1))-AVERAGE(OFFSET($H$3,0,0,'Données projet'!$E$12+1,1))</f>
        <v>308.85018589589453</v>
      </c>
      <c r="CE92" s="59">
        <f t="shared" si="94"/>
        <v>302.59481222418219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28.93589862597155</v>
      </c>
      <c r="CL92" s="21">
        <f>EXP(-LN(2)/25)*CL91+(1-EXP(-LN(2)/25))/(LN(2)/25)*Calculateur!CG92*Calculateur!CI92*VLOOKUP('Données projet'!$B$12,Paramètres!$A$1:$I$89,3,0)*0.475*44/12</f>
        <v>24.315176915036322</v>
      </c>
      <c r="CM92" s="21">
        <f>EXP(-LN(2)/2)*CM91+(1-EXP(-LN(2)/2))/(LN(2)/2)*CG92*CJ92*VLOOKUP('Données projet'!$B$12,Paramètres!$A$1:$I$89,3,0)*0.475*44/12</f>
        <v>5.9332052395784644E-2</v>
      </c>
      <c r="CN92" s="22">
        <f t="shared" si="66"/>
        <v>53.310407593403653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3.8461538461538454</v>
      </c>
      <c r="CT92" s="12">
        <f>IF('Données projet'!$A$140&gt;35,CT91+CS92-DB91,IF(A92&lt;'Données projet'!$A$140,$CQ$205^A92,IF(A92='Données projet'!$A$140,'Données projet'!$B$140,CT91+CS92-DB91)))</f>
        <v>279.48717948717962</v>
      </c>
      <c r="CU92" s="17">
        <f>CT92*VLOOKUP('Données projet'!$B$13,Paramètres!$A$1:$I$89,3,0)*VLOOKUP('Données projet'!$B$13,Paramètres!$A$1:$I$89,5,0)</f>
        <v>187.4800000000001</v>
      </c>
      <c r="CV92" s="13">
        <f t="shared" si="95"/>
        <v>46.982384430819423</v>
      </c>
      <c r="CW92" s="20">
        <f t="shared" si="67"/>
        <v>408.35531955034395</v>
      </c>
      <c r="CX92" s="59">
        <f t="shared" si="68"/>
        <v>682.37796326186754</v>
      </c>
      <c r="CY92" s="59">
        <f ca="1">AVERAGE(OFFSET($CX$3,0,0,'Données projet'!$E$13+1,1))-AVERAGE(OFFSET($H$3,0,0,'Données projet'!$E$13+1,1))</f>
        <v>335.73816489539837</v>
      </c>
      <c r="CZ92" s="59">
        <f t="shared" si="96"/>
        <v>254.09787950201044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5.7511174560005678</v>
      </c>
      <c r="DG92" s="21">
        <f>EXP(-LN(2)/25)*DG91+(1-EXP(-LN(2)/25))/(LN(2)/25)*Calculateur!DB92*Calculateur!DD92*VLOOKUP('Données projet'!$B$13,Paramètres!$A$1:$I$89,3,0)*0.475*44/12</f>
        <v>8.4070451413706753</v>
      </c>
      <c r="DH92" s="21">
        <f>EXP(-LN(2)/2)*DH91+(1-EXP(-LN(2)/2))/(LN(2)/2)*DB92*DE92*VLOOKUP('Données projet'!$B$13,Paramètres!$A$1:$I$89,3,0)*0.475*44/12</f>
        <v>0.59180593148635063</v>
      </c>
      <c r="DI92" s="22">
        <f t="shared" si="69"/>
        <v>14.749968528857593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9.2740000000000009</v>
      </c>
      <c r="DO92" s="12">
        <f>IF('Données projet'!$A$166&gt;35,DO91+DN92-DW91,IF(A92&lt;'Données projet'!$A$166,$DL$205^A92,IF(A92='Données projet'!$A$166,'Données projet'!$B$166,DO91+DN92-DW91)))</f>
        <v>311.77399999999989</v>
      </c>
      <c r="DP92" s="17">
        <f>DO92*VLOOKUP('Données projet'!$B$14,Paramètres!$A$1:$I$89,3,0)*VLOOKUP('Données projet'!$B$14,Paramètres!$A$1:$I$89,5,0)</f>
        <v>301.54781279999986</v>
      </c>
      <c r="DQ92" s="13">
        <f t="shared" si="97"/>
        <v>71.500847243516745</v>
      </c>
      <c r="DR92" s="20">
        <f t="shared" si="70"/>
        <v>649.72641624245819</v>
      </c>
      <c r="DS92" s="59">
        <f t="shared" si="71"/>
        <v>923.74905995398171</v>
      </c>
      <c r="DT92" s="59">
        <f ca="1">AVERAGE(OFFSET($DS$3,0,0,'Données projet'!$E$14+1,1))-AVERAGE(OFFSET($H$3,0,0,'Données projet'!$E$14+1,1))</f>
        <v>493.03862850474161</v>
      </c>
      <c r="DU92" s="59">
        <f t="shared" si="98"/>
        <v>312.51819065560528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24.025326628542619</v>
      </c>
      <c r="EB92" s="21">
        <f>EXP(-LN(2)/25)*EB91+(1-EXP(-LN(2)/25))/(LN(2)/25)*Calculateur!DW92*Calculateur!DY92*VLOOKUP('Données projet'!$B$14,Paramètres!$A$1:$I$89,3,0)*0.475*44/12</f>
        <v>22.707435481691821</v>
      </c>
      <c r="EC92" s="21">
        <f>EXP(-LN(2)/2)*EC91+(1-EXP(-LN(2)/2))/(LN(2)/2)*DW92*DZ92*VLOOKUP('Données projet'!$B$14,Paramètres!$A$1:$I$89,3,0)*0.475*44/12</f>
        <v>0.60318703558283704</v>
      </c>
      <c r="ED92" s="22">
        <f t="shared" si="72"/>
        <v>47.335949145817274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9.2740000000000009</v>
      </c>
      <c r="EJ92" s="12">
        <f>IF('Données projet'!$A$192&gt;35,EJ91+EI92-ER91,IF(A92&lt;'Données projet'!$A$192,$EG$205^A92,IF(A92='Données projet'!$A$192,'Données projet'!$B$192,EJ91+EI92-ER91)))</f>
        <v>311.77399999999989</v>
      </c>
      <c r="EK92" s="17">
        <f>EJ92*VLOOKUP('Données projet'!$B$15,Paramètres!$A$1:$I$89,3,0)*VLOOKUP('Données projet'!$B$15,Paramètres!$A$1:$I$89,5,0)</f>
        <v>335.59353359999983</v>
      </c>
      <c r="EL92" s="13">
        <f t="shared" si="99"/>
        <v>78.588852527390316</v>
      </c>
      <c r="EM92" s="20">
        <f t="shared" si="73"/>
        <v>721.36765583853776</v>
      </c>
      <c r="EN92" s="59">
        <f t="shared" si="74"/>
        <v>995.3902995500614</v>
      </c>
      <c r="EO92" s="59">
        <f ca="1">AVERAGE(OFFSET($EN$3,0,0,'Données projet'!$E$15+1,1))-AVERAGE(OFFSET($H$3,0,0,'Données projet'!$E$15+1,1))</f>
        <v>539.72194201710272</v>
      </c>
      <c r="EP92" s="59">
        <f t="shared" si="100"/>
        <v>340.76505385159362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26.73786350595871</v>
      </c>
      <c r="EW92" s="21">
        <f>EXP(-LN(2)/25)*EW91+(1-EXP(-LN(2)/25))/(LN(2)/25)*Calculateur!ER92*Calculateur!ET92*VLOOKUP('Données projet'!$B$15,Paramètres!$A$1:$I$89,3,0)*0.475*44/12</f>
        <v>25.271178197366705</v>
      </c>
      <c r="EX92" s="21">
        <f>EXP(-LN(2)/2)*EX91+(1-EXP(-LN(2)/2))/(LN(2)/2)*ER92*EU92*VLOOKUP('Données projet'!$B$15,Paramètres!$A$1:$I$89,3,0)*0.475*44/12</f>
        <v>0.67128879766477023</v>
      </c>
      <c r="EY92" s="22">
        <f t="shared" si="75"/>
        <v>52.680330500990188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>
        <f>FE92*VLOOKUP('Données projet'!$B$16,Paramètres!$A$1:$I$89,3,0)*VLOOKUP('Données projet'!$B$16,Paramètres!$A$1:$I$89,5,0)</f>
        <v>0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383.47860767209028</v>
      </c>
      <c r="FK92" s="59">
        <f t="shared" si="102"/>
        <v>370.49129421395628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44.348524511637081</v>
      </c>
      <c r="FR92" s="21">
        <f>EXP(-LN(2)/25)*FR91+(1-EXP(-LN(2)/25))/(LN(2)/25)*Calculateur!FM92*Calculateur!FO92*VLOOKUP('Données projet'!$B$16,Paramètres!$A$1:$I$89,3,0)*0.475*44/12</f>
        <v>40.773756334913806</v>
      </c>
      <c r="FS92" s="21">
        <f>EXP(-LN(2)/2)*FS91+(1-EXP(-LN(2)/2))/(LN(2)/2)*FM92*FP92*VLOOKUP('Données projet'!$B$16,Paramètres!$A$1:$I$89,3,0)*0.475*44/12</f>
        <v>2.8127500670849201</v>
      </c>
      <c r="FT92" s="22">
        <f t="shared" si="78"/>
        <v>87.935030913635813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6.7600000000000007</v>
      </c>
      <c r="FZ92" s="12">
        <f>IF('Données projet'!$A$244&gt;35,FZ91+FY92-GH91,IF(A92&lt;'Données projet'!$A$244,$FW$205^A92,IF(A92='Données projet'!$A$244,'Données projet'!$B$244,FZ91+FY92-GH91)))</f>
        <v>212.00999999999993</v>
      </c>
      <c r="GA92" s="17">
        <f>FZ92*VLOOKUP('Données projet'!$B$17,Paramètres!$A$1:$I$89,3,0)*VLOOKUP('Données projet'!$B$17,Paramètres!$A$1:$I$89,5,0)</f>
        <v>241.43698799999993</v>
      </c>
      <c r="GB92" s="13">
        <f t="shared" si="103"/>
        <v>58.748597951768716</v>
      </c>
      <c r="GC92" s="20">
        <f t="shared" si="79"/>
        <v>522.82322886599707</v>
      </c>
      <c r="GD92" s="59">
        <f t="shared" si="80"/>
        <v>796.84587257752059</v>
      </c>
      <c r="GE92" s="59">
        <f ca="1">AVERAGE(OFFSET($GD$3,0,0,'Données projet'!$E$17+1,1))-AVERAGE(OFFSET($H$3,0,0,'Données projet'!$E$17+1,1))</f>
        <v>640.05156427113661</v>
      </c>
      <c r="GF92" s="59">
        <f t="shared" si="104"/>
        <v>308.77220155372902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6.7022830664418391</v>
      </c>
      <c r="GM92" s="21">
        <f>EXP(-LN(2)/25)*GM91+(1-EXP(-LN(2)/25))/(LN(2)/25)*Calculateur!GH92*Calculateur!GJ92*VLOOKUP('Données projet'!$B$17,Paramètres!$A$1:$I$89,3,0)*0.475*44/12</f>
        <v>38.751901642363251</v>
      </c>
      <c r="GN92" s="21">
        <f>EXP(-LN(2)/2)*GN91+(1-EXP(-LN(2)/2))/(LN(2)/2)*GH92*GK92*VLOOKUP('Données projet'!$B$17,Paramètres!$A$1:$I$89,3,0)*0.475*44/12</f>
        <v>1.5496361206977267</v>
      </c>
      <c r="GO92" s="21">
        <f t="shared" si="81"/>
        <v>47.003820829502814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453.03</v>
      </c>
      <c r="L93" s="12">
        <f>VLOOKUP(A93,'Données projet'!$A$35:$I$55,9,0)</f>
        <v>11.905555555555553</v>
      </c>
      <c r="M93" s="12">
        <f t="array" ref="M93">INDEX(L:L,MIN(IF(ISNUMBER(L93:L289),ROW(L93:L289),"")))</f>
        <v>11.905555555555553</v>
      </c>
      <c r="N93" s="13">
        <f>IF('Données projet'!$A$36&gt;35,N92+M93-V92,IF(A93&lt;'Données projet'!$A$36,$K$205^A93,IF(A93='Données projet'!$A$36,'Données projet'!$B$36,N92+M93-V92)))</f>
        <v>453.02999999999986</v>
      </c>
      <c r="O93" s="13">
        <f>N93*VLOOKUP('Données projet'!$B$9,Paramètres!$A$1:$I$89,3,0)*VLOOKUP('Données projet'!$B$9,Paramètres!$A$1:$I$89,5,0)</f>
        <v>381.63247199999995</v>
      </c>
      <c r="P93" s="13">
        <f t="shared" si="87"/>
        <v>88.042804903030387</v>
      </c>
      <c r="Q93" s="20">
        <f t="shared" si="54"/>
        <v>818.01777393944451</v>
      </c>
      <c r="R93" s="59">
        <f t="shared" si="55"/>
        <v>1092.3754149436722</v>
      </c>
      <c r="S93" s="59">
        <f ca="1">AVERAGE(OFFSET($R$3,0,0,'Données projet'!$E$9+1,1))-AVERAGE(OFFSET($H$3,0,0,'Données projet'!$E$9+1,1))</f>
        <v>456.35333554128226</v>
      </c>
      <c r="T93" s="59">
        <f t="shared" si="88"/>
        <v>296.4517290984877</v>
      </c>
      <c r="U93" s="15">
        <f>IF(ISNA(VLOOKUP(A93,'Données projet'!$A$35:$I$55,3,0)),0,VLOOKUP(A93,'Données projet'!$A$35:$I$55,3,0))</f>
        <v>9</v>
      </c>
      <c r="V93" s="15">
        <f>IF(ISNA(VLOOKUP(A93,'Données projet'!$A$35:$I$55,4,0)),0,VLOOKUP(A93,'Données projet'!$A$35:$I$55,4,0))</f>
        <v>88.75</v>
      </c>
      <c r="W93" s="16">
        <f>IF(ISNA(VLOOKUP(A93,'Données projet'!$A$35:$I$55,5,0)),0%,VLOOKUP(A93,'Données projet'!$A$35:$I$55,5,0)*VLOOKUP('Données projet'!$B$9,Paramètres!$A$1:$I$89,7,0))</f>
        <v>0.215</v>
      </c>
      <c r="X93" s="16">
        <f>IF(ISNA(VLOOKUP(A93,'Données projet'!$A$35:$I$55,6,0)),0%,VLOOKUP(A93,'Données projet'!$A$35:$I$55,6,0)*VLOOKUP('Données projet'!$B$9,Paramètres!$A$1:$I$89,7,0))</f>
        <v>8.6000000000000007E-2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54.518459189841622</v>
      </c>
      <c r="AA93" s="21">
        <f>EXP(-LN(2)/25)*AA92+(1-EXP(-LN(2)/25))/(LN(2)/25)*Calculateur!V93*Calculateur!X93*VLOOKUP('Données projet'!$B$9,Paramètres!$A$1:$I$89,3,0)*0.475*44/12</f>
        <v>29.812075769075744</v>
      </c>
      <c r="AB93" s="21">
        <f>EXP(-LN(2)/2)*AB92+(1-EXP(-LN(2)/2))/(LN(2)/2)*V93*Y93*VLOOKUP('Données projet'!$B$9,Paramètres!$A$1:$I$89,3,0)*0.475*44/12</f>
        <v>1.1111952073753777E-2</v>
      </c>
      <c r="AC93" s="22">
        <f t="shared" si="57"/>
        <v>84.341646910991116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408.246209980743</v>
      </c>
      <c r="AO93" s="59">
        <f t="shared" si="90"/>
        <v>394.10236303013903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46.823405995576927</v>
      </c>
      <c r="AV93" s="21">
        <f>EXP(-LN(2)/25)*AV92+(1-EXP(-LN(2)/25))/(LN(2)/25)*Calculateur!AQ93*Calculateur!AS93*VLOOKUP('Données projet'!$B$10,Paramètres!$A$1:$I$89,3,0)*0.475*44/12</f>
        <v>42.709472425562844</v>
      </c>
      <c r="AW93" s="21">
        <f>EXP(-LN(2)/2)*AW92+(1-EXP(-LN(2)/2))/(LN(2)/2)*AQ93*AT93*VLOOKUP('Données projet'!$B$10,Paramètres!$A$1:$I$89,3,0)*0.475*44/12</f>
        <v>2.1419080805431756</v>
      </c>
      <c r="AX93" s="21">
        <f t="shared" si="60"/>
        <v>91.674786501682945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6.7600000000000007</v>
      </c>
      <c r="BD93" s="12">
        <f>IF('Données projet'!$A$88&gt;35,BD92+BC93-BL92,IF(A93&lt;'Données projet'!$A$88,$BA$205^A93,IF(A93='Données projet'!$A$88,'Données projet'!$B$88,BD92+BC93-BL92)))</f>
        <v>218.76999999999992</v>
      </c>
      <c r="BE93" s="13">
        <f>BD93*VLOOKUP('Données projet'!$B$11,Paramètres!$A$1:$I$89,3,0)*VLOOKUP('Données projet'!$B$11,Paramètres!$A$1:$I$89,5,0)</f>
        <v>221.83277999999993</v>
      </c>
      <c r="BF93" s="13">
        <f t="shared" si="91"/>
        <v>54.513038854982973</v>
      </c>
      <c r="BG93" s="20">
        <f t="shared" si="61"/>
        <v>481.30230117242854</v>
      </c>
      <c r="BH93" s="59">
        <f t="shared" si="62"/>
        <v>755.65994217665616</v>
      </c>
      <c r="BI93" s="59">
        <f ca="1">AVERAGE(OFFSET($BH$3,0,0,'Données projet'!$E$11+1,1))-AVERAGE(OFFSET($H$3,0,0,'Données projet'!$E$11+1,1))</f>
        <v>580.02848304986492</v>
      </c>
      <c r="BJ93" s="59">
        <f t="shared" si="92"/>
        <v>281.68891895586728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5.8507616428406228</v>
      </c>
      <c r="BQ93" s="21">
        <f>EXP(-LN(2)/25)*BQ92+(1-EXP(-LN(2)/25))/(LN(2)/25)*Calculateur!BL93*Calculateur!BN93*VLOOKUP('Données projet'!$B$11,Paramètres!$A$1:$I$89,3,0)*0.475*44/12</f>
        <v>33.561573637193511</v>
      </c>
      <c r="BR93" s="21">
        <f>EXP(-LN(2)/2)*BR92+(1-EXP(-LN(2)/2))/(LN(2)/2)*BL93*BO93*VLOOKUP('Données projet'!$B$11,Paramètres!$A$1:$I$89,3,0)*0.475*44/12</f>
        <v>0.97567511788498051</v>
      </c>
      <c r="BS93" s="22">
        <f t="shared" si="63"/>
        <v>40.388010397919118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5.6843418860808015E-14</v>
      </c>
      <c r="BZ93" s="13">
        <f>BY93*VLOOKUP('Données projet'!$B$12,Paramètres!$A$1:$I$89,3,0)*VLOOKUP('Données projet'!$B$12,Paramètres!$A$1:$I$89,5,0)</f>
        <v>4.4337866711430253E-14</v>
      </c>
      <c r="CA93" s="13">
        <f t="shared" si="93"/>
        <v>7.3222115536967035E-13</v>
      </c>
      <c r="CB93" s="20">
        <f t="shared" si="64"/>
        <v>1.3525069634579169E-12</v>
      </c>
      <c r="CC93" s="59">
        <f t="shared" si="65"/>
        <v>274.35764100422904</v>
      </c>
      <c r="CD93" s="59">
        <f ca="1">AVERAGE(OFFSET($CC$3,0,0,'Données projet'!$E$12+1,1))-AVERAGE(OFFSET($H$3,0,0,'Données projet'!$E$12+1,1))</f>
        <v>308.85018589589453</v>
      </c>
      <c r="CE93" s="59">
        <f t="shared" si="94"/>
        <v>302.59481222418219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28.368483303071699</v>
      </c>
      <c r="CL93" s="21">
        <f>EXP(-LN(2)/25)*CL92+(1-EXP(-LN(2)/25))/(LN(2)/25)*Calculateur!CG93*Calculateur!CI93*VLOOKUP('Données projet'!$B$12,Paramètres!$A$1:$I$89,3,0)*0.475*44/12</f>
        <v>23.650277123615073</v>
      </c>
      <c r="CM93" s="21">
        <f>EXP(-LN(2)/2)*CM92+(1-EXP(-LN(2)/2))/(LN(2)/2)*CG93*CJ93*VLOOKUP('Données projet'!$B$12,Paramètres!$A$1:$I$89,3,0)*0.475*44/12</f>
        <v>4.195409659077487E-2</v>
      </c>
      <c r="CN93" s="22">
        <f t="shared" si="66"/>
        <v>52.060714523277539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283.33333333333331</v>
      </c>
      <c r="CR93" s="12">
        <f>VLOOKUP(A93,'Données projet'!$A$139:$I$159,9,0)</f>
        <v>3.8461538461538454</v>
      </c>
      <c r="CS93" s="12">
        <f t="array" ref="CS93">INDEX(CR:CR,MIN(IF(ISNUMBER(CR93:CR289),ROW(CR93:CR289),"")))</f>
        <v>3.8461538461538454</v>
      </c>
      <c r="CT93" s="12">
        <f>IF('Données projet'!$A$140&gt;35,CT92+CS93-DB92,IF(A93&lt;'Données projet'!$A$140,$CQ$205^A93,IF(A93='Données projet'!$A$140,'Données projet'!$B$140,CT92+CS93-DB92)))</f>
        <v>283.33333333333348</v>
      </c>
      <c r="CU93" s="17">
        <f>CT93*VLOOKUP('Données projet'!$B$13,Paramètres!$A$1:$I$89,3,0)*VLOOKUP('Données projet'!$B$13,Paramètres!$A$1:$I$89,5,0)</f>
        <v>190.06000000000012</v>
      </c>
      <c r="CV93" s="13">
        <f t="shared" si="95"/>
        <v>47.55321775556439</v>
      </c>
      <c r="CW93" s="20">
        <f t="shared" si="67"/>
        <v>413.84302092427475</v>
      </c>
      <c r="CX93" s="59">
        <f t="shared" si="68"/>
        <v>688.20066192850243</v>
      </c>
      <c r="CY93" s="59">
        <f ca="1">AVERAGE(OFFSET($CX$3,0,0,'Données projet'!$E$13+1,1))-AVERAGE(OFFSET($H$3,0,0,'Données projet'!$E$13+1,1))</f>
        <v>335.73816489539837</v>
      </c>
      <c r="CZ93" s="59">
        <f t="shared" si="96"/>
        <v>254.09787950201044</v>
      </c>
      <c r="DA93" s="15">
        <f>IF(ISNA(VLOOKUP(A93,'Données projet'!$A$139:$I$159,3,0)),0,VLOOKUP(A93,'Données projet'!$A$139:$I$159,3,0))</f>
        <v>16</v>
      </c>
      <c r="DB93" s="15">
        <f>IF(ISNA(VLOOKUP(A93,'Données projet'!$A$139:$I$159,4,0)),0,VLOOKUP(A93,'Données projet'!$A$139:$I$159,4,0))</f>
        <v>12.179487179487179</v>
      </c>
      <c r="DC93" s="16">
        <f>IF(ISNA(VLOOKUP(A93,'Données projet'!$A$139:$I$159,5,0)),0%,VLOOKUP(A93,'Données projet'!$A$139:$I$159,5,0)*VLOOKUP('Données projet'!$B$13,Paramètres!$A$1:$I$89,7,0))</f>
        <v>0.13250000000000001</v>
      </c>
      <c r="DD93" s="16">
        <f>IF(ISNA(VLOOKUP(A93,'Données projet'!$A$139:$I$159,6,0)),0%,VLOOKUP(A93,'Données projet'!$A$139:$I$159,6,0)*VLOOKUP('Données projet'!$B$13,Paramètres!$A$1:$I$89,7,0))</f>
        <v>0.13250000000000001</v>
      </c>
      <c r="DE93" s="16">
        <f>IF(ISNA(VLOOKUP(A93,'Données projet'!$A$139:$I$159,7,0)),0%,VLOOKUP(A93,'Données projet'!$A$139:$I$159,7,0))</f>
        <v>0.25</v>
      </c>
      <c r="DF93" s="21">
        <f>EXP(-LN(2)/35)*DF92+(1-EXP(-LN(2)/35))/(LN(2)/35)*DB93*DC93*VLOOKUP('Données projet'!$B$13,Paramètres!$A$1:$I$89,3,0)*0.475*44/12</f>
        <v>6.835040873127582</v>
      </c>
      <c r="DG93" s="21">
        <f>EXP(-LN(2)/25)*DG92+(1-EXP(-LN(2)/25))/(LN(2)/25)*Calculateur!DB93*Calculateur!DD93*VLOOKUP('Données projet'!$B$13,Paramètres!$A$1:$I$89,3,0)*0.475*44/12</f>
        <v>9.3691415112652301</v>
      </c>
      <c r="DH93" s="21">
        <f>EXP(-LN(2)/2)*DH92+(1-EXP(-LN(2)/2))/(LN(2)/2)*DB93*DE93*VLOOKUP('Données projet'!$B$13,Paramètres!$A$1:$I$89,3,0)*0.475*44/12</f>
        <v>2.3456237103819255</v>
      </c>
      <c r="DI93" s="22">
        <f t="shared" si="69"/>
        <v>18.549806094774738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9.2740000000000009</v>
      </c>
      <c r="DO93" s="12">
        <f>IF('Données projet'!$A$166&gt;35,DO92+DN93-DW92,IF(A93&lt;'Données projet'!$A$166,$DL$205^A93,IF(A93='Données projet'!$A$166,'Données projet'!$B$166,DO92+DN93-DW92)))</f>
        <v>321.04799999999989</v>
      </c>
      <c r="DP93" s="17">
        <f>DO93*VLOOKUP('Données projet'!$B$14,Paramètres!$A$1:$I$89,3,0)*VLOOKUP('Données projet'!$B$14,Paramètres!$A$1:$I$89,5,0)</f>
        <v>310.51762559999992</v>
      </c>
      <c r="DQ93" s="13">
        <f t="shared" si="97"/>
        <v>73.376920500407024</v>
      </c>
      <c r="DR93" s="20">
        <f t="shared" si="70"/>
        <v>668.61633445820871</v>
      </c>
      <c r="DS93" s="59">
        <f t="shared" si="71"/>
        <v>942.97397546243633</v>
      </c>
      <c r="DT93" s="59">
        <f ca="1">AVERAGE(OFFSET($DS$3,0,0,'Données projet'!$E$14+1,1))-AVERAGE(OFFSET($H$3,0,0,'Données projet'!$E$14+1,1))</f>
        <v>493.03862850474161</v>
      </c>
      <c r="DU93" s="59">
        <f t="shared" si="98"/>
        <v>312.51819065560528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23.55420462735918</v>
      </c>
      <c r="EB93" s="21">
        <f>EXP(-LN(2)/25)*EB92+(1-EXP(-LN(2)/25))/(LN(2)/25)*Calculateur!DW93*Calculateur!DY93*VLOOKUP('Données projet'!$B$14,Paramètres!$A$1:$I$89,3,0)*0.475*44/12</f>
        <v>22.086499464312826</v>
      </c>
      <c r="EC93" s="21">
        <f>EXP(-LN(2)/2)*EC92+(1-EXP(-LN(2)/2))/(LN(2)/2)*DW93*DZ93*VLOOKUP('Données projet'!$B$14,Paramètres!$A$1:$I$89,3,0)*0.475*44/12</f>
        <v>0.42651764318443541</v>
      </c>
      <c r="ED93" s="22">
        <f t="shared" si="72"/>
        <v>46.067221734856439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9.2740000000000009</v>
      </c>
      <c r="EJ93" s="12">
        <f>IF('Données projet'!$A$192&gt;35,EJ92+EI93-ER92,IF(A93&lt;'Données projet'!$A$192,$EG$205^A93,IF(A93='Données projet'!$A$192,'Données projet'!$B$192,EJ92+EI93-ER92)))</f>
        <v>321.04799999999989</v>
      </c>
      <c r="EK93" s="17">
        <f>EJ93*VLOOKUP('Données projet'!$B$15,Paramètres!$A$1:$I$89,3,0)*VLOOKUP('Données projet'!$B$15,Paramètres!$A$1:$I$89,5,0)</f>
        <v>345.57606719999984</v>
      </c>
      <c r="EL93" s="13">
        <f t="shared" si="99"/>
        <v>80.650904240067121</v>
      </c>
      <c r="EM93" s="20">
        <f t="shared" si="73"/>
        <v>742.34530859144991</v>
      </c>
      <c r="EN93" s="59">
        <f t="shared" si="74"/>
        <v>1016.7029495956776</v>
      </c>
      <c r="EO93" s="59">
        <f ca="1">AVERAGE(OFFSET($EN$3,0,0,'Données projet'!$E$15+1,1))-AVERAGE(OFFSET($H$3,0,0,'Données projet'!$E$15+1,1))</f>
        <v>539.72194201710272</v>
      </c>
      <c r="EP93" s="59">
        <f t="shared" si="100"/>
        <v>340.76505385159362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26.213550311093268</v>
      </c>
      <c r="EW93" s="21">
        <f>EXP(-LN(2)/25)*EW92+(1-EXP(-LN(2)/25))/(LN(2)/25)*Calculateur!ER93*Calculateur!ET93*VLOOKUP('Données projet'!$B$15,Paramètres!$A$1:$I$89,3,0)*0.475*44/12</f>
        <v>24.580136500606208</v>
      </c>
      <c r="EX93" s="21">
        <f>EXP(-LN(2)/2)*EX92+(1-EXP(-LN(2)/2))/(LN(2)/2)*ER93*EU93*VLOOKUP('Données projet'!$B$15,Paramètres!$A$1:$I$89,3,0)*0.475*44/12</f>
        <v>0.47467286096332328</v>
      </c>
      <c r="EY93" s="22">
        <f t="shared" si="75"/>
        <v>51.268359672662797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>
        <f>FE93*VLOOKUP('Données projet'!$B$16,Paramètres!$A$1:$I$89,3,0)*VLOOKUP('Données projet'!$B$16,Paramètres!$A$1:$I$89,5,0)</f>
        <v>0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383.47860767209028</v>
      </c>
      <c r="FK93" s="59">
        <f t="shared" si="102"/>
        <v>370.49129421395628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43.478876995892868</v>
      </c>
      <c r="FR93" s="21">
        <f>EXP(-LN(2)/25)*FR92+(1-EXP(-LN(2)/25))/(LN(2)/25)*Calculateur!FM93*Calculateur!FO93*VLOOKUP('Données projet'!$B$16,Paramètres!$A$1:$I$89,3,0)*0.475*44/12</f>
        <v>39.658795823736931</v>
      </c>
      <c r="FS93" s="21">
        <f>EXP(-LN(2)/2)*FS92+(1-EXP(-LN(2)/2))/(LN(2)/2)*FM93*FP93*VLOOKUP('Données projet'!$B$16,Paramètres!$A$1:$I$89,3,0)*0.475*44/12</f>
        <v>1.9889146462186635</v>
      </c>
      <c r="FT93" s="22">
        <f t="shared" si="78"/>
        <v>85.126587465848459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6.7600000000000007</v>
      </c>
      <c r="FZ93" s="12">
        <f>IF('Données projet'!$A$244&gt;35,FZ92+FY93-GH92,IF(A93&lt;'Données projet'!$A$244,$FW$205^A93,IF(A93='Données projet'!$A$244,'Données projet'!$B$244,FZ92+FY93-GH92)))</f>
        <v>218.76999999999992</v>
      </c>
      <c r="GA93" s="17">
        <f>FZ93*VLOOKUP('Données projet'!$B$17,Paramètres!$A$1:$I$89,3,0)*VLOOKUP('Données projet'!$B$17,Paramètres!$A$1:$I$89,5,0)</f>
        <v>249.13527599999992</v>
      </c>
      <c r="GB93" s="13">
        <f t="shared" si="103"/>
        <v>60.4007358986577</v>
      </c>
      <c r="GC93" s="20">
        <f t="shared" si="79"/>
        <v>539.10855405682867</v>
      </c>
      <c r="GD93" s="59">
        <f t="shared" si="80"/>
        <v>813.4661950610564</v>
      </c>
      <c r="GE93" s="59">
        <f ca="1">AVERAGE(OFFSET($GD$3,0,0,'Données projet'!$E$17+1,1))-AVERAGE(OFFSET($H$3,0,0,'Données projet'!$E$17+1,1))</f>
        <v>640.05156427113661</v>
      </c>
      <c r="GF93" s="59">
        <f t="shared" si="104"/>
        <v>308.77220155372902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6.5708553834979302</v>
      </c>
      <c r="GM93" s="21">
        <f>EXP(-LN(2)/25)*GM92+(1-EXP(-LN(2)/25))/(LN(2)/25)*Calculateur!GH93*Calculateur!GJ93*VLOOKUP('Données projet'!$B$17,Paramètres!$A$1:$I$89,3,0)*0.475*44/12</f>
        <v>37.692228854078891</v>
      </c>
      <c r="GN93" s="21">
        <f>EXP(-LN(2)/2)*GN92+(1-EXP(-LN(2)/2))/(LN(2)/2)*GH93*GK93*VLOOKUP('Données projet'!$B$17,Paramètres!$A$1:$I$89,3,0)*0.475*44/12</f>
        <v>1.0957582093169778</v>
      </c>
      <c r="GO93" s="21">
        <f t="shared" si="81"/>
        <v>45.358842446893796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11.216666666666672</v>
      </c>
      <c r="N94" s="13">
        <f>IF('Données projet'!$A$36&gt;35,N93+M94-V93,IF(A94&lt;'Données projet'!$A$36,$K$205^A94,IF(A94='Données projet'!$A$36,'Données projet'!$B$36,N93+M94-V93)))</f>
        <v>375.49666666666656</v>
      </c>
      <c r="O94" s="13">
        <f>N94*VLOOKUP('Données projet'!$B$9,Paramètres!$A$1:$I$89,3,0)*VLOOKUP('Données projet'!$B$9,Paramètres!$A$1:$I$89,5,0)</f>
        <v>316.31839199999996</v>
      </c>
      <c r="P94" s="13">
        <f t="shared" si="87"/>
        <v>74.586808381726854</v>
      </c>
      <c r="Q94" s="20">
        <f t="shared" si="54"/>
        <v>680.82655733150739</v>
      </c>
      <c r="R94" s="59">
        <f t="shared" si="55"/>
        <v>955.5133841743525</v>
      </c>
      <c r="S94" s="59">
        <f ca="1">AVERAGE(OFFSET($R$3,0,0,'Données projet'!$E$9+1,1))-AVERAGE(OFFSET($H$3,0,0,'Données projet'!$E$9+1,1))</f>
        <v>456.35333554128226</v>
      </c>
      <c r="T94" s="59">
        <f t="shared" si="88"/>
        <v>296.4517290984877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53.449385458105475</v>
      </c>
      <c r="AA94" s="21">
        <f>EXP(-LN(2)/25)*AA93+(1-EXP(-LN(2)/25))/(LN(2)/25)*Calculateur!V94*Calculateur!X94*VLOOKUP('Données projet'!$B$9,Paramètres!$A$1:$I$89,3,0)*0.475*44/12</f>
        <v>28.996862989421441</v>
      </c>
      <c r="AB94" s="21">
        <f>EXP(-LN(2)/2)*AB93+(1-EXP(-LN(2)/2))/(LN(2)/2)*V94*Y94*VLOOKUP('Données projet'!$B$9,Paramètres!$A$1:$I$89,3,0)*0.475*44/12</f>
        <v>7.8573366635712148E-3</v>
      </c>
      <c r="AC94" s="22">
        <f t="shared" si="57"/>
        <v>82.454105784190489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408.246209980743</v>
      </c>
      <c r="AO94" s="59">
        <f t="shared" si="90"/>
        <v>394.10236303013903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45.90522756346131</v>
      </c>
      <c r="AV94" s="21">
        <f>EXP(-LN(2)/25)*AV93+(1-EXP(-LN(2)/25))/(LN(2)/25)*Calculateur!AQ94*Calculateur!AS94*VLOOKUP('Données projet'!$B$10,Paramètres!$A$1:$I$89,3,0)*0.475*44/12</f>
        <v>41.541579656092289</v>
      </c>
      <c r="AW94" s="21">
        <f>EXP(-LN(2)/2)*AW93+(1-EXP(-LN(2)/2))/(LN(2)/2)*AQ94*AT94*VLOOKUP('Données projet'!$B$10,Paramètres!$A$1:$I$89,3,0)*0.475*44/12</f>
        <v>1.5145577284303413</v>
      </c>
      <c r="AX94" s="21">
        <f t="shared" si="60"/>
        <v>88.961364947983938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6.7600000000000007</v>
      </c>
      <c r="BD94" s="12">
        <f>IF('Données projet'!$A$88&gt;35,BD93+BC94-BL93,IF(A94&lt;'Données projet'!$A$88,$BA$205^A94,IF(A94='Données projet'!$A$88,'Données projet'!$B$88,BD93+BC94-BL93)))</f>
        <v>225.52999999999992</v>
      </c>
      <c r="BE94" s="13">
        <f>BD94*VLOOKUP('Données projet'!$B$11,Paramètres!$A$1:$I$89,3,0)*VLOOKUP('Données projet'!$B$11,Paramètres!$A$1:$I$89,5,0)</f>
        <v>228.68741999999995</v>
      </c>
      <c r="BF94" s="13">
        <f t="shared" si="91"/>
        <v>55.998776581457236</v>
      </c>
      <c r="BG94" s="20">
        <f t="shared" si="61"/>
        <v>495.82845904603795</v>
      </c>
      <c r="BH94" s="59">
        <f t="shared" si="62"/>
        <v>770.515285888883</v>
      </c>
      <c r="BI94" s="59">
        <f ca="1">AVERAGE(OFFSET($BH$3,0,0,'Données projet'!$E$11+1,1))-AVERAGE(OFFSET($H$3,0,0,'Données projet'!$E$11+1,1))</f>
        <v>580.02848304986492</v>
      </c>
      <c r="BJ94" s="59">
        <f t="shared" si="92"/>
        <v>281.68891895586728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5.7360317756367492</v>
      </c>
      <c r="BQ94" s="21">
        <f>EXP(-LN(2)/25)*BQ93+(1-EXP(-LN(2)/25))/(LN(2)/25)*Calculateur!BL94*Calculateur!BN94*VLOOKUP('Données projet'!$B$11,Paramètres!$A$1:$I$89,3,0)*0.475*44/12</f>
        <v>32.643830641158004</v>
      </c>
      <c r="BR94" s="21">
        <f>EXP(-LN(2)/2)*BR93+(1-EXP(-LN(2)/2))/(LN(2)/2)*BL94*BO94*VLOOKUP('Données projet'!$B$11,Paramètres!$A$1:$I$89,3,0)*0.475*44/12</f>
        <v>0.68990649209145394</v>
      </c>
      <c r="BS94" s="22">
        <f t="shared" si="63"/>
        <v>39.069768908886203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5.6843418860808015E-14</v>
      </c>
      <c r="BZ94" s="13">
        <f>BY94*VLOOKUP('Données projet'!$B$12,Paramètres!$A$1:$I$89,3,0)*VLOOKUP('Données projet'!$B$12,Paramètres!$A$1:$I$89,5,0)</f>
        <v>4.4337866711430253E-14</v>
      </c>
      <c r="CA94" s="13">
        <f t="shared" si="93"/>
        <v>7.3222115536967035E-13</v>
      </c>
      <c r="CB94" s="20">
        <f t="shared" si="64"/>
        <v>1.3525069634579169E-12</v>
      </c>
      <c r="CC94" s="59">
        <f t="shared" si="65"/>
        <v>274.68682684284641</v>
      </c>
      <c r="CD94" s="59">
        <f ca="1">AVERAGE(OFFSET($CC$3,0,0,'Données projet'!$E$12+1,1))-AVERAGE(OFFSET($H$3,0,0,'Données projet'!$E$12+1,1))</f>
        <v>308.85018589589453</v>
      </c>
      <c r="CE94" s="59">
        <f t="shared" si="94"/>
        <v>302.59481222418219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27.812194648564741</v>
      </c>
      <c r="CL94" s="21">
        <f>EXP(-LN(2)/25)*CL93+(1-EXP(-LN(2)/25))/(LN(2)/25)*Calculateur!CG94*Calculateur!CI94*VLOOKUP('Données projet'!$B$12,Paramètres!$A$1:$I$89,3,0)*0.475*44/12</f>
        <v>23.003559051955797</v>
      </c>
      <c r="CM94" s="21">
        <f>EXP(-LN(2)/2)*CM93+(1-EXP(-LN(2)/2))/(LN(2)/2)*CG94*CJ94*VLOOKUP('Données projet'!$B$12,Paramètres!$A$1:$I$89,3,0)*0.475*44/12</f>
        <v>2.9666026197892326E-2</v>
      </c>
      <c r="CN94" s="22">
        <f t="shared" si="66"/>
        <v>50.845419726718433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3.7179487179487181</v>
      </c>
      <c r="CT94" s="12">
        <f>IF('Données projet'!$A$140&gt;35,CT93+CS94-DB93,IF(A94&lt;'Données projet'!$A$140,$CQ$205^A94,IF(A94='Données projet'!$A$140,'Données projet'!$B$140,CT93+CS94-DB93)))</f>
        <v>274.87179487179503</v>
      </c>
      <c r="CU94" s="17">
        <f>CT94*VLOOKUP('Données projet'!$B$13,Paramètres!$A$1:$I$89,3,0)*VLOOKUP('Données projet'!$B$13,Paramètres!$A$1:$I$89,5,0)</f>
        <v>184.3840000000001</v>
      </c>
      <c r="CV94" s="13">
        <f t="shared" si="95"/>
        <v>46.296175202781619</v>
      </c>
      <c r="CW94" s="20">
        <f t="shared" si="67"/>
        <v>401.76797181151147</v>
      </c>
      <c r="CX94" s="59">
        <f t="shared" si="68"/>
        <v>676.45479865435652</v>
      </c>
      <c r="CY94" s="59">
        <f ca="1">AVERAGE(OFFSET($CX$3,0,0,'Données projet'!$E$13+1,1))-AVERAGE(OFFSET($H$3,0,0,'Données projet'!$E$13+1,1))</f>
        <v>335.73816489539837</v>
      </c>
      <c r="CZ94" s="59">
        <f t="shared" si="96"/>
        <v>254.09787950201044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6.701009890568832</v>
      </c>
      <c r="DG94" s="21">
        <f>EXP(-LN(2)/25)*DG93+(1-EXP(-LN(2)/25))/(LN(2)/25)*Calculateur!DB94*Calculateur!DD94*VLOOKUP('Données projet'!$B$13,Paramètres!$A$1:$I$89,3,0)*0.475*44/12</f>
        <v>9.1129418439379446</v>
      </c>
      <c r="DH94" s="21">
        <f>EXP(-LN(2)/2)*DH93+(1-EXP(-LN(2)/2))/(LN(2)/2)*DB94*DE94*VLOOKUP('Données projet'!$B$13,Paramètres!$A$1:$I$89,3,0)*0.475*44/12</f>
        <v>1.65860643172301</v>
      </c>
      <c r="DI94" s="22">
        <f t="shared" si="69"/>
        <v>17.472558166229788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9.2740000000000009</v>
      </c>
      <c r="DO94" s="12">
        <f>IF('Données projet'!$A$166&gt;35,DO93+DN94-DW93,IF(A94&lt;'Données projet'!$A$166,$DL$205^A94,IF(A94='Données projet'!$A$166,'Données projet'!$B$166,DO93+DN94-DW93)))</f>
        <v>330.32199999999989</v>
      </c>
      <c r="DP94" s="17">
        <f>DO94*VLOOKUP('Données projet'!$B$14,Paramètres!$A$1:$I$89,3,0)*VLOOKUP('Données projet'!$B$14,Paramètres!$A$1:$I$89,5,0)</f>
        <v>319.48743839999992</v>
      </c>
      <c r="DQ94" s="13">
        <f t="shared" si="97"/>
        <v>75.246695305828752</v>
      </c>
      <c r="DR94" s="20">
        <f t="shared" si="70"/>
        <v>687.49528287098485</v>
      </c>
      <c r="DS94" s="59">
        <f t="shared" si="71"/>
        <v>962.18210971382996</v>
      </c>
      <c r="DT94" s="59">
        <f ca="1">AVERAGE(OFFSET($DS$3,0,0,'Données projet'!$E$14+1,1))-AVERAGE(OFFSET($H$3,0,0,'Données projet'!$E$14+1,1))</f>
        <v>493.03862850474161</v>
      </c>
      <c r="DU94" s="59">
        <f t="shared" si="98"/>
        <v>312.51819065560528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23.092321041262903</v>
      </c>
      <c r="EB94" s="21">
        <f>EXP(-LN(2)/25)*EB93+(1-EXP(-LN(2)/25))/(LN(2)/25)*Calculateur!DW94*Calculateur!DY94*VLOOKUP('Données projet'!$B$14,Paramètres!$A$1:$I$89,3,0)*0.475*44/12</f>
        <v>21.482542974982664</v>
      </c>
      <c r="EC94" s="21">
        <f>EXP(-LN(2)/2)*EC93+(1-EXP(-LN(2)/2))/(LN(2)/2)*DW94*DZ94*VLOOKUP('Données projet'!$B$14,Paramètres!$A$1:$I$89,3,0)*0.475*44/12</f>
        <v>0.30159351779141852</v>
      </c>
      <c r="ED94" s="22">
        <f t="shared" si="72"/>
        <v>44.876457534036987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9.2740000000000009</v>
      </c>
      <c r="EJ94" s="12">
        <f>IF('Données projet'!$A$192&gt;35,EJ93+EI94-ER93,IF(A94&lt;'Données projet'!$A$192,$EG$205^A94,IF(A94='Données projet'!$A$192,'Données projet'!$B$192,EJ93+EI94-ER93)))</f>
        <v>330.32199999999989</v>
      </c>
      <c r="EK94" s="17">
        <f>EJ94*VLOOKUP('Données projet'!$B$15,Paramètres!$A$1:$I$89,3,0)*VLOOKUP('Données projet'!$B$15,Paramètres!$A$1:$I$89,5,0)</f>
        <v>355.55860079999985</v>
      </c>
      <c r="EL94" s="13">
        <f t="shared" si="99"/>
        <v>82.706033124655704</v>
      </c>
      <c r="EM94" s="20">
        <f t="shared" si="73"/>
        <v>763.31090408544162</v>
      </c>
      <c r="EN94" s="59">
        <f t="shared" si="74"/>
        <v>1037.9977309282867</v>
      </c>
      <c r="EO94" s="59">
        <f ca="1">AVERAGE(OFFSET($EN$3,0,0,'Données projet'!$E$15+1,1))-AVERAGE(OFFSET($H$3,0,0,'Données projet'!$E$15+1,1))</f>
        <v>539.72194201710272</v>
      </c>
      <c r="EP94" s="59">
        <f t="shared" si="100"/>
        <v>340.76505385159362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25.699518578179667</v>
      </c>
      <c r="EW94" s="21">
        <f>EXP(-LN(2)/25)*EW93+(1-EXP(-LN(2)/25))/(LN(2)/25)*Calculateur!ER94*Calculateur!ET94*VLOOKUP('Données projet'!$B$15,Paramètres!$A$1:$I$89,3,0)*0.475*44/12</f>
        <v>23.907991375383933</v>
      </c>
      <c r="EX94" s="21">
        <f>EXP(-LN(2)/2)*EX93+(1-EXP(-LN(2)/2))/(LN(2)/2)*ER94*EU94*VLOOKUP('Données projet'!$B$15,Paramètres!$A$1:$I$89,3,0)*0.475*44/12</f>
        <v>0.33564439883238517</v>
      </c>
      <c r="EY94" s="22">
        <f t="shared" si="75"/>
        <v>49.943154352395986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>
        <f>FE94*VLOOKUP('Données projet'!$B$16,Paramètres!$A$1:$I$89,3,0)*VLOOKUP('Données projet'!$B$16,Paramètres!$A$1:$I$89,5,0)</f>
        <v>0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383.47860767209028</v>
      </c>
      <c r="FK94" s="59">
        <f t="shared" si="102"/>
        <v>370.49129421395628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42.626282737499793</v>
      </c>
      <c r="FR94" s="21">
        <f>EXP(-LN(2)/25)*FR93+(1-EXP(-LN(2)/25))/(LN(2)/25)*Calculateur!FM94*Calculateur!FO94*VLOOKUP('Données projet'!$B$16,Paramètres!$A$1:$I$89,3,0)*0.475*44/12</f>
        <v>38.574323966371416</v>
      </c>
      <c r="FS94" s="21">
        <f>EXP(-LN(2)/2)*FS93+(1-EXP(-LN(2)/2))/(LN(2)/2)*FM94*FP94*VLOOKUP('Données projet'!$B$16,Paramètres!$A$1:$I$89,3,0)*0.475*44/12</f>
        <v>1.4063750335424603</v>
      </c>
      <c r="FT94" s="22">
        <f t="shared" si="78"/>
        <v>82.606981737413676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6.7600000000000007</v>
      </c>
      <c r="FZ94" s="12">
        <f>IF('Données projet'!$A$244&gt;35,FZ93+FY94-GH93,IF(A94&lt;'Données projet'!$A$244,$FW$205^A94,IF(A94='Données projet'!$A$244,'Données projet'!$B$244,FZ93+FY94-GH93)))</f>
        <v>225.52999999999992</v>
      </c>
      <c r="GA94" s="17">
        <f>FZ94*VLOOKUP('Données projet'!$B$17,Paramètres!$A$1:$I$89,3,0)*VLOOKUP('Données projet'!$B$17,Paramètres!$A$1:$I$89,5,0)</f>
        <v>256.83356399999991</v>
      </c>
      <c r="GB94" s="13">
        <f t="shared" si="103"/>
        <v>62.046941172045024</v>
      </c>
      <c r="GC94" s="20">
        <f t="shared" si="79"/>
        <v>555.38354650797817</v>
      </c>
      <c r="GD94" s="59">
        <f t="shared" si="80"/>
        <v>830.07037335082327</v>
      </c>
      <c r="GE94" s="59">
        <f ca="1">AVERAGE(OFFSET($GD$3,0,0,'Données projet'!$E$17+1,1))-AVERAGE(OFFSET($H$3,0,0,'Données projet'!$E$17+1,1))</f>
        <v>640.05156427113661</v>
      </c>
      <c r="GF94" s="59">
        <f t="shared" si="104"/>
        <v>308.77220155372902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6.4420049172535796</v>
      </c>
      <c r="GM94" s="21">
        <f>EXP(-LN(2)/25)*GM93+(1-EXP(-LN(2)/25))/(LN(2)/25)*Calculateur!GH94*Calculateur!GJ94*VLOOKUP('Données projet'!$B$17,Paramètres!$A$1:$I$89,3,0)*0.475*44/12</f>
        <v>36.661532873915938</v>
      </c>
      <c r="GN94" s="21">
        <f>EXP(-LN(2)/2)*GN93+(1-EXP(-LN(2)/2))/(LN(2)/2)*GH94*GK94*VLOOKUP('Données projet'!$B$17,Paramètres!$A$1:$I$89,3,0)*0.475*44/12</f>
        <v>0.77481806034886336</v>
      </c>
      <c r="GO94" s="21">
        <f t="shared" si="81"/>
        <v>43.878355851518378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11.216666666666672</v>
      </c>
      <c r="N95" s="13">
        <f>IF('Données projet'!$A$36&gt;35,N94+M95-V94,IF(A95&lt;'Données projet'!$A$36,$K$205^A95,IF(A95='Données projet'!$A$36,'Données projet'!$B$36,N94+M95-V94)))</f>
        <v>386.71333333333325</v>
      </c>
      <c r="O95" s="13">
        <f>N95*VLOOKUP('Données projet'!$B$9,Paramètres!$A$1:$I$89,3,0)*VLOOKUP('Données projet'!$B$9,Paramètres!$A$1:$I$89,5,0)</f>
        <v>325.76731199999995</v>
      </c>
      <c r="P95" s="13">
        <f t="shared" si="87"/>
        <v>76.552104731116984</v>
      </c>
      <c r="Q95" s="20">
        <f t="shared" si="54"/>
        <v>700.70631747336199</v>
      </c>
      <c r="R95" s="59">
        <f t="shared" si="55"/>
        <v>975.71661951647366</v>
      </c>
      <c r="S95" s="59">
        <f ca="1">AVERAGE(OFFSET($R$3,0,0,'Données projet'!$E$9+1,1))-AVERAGE(OFFSET($H$3,0,0,'Données projet'!$E$9+1,1))</f>
        <v>456.35333554128226</v>
      </c>
      <c r="T95" s="59">
        <f t="shared" si="88"/>
        <v>296.4517290984877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52.401275610178082</v>
      </c>
      <c r="AA95" s="21">
        <f>EXP(-LN(2)/25)*AA94+(1-EXP(-LN(2)/25))/(LN(2)/25)*Calculateur!V95*Calculateur!X95*VLOOKUP('Données projet'!$B$9,Paramètres!$A$1:$I$89,3,0)*0.475*44/12</f>
        <v>28.203942246096961</v>
      </c>
      <c r="AB95" s="21">
        <f>EXP(-LN(2)/2)*AB94+(1-EXP(-LN(2)/2))/(LN(2)/2)*V95*Y95*VLOOKUP('Données projet'!$B$9,Paramètres!$A$1:$I$89,3,0)*0.475*44/12</f>
        <v>5.5559760368768885E-3</v>
      </c>
      <c r="AC95" s="22">
        <f t="shared" si="57"/>
        <v>80.610773832311921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408.246209980743</v>
      </c>
      <c r="AO95" s="59">
        <f t="shared" si="90"/>
        <v>394.10236303013903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45.005054050365935</v>
      </c>
      <c r="AV95" s="21">
        <f>EXP(-LN(2)/25)*AV94+(1-EXP(-LN(2)/25))/(LN(2)/25)*Calculateur!AQ95*Calculateur!AS95*VLOOKUP('Données projet'!$B$10,Paramètres!$A$1:$I$89,3,0)*0.475*44/12</f>
        <v>40.405622975819718</v>
      </c>
      <c r="AW95" s="21">
        <f>EXP(-LN(2)/2)*AW94+(1-EXP(-LN(2)/2))/(LN(2)/2)*AQ95*AT95*VLOOKUP('Données projet'!$B$10,Paramètres!$A$1:$I$89,3,0)*0.475*44/12</f>
        <v>1.0709540402715878</v>
      </c>
      <c r="AX95" s="21">
        <f t="shared" si="60"/>
        <v>86.48163106645724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6.7600000000000007</v>
      </c>
      <c r="BD95" s="12">
        <f>IF('Données projet'!$A$88&gt;35,BD94+BC95-BL94,IF(A95&lt;'Données projet'!$A$88,$BA$205^A95,IF(A95='Données projet'!$A$88,'Données projet'!$B$88,BD94+BC95-BL94)))</f>
        <v>232.28999999999991</v>
      </c>
      <c r="BE95" s="13">
        <f>BD95*VLOOKUP('Données projet'!$B$11,Paramètres!$A$1:$I$89,3,0)*VLOOKUP('Données projet'!$B$11,Paramètres!$A$1:$I$89,5,0)</f>
        <v>235.54205999999991</v>
      </c>
      <c r="BF95" s="13">
        <f t="shared" si="91"/>
        <v>57.479338849475639</v>
      </c>
      <c r="BG95" s="20">
        <f t="shared" si="61"/>
        <v>510.34560299616987</v>
      </c>
      <c r="BH95" s="59">
        <f t="shared" si="62"/>
        <v>785.35590503928165</v>
      </c>
      <c r="BI95" s="59">
        <f ca="1">AVERAGE(OFFSET($BH$3,0,0,'Données projet'!$E$11+1,1))-AVERAGE(OFFSET($H$3,0,0,'Données projet'!$E$11+1,1))</f>
        <v>580.02848304986492</v>
      </c>
      <c r="BJ95" s="59">
        <f t="shared" si="92"/>
        <v>281.68891895586728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5.6235516911504346</v>
      </c>
      <c r="BQ95" s="21">
        <f>EXP(-LN(2)/25)*BQ94+(1-EXP(-LN(2)/25))/(LN(2)/25)*Calculateur!BL95*Calculateur!BN95*VLOOKUP('Données projet'!$B$11,Paramètres!$A$1:$I$89,3,0)*0.475*44/12</f>
        <v>31.751183375611095</v>
      </c>
      <c r="BR95" s="21">
        <f>EXP(-LN(2)/2)*BR94+(1-EXP(-LN(2)/2))/(LN(2)/2)*BL95*BO95*VLOOKUP('Données projet'!$B$11,Paramètres!$A$1:$I$89,3,0)*0.475*44/12</f>
        <v>0.48783755894249031</v>
      </c>
      <c r="BS95" s="22">
        <f t="shared" si="63"/>
        <v>37.862572625704018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5.6843418860808015E-14</v>
      </c>
      <c r="BZ95" s="13">
        <f>BY95*VLOOKUP('Données projet'!$B$12,Paramètres!$A$1:$I$89,3,0)*VLOOKUP('Données projet'!$B$12,Paramètres!$A$1:$I$89,5,0)</f>
        <v>4.4337866711430253E-14</v>
      </c>
      <c r="CA95" s="13">
        <f t="shared" si="93"/>
        <v>7.3222115536967035E-13</v>
      </c>
      <c r="CB95" s="20">
        <f t="shared" si="64"/>
        <v>1.3525069634579169E-12</v>
      </c>
      <c r="CC95" s="59">
        <f t="shared" si="65"/>
        <v>275.01030204311309</v>
      </c>
      <c r="CD95" s="59">
        <f ca="1">AVERAGE(OFFSET($CC$3,0,0,'Données projet'!$E$12+1,1))-AVERAGE(OFFSET($H$3,0,0,'Données projet'!$E$12+1,1))</f>
        <v>308.85018589589453</v>
      </c>
      <c r="CE95" s="59">
        <f t="shared" si="94"/>
        <v>302.59481222418219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27.266814475270088</v>
      </c>
      <c r="CL95" s="21">
        <f>EXP(-LN(2)/25)*CL94+(1-EXP(-LN(2)/25))/(LN(2)/25)*Calculateur!CG95*Calculateur!CI95*VLOOKUP('Données projet'!$B$12,Paramètres!$A$1:$I$89,3,0)*0.475*44/12</f>
        <v>22.374525519975471</v>
      </c>
      <c r="CM95" s="21">
        <f>EXP(-LN(2)/2)*CM94+(1-EXP(-LN(2)/2))/(LN(2)/2)*CG95*CJ95*VLOOKUP('Données projet'!$B$12,Paramètres!$A$1:$I$89,3,0)*0.475*44/12</f>
        <v>2.0977048295387435E-2</v>
      </c>
      <c r="CN95" s="22">
        <f t="shared" si="66"/>
        <v>49.662317043540945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3.7179487179487181</v>
      </c>
      <c r="CT95" s="12">
        <f>IF('Données projet'!$A$140&gt;35,CT94+CS95-DB94,IF(A95&lt;'Données projet'!$A$140,$CQ$205^A95,IF(A95='Données projet'!$A$140,'Données projet'!$B$140,CT94+CS95-DB94)))</f>
        <v>278.58974358974376</v>
      </c>
      <c r="CU95" s="17">
        <f>CT95*VLOOKUP('Données projet'!$B$13,Paramètres!$A$1:$I$89,3,0)*VLOOKUP('Données projet'!$B$13,Paramètres!$A$1:$I$89,5,0)</f>
        <v>186.87800000000013</v>
      </c>
      <c r="CV95" s="13">
        <f t="shared" si="95"/>
        <v>46.849058827207365</v>
      </c>
      <c r="CW95" s="20">
        <f t="shared" si="67"/>
        <v>407.07462745738638</v>
      </c>
      <c r="CX95" s="59">
        <f t="shared" si="68"/>
        <v>682.08492950049811</v>
      </c>
      <c r="CY95" s="59">
        <f ca="1">AVERAGE(OFFSET($CX$3,0,0,'Données projet'!$E$13+1,1))-AVERAGE(OFFSET($H$3,0,0,'Données projet'!$E$13+1,1))</f>
        <v>335.73816489539837</v>
      </c>
      <c r="CZ95" s="59">
        <f t="shared" si="96"/>
        <v>254.09787950201044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6.5696071738272321</v>
      </c>
      <c r="DG95" s="21">
        <f>EXP(-LN(2)/25)*DG94+(1-EXP(-LN(2)/25))/(LN(2)/25)*Calculateur!DB95*Calculateur!DD95*VLOOKUP('Données projet'!$B$13,Paramètres!$A$1:$I$89,3,0)*0.475*44/12</f>
        <v>8.8637479699866777</v>
      </c>
      <c r="DH95" s="21">
        <f>EXP(-LN(2)/2)*DH94+(1-EXP(-LN(2)/2))/(LN(2)/2)*DB95*DE95*VLOOKUP('Données projet'!$B$13,Paramètres!$A$1:$I$89,3,0)*0.475*44/12</f>
        <v>1.172811855190963</v>
      </c>
      <c r="DI95" s="22">
        <f t="shared" si="69"/>
        <v>16.606166999004873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9.2740000000000009</v>
      </c>
      <c r="DO95" s="12">
        <f>IF('Données projet'!$A$166&gt;35,DO94+DN95-DW94,IF(A95&lt;'Données projet'!$A$166,$DL$205^A95,IF(A95='Données projet'!$A$166,'Données projet'!$B$166,DO94+DN95-DW94)))</f>
        <v>339.59599999999989</v>
      </c>
      <c r="DP95" s="17">
        <f>DO95*VLOOKUP('Données projet'!$B$14,Paramètres!$A$1:$I$89,3,0)*VLOOKUP('Données projet'!$B$14,Paramètres!$A$1:$I$89,5,0)</f>
        <v>328.45725119999992</v>
      </c>
      <c r="DQ95" s="13">
        <f t="shared" si="97"/>
        <v>77.110368806417611</v>
      </c>
      <c r="DR95" s="20">
        <f t="shared" si="70"/>
        <v>706.36360484451052</v>
      </c>
      <c r="DS95" s="59">
        <f t="shared" si="71"/>
        <v>981.3739068876223</v>
      </c>
      <c r="DT95" s="59">
        <f ca="1">AVERAGE(OFFSET($DS$3,0,0,'Données projet'!$E$14+1,1))-AVERAGE(OFFSET($H$3,0,0,'Données projet'!$E$14+1,1))</f>
        <v>493.03862850474161</v>
      </c>
      <c r="DU95" s="59">
        <f t="shared" si="98"/>
        <v>312.51819065560528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22.639494710568801</v>
      </c>
      <c r="EB95" s="21">
        <f>EXP(-LN(2)/25)*EB94+(1-EXP(-LN(2)/25))/(LN(2)/25)*Calculateur!DW95*Calculateur!DY95*VLOOKUP('Données projet'!$B$14,Paramètres!$A$1:$I$89,3,0)*0.475*44/12</f>
        <v>20.895101707613929</v>
      </c>
      <c r="EC95" s="21">
        <f>EXP(-LN(2)/2)*EC94+(1-EXP(-LN(2)/2))/(LN(2)/2)*DW95*DZ95*VLOOKUP('Données projet'!$B$14,Paramètres!$A$1:$I$89,3,0)*0.475*44/12</f>
        <v>0.21325882159221771</v>
      </c>
      <c r="ED95" s="22">
        <f t="shared" si="72"/>
        <v>43.74785523977495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9.2740000000000009</v>
      </c>
      <c r="EJ95" s="12">
        <f>IF('Données projet'!$A$192&gt;35,EJ94+EI95-ER94,IF(A95&lt;'Données projet'!$A$192,$EG$205^A95,IF(A95='Données projet'!$A$192,'Données projet'!$B$192,EJ94+EI95-ER94)))</f>
        <v>339.59599999999989</v>
      </c>
      <c r="EK95" s="17">
        <f>EJ95*VLOOKUP('Données projet'!$B$15,Paramètres!$A$1:$I$89,3,0)*VLOOKUP('Données projet'!$B$15,Paramètres!$A$1:$I$89,5,0)</f>
        <v>365.54113439999986</v>
      </c>
      <c r="EL95" s="13">
        <f t="shared" si="99"/>
        <v>84.754455871286439</v>
      </c>
      <c r="EM95" s="20">
        <f t="shared" si="73"/>
        <v>784.2648197224903</v>
      </c>
      <c r="EN95" s="59">
        <f t="shared" si="74"/>
        <v>1059.2751217656021</v>
      </c>
      <c r="EO95" s="59">
        <f ca="1">AVERAGE(OFFSET($EN$3,0,0,'Données projet'!$E$15+1,1))-AVERAGE(OFFSET($H$3,0,0,'Données projet'!$E$15+1,1))</f>
        <v>539.72194201710272</v>
      </c>
      <c r="EP95" s="59">
        <f t="shared" si="100"/>
        <v>340.76505385159362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25.195566694020105</v>
      </c>
      <c r="EW95" s="21">
        <f>EXP(-LN(2)/25)*EW94+(1-EXP(-LN(2)/25))/(LN(2)/25)*Calculateur!ER95*Calculateur!ET95*VLOOKUP('Données projet'!$B$15,Paramètres!$A$1:$I$89,3,0)*0.475*44/12</f>
        <v>23.254226093957435</v>
      </c>
      <c r="EX95" s="21">
        <f>EXP(-LN(2)/2)*EX94+(1-EXP(-LN(2)/2))/(LN(2)/2)*ER95*EU95*VLOOKUP('Données projet'!$B$15,Paramètres!$A$1:$I$89,3,0)*0.475*44/12</f>
        <v>0.2373364304816617</v>
      </c>
      <c r="EY95" s="22">
        <f t="shared" si="75"/>
        <v>48.687129218459205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>
        <f>FE95*VLOOKUP('Données projet'!$B$16,Paramètres!$A$1:$I$89,3,0)*VLOOKUP('Données projet'!$B$16,Paramètres!$A$1:$I$89,5,0)</f>
        <v>0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383.47860767209028</v>
      </c>
      <c r="FK95" s="59">
        <f t="shared" si="102"/>
        <v>370.49129421395628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41.790407332482658</v>
      </c>
      <c r="FR95" s="21">
        <f>EXP(-LN(2)/25)*FR94+(1-EXP(-LN(2)/25))/(LN(2)/25)*Calculateur!FM95*Calculateur!FO95*VLOOKUP('Données projet'!$B$16,Paramètres!$A$1:$I$89,3,0)*0.475*44/12</f>
        <v>37.519507048975456</v>
      </c>
      <c r="FS95" s="21">
        <f>EXP(-LN(2)/2)*FS94+(1-EXP(-LN(2)/2))/(LN(2)/2)*FM95*FP95*VLOOKUP('Données projet'!$B$16,Paramètres!$A$1:$I$89,3,0)*0.475*44/12</f>
        <v>0.99445732310933199</v>
      </c>
      <c r="FT95" s="22">
        <f t="shared" si="78"/>
        <v>80.304371704567444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6.7600000000000007</v>
      </c>
      <c r="FZ95" s="12">
        <f>IF('Données projet'!$A$244&gt;35,FZ94+FY95-GH94,IF(A95&lt;'Données projet'!$A$244,$FW$205^A95,IF(A95='Données projet'!$A$244,'Données projet'!$B$244,FZ94+FY95-GH94)))</f>
        <v>232.28999999999991</v>
      </c>
      <c r="GA95" s="17">
        <f>FZ95*VLOOKUP('Données projet'!$B$17,Paramètres!$A$1:$I$89,3,0)*VLOOKUP('Données projet'!$B$17,Paramètres!$A$1:$I$89,5,0)</f>
        <v>264.5318519999999</v>
      </c>
      <c r="GB95" s="13">
        <f t="shared" si="103"/>
        <v>63.687412010040255</v>
      </c>
      <c r="GC95" s="20">
        <f t="shared" si="79"/>
        <v>571.64855148415324</v>
      </c>
      <c r="GD95" s="59">
        <f t="shared" si="80"/>
        <v>846.65885352726491</v>
      </c>
      <c r="GE95" s="59">
        <f ca="1">AVERAGE(OFFSET($GD$3,0,0,'Données projet'!$E$17+1,1))-AVERAGE(OFFSET($H$3,0,0,'Données projet'!$E$17+1,1))</f>
        <v>640.05156427113661</v>
      </c>
      <c r="GF95" s="59">
        <f t="shared" si="104"/>
        <v>308.77220155372902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6.3156811300612565</v>
      </c>
      <c r="GM95" s="21">
        <f>EXP(-LN(2)/25)*GM94+(1-EXP(-LN(2)/25))/(LN(2)/25)*Calculateur!GH95*Calculateur!GJ95*VLOOKUP('Données projet'!$B$17,Paramètres!$A$1:$I$89,3,0)*0.475*44/12</f>
        <v>35.659021329532486</v>
      </c>
      <c r="GN95" s="21">
        <f>EXP(-LN(2)/2)*GN94+(1-EXP(-LN(2)/2))/(LN(2)/2)*GH95*GK95*VLOOKUP('Données projet'!$B$17,Paramètres!$A$1:$I$89,3,0)*0.475*44/12</f>
        <v>0.54787910465848888</v>
      </c>
      <c r="GO95" s="21">
        <f t="shared" si="81"/>
        <v>42.522581564252235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11.216666666666672</v>
      </c>
      <c r="N96" s="13">
        <f>IF('Données projet'!$A$36&gt;35,N95+M96-V95,IF(A96&lt;'Données projet'!$A$36,$K$205^A96,IF(A96='Données projet'!$A$36,'Données projet'!$B$36,N95+M96-V95)))</f>
        <v>397.92999999999995</v>
      </c>
      <c r="O96" s="13">
        <f>N96*VLOOKUP('Données projet'!$B$9,Paramètres!$A$1:$I$89,3,0)*VLOOKUP('Données projet'!$B$9,Paramètres!$A$1:$I$89,5,0)</f>
        <v>335.21623199999999</v>
      </c>
      <c r="P96" s="13">
        <f t="shared" si="87"/>
        <v>78.510776061655761</v>
      </c>
      <c r="Q96" s="20">
        <f t="shared" si="54"/>
        <v>720.57453904071701</v>
      </c>
      <c r="R96" s="59">
        <f t="shared" si="55"/>
        <v>995.90270471255303</v>
      </c>
      <c r="S96" s="59">
        <f ca="1">AVERAGE(OFFSET($R$3,0,0,'Données projet'!$E$9+1,1))-AVERAGE(OFFSET($H$3,0,0,'Données projet'!$E$9+1,1))</f>
        <v>456.35333554128226</v>
      </c>
      <c r="T96" s="59">
        <f t="shared" si="88"/>
        <v>296.4517290984877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51.373718557084665</v>
      </c>
      <c r="AA96" s="21">
        <f>EXP(-LN(2)/25)*AA95+(1-EXP(-LN(2)/25))/(LN(2)/25)*Calculateur!V96*Calculateur!X96*VLOOKUP('Données projet'!$B$9,Paramètres!$A$1:$I$89,3,0)*0.475*44/12</f>
        <v>27.432703962196577</v>
      </c>
      <c r="AB96" s="21">
        <f>EXP(-LN(2)/2)*AB95+(1-EXP(-LN(2)/2))/(LN(2)/2)*V96*Y96*VLOOKUP('Données projet'!$B$9,Paramètres!$A$1:$I$89,3,0)*0.475*44/12</f>
        <v>3.9286683317856074E-3</v>
      </c>
      <c r="AC96" s="22">
        <f t="shared" si="57"/>
        <v>78.810351187613023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408.246209980743</v>
      </c>
      <c r="AO96" s="59">
        <f t="shared" si="90"/>
        <v>394.10236303013903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44.122532390810733</v>
      </c>
      <c r="AV96" s="21">
        <f>EXP(-LN(2)/25)*AV95+(1-EXP(-LN(2)/25))/(LN(2)/25)*Calculateur!AQ96*Calculateur!AS96*VLOOKUP('Données projet'!$B$10,Paramètres!$A$1:$I$89,3,0)*0.475*44/12</f>
        <v>39.300729090706561</v>
      </c>
      <c r="AW96" s="21">
        <f>EXP(-LN(2)/2)*AW95+(1-EXP(-LN(2)/2))/(LN(2)/2)*AQ96*AT96*VLOOKUP('Données projet'!$B$10,Paramètres!$A$1:$I$89,3,0)*0.475*44/12</f>
        <v>0.75727886421517066</v>
      </c>
      <c r="AX96" s="21">
        <f t="shared" si="60"/>
        <v>84.180540345732467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6.7600000000000007</v>
      </c>
      <c r="BD96" s="12">
        <f>IF('Données projet'!$A$88&gt;35,BD95+BC96-BL95,IF(A96&lt;'Données projet'!$A$88,$BA$205^A96,IF(A96='Données projet'!$A$88,'Données projet'!$B$88,BD95+BC96-BL95)))</f>
        <v>239.0499999999999</v>
      </c>
      <c r="BE96" s="13">
        <f>BD96*VLOOKUP('Données projet'!$B$11,Paramètres!$A$1:$I$89,3,0)*VLOOKUP('Données projet'!$B$11,Paramètres!$A$1:$I$89,5,0)</f>
        <v>242.3966999999999</v>
      </c>
      <c r="BF96" s="13">
        <f t="shared" si="91"/>
        <v>58.954893567950833</v>
      </c>
      <c r="BG96" s="20">
        <f t="shared" si="61"/>
        <v>524.85402546418084</v>
      </c>
      <c r="BH96" s="59">
        <f t="shared" si="62"/>
        <v>800.18219113601685</v>
      </c>
      <c r="BI96" s="59">
        <f ca="1">AVERAGE(OFFSET($BH$3,0,0,'Données projet'!$E$11+1,1))-AVERAGE(OFFSET($H$3,0,0,'Données projet'!$E$11+1,1))</f>
        <v>580.02848304986492</v>
      </c>
      <c r="BJ96" s="59">
        <f t="shared" si="92"/>
        <v>281.68891895586728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5.5132772725148191</v>
      </c>
      <c r="BQ96" s="21">
        <f>EXP(-LN(2)/25)*BQ95+(1-EXP(-LN(2)/25))/(LN(2)/25)*Calculateur!BL96*Calculateur!BN96*VLOOKUP('Données projet'!$B$11,Paramètres!$A$1:$I$89,3,0)*0.475*44/12</f>
        <v>30.882945596482845</v>
      </c>
      <c r="BR96" s="21">
        <f>EXP(-LN(2)/2)*BR95+(1-EXP(-LN(2)/2))/(LN(2)/2)*BL96*BO96*VLOOKUP('Données projet'!$B$11,Paramètres!$A$1:$I$89,3,0)*0.475*44/12</f>
        <v>0.34495324604572702</v>
      </c>
      <c r="BS96" s="22">
        <f t="shared" si="63"/>
        <v>36.741176115043388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5.6843418860808015E-14</v>
      </c>
      <c r="BZ96" s="13">
        <f>BY96*VLOOKUP('Données projet'!$B$12,Paramètres!$A$1:$I$89,3,0)*VLOOKUP('Données projet'!$B$12,Paramètres!$A$1:$I$89,5,0)</f>
        <v>4.4337866711430253E-14</v>
      </c>
      <c r="CA96" s="13">
        <f t="shared" si="93"/>
        <v>7.3222115536967035E-13</v>
      </c>
      <c r="CB96" s="20">
        <f t="shared" si="64"/>
        <v>1.3525069634579169E-12</v>
      </c>
      <c r="CC96" s="59">
        <f t="shared" si="65"/>
        <v>275.32816567183733</v>
      </c>
      <c r="CD96" s="59">
        <f ca="1">AVERAGE(OFFSET($CC$3,0,0,'Données projet'!$E$12+1,1))-AVERAGE(OFFSET($H$3,0,0,'Données projet'!$E$12+1,1))</f>
        <v>308.85018589589453</v>
      </c>
      <c r="CE96" s="59">
        <f t="shared" si="94"/>
        <v>302.59481222418219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26.732128874524687</v>
      </c>
      <c r="CL96" s="21">
        <f>EXP(-LN(2)/25)*CL95+(1-EXP(-LN(2)/25))/(LN(2)/25)*Calculateur!CG96*Calculateur!CI96*VLOOKUP('Données projet'!$B$12,Paramètres!$A$1:$I$89,3,0)*0.475*44/12</f>
        <v>21.762692943006581</v>
      </c>
      <c r="CM96" s="21">
        <f>EXP(-LN(2)/2)*CM95+(1-EXP(-LN(2)/2))/(LN(2)/2)*CG96*CJ96*VLOOKUP('Données projet'!$B$12,Paramètres!$A$1:$I$89,3,0)*0.475*44/12</f>
        <v>1.4833013098946163E-2</v>
      </c>
      <c r="CN96" s="22">
        <f t="shared" si="66"/>
        <v>48.509654830630211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3.7179487179487181</v>
      </c>
      <c r="CT96" s="12">
        <f>IF('Données projet'!$A$140&gt;35,CT95+CS96-DB95,IF(A96&lt;'Données projet'!$A$140,$CQ$205^A96,IF(A96='Données projet'!$A$140,'Données projet'!$B$140,CT95+CS96-DB95)))</f>
        <v>282.30769230769249</v>
      </c>
      <c r="CU96" s="17">
        <f>CT96*VLOOKUP('Données projet'!$B$13,Paramètres!$A$1:$I$89,3,0)*VLOOKUP('Données projet'!$B$13,Paramètres!$A$1:$I$89,5,0)</f>
        <v>189.37200000000013</v>
      </c>
      <c r="CV96" s="13">
        <f t="shared" si="95"/>
        <v>47.401084226295815</v>
      </c>
      <c r="CW96" s="20">
        <f t="shared" si="67"/>
        <v>412.37978836079873</v>
      </c>
      <c r="CX96" s="59">
        <f t="shared" si="68"/>
        <v>687.70795403263469</v>
      </c>
      <c r="CY96" s="59">
        <f ca="1">AVERAGE(OFFSET($CX$3,0,0,'Données projet'!$E$13+1,1))-AVERAGE(OFFSET($H$3,0,0,'Données projet'!$E$13+1,1))</f>
        <v>335.73816489539837</v>
      </c>
      <c r="CZ96" s="59">
        <f t="shared" si="96"/>
        <v>254.09787950201044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6.4407811842131917</v>
      </c>
      <c r="DG96" s="21">
        <f>EXP(-LN(2)/25)*DG95+(1-EXP(-LN(2)/25))/(LN(2)/25)*Calculateur!DB96*Calculateur!DD96*VLOOKUP('Données projet'!$B$13,Paramètres!$A$1:$I$89,3,0)*0.475*44/12</f>
        <v>8.621368315623144</v>
      </c>
      <c r="DH96" s="21">
        <f>EXP(-LN(2)/2)*DH95+(1-EXP(-LN(2)/2))/(LN(2)/2)*DB96*DE96*VLOOKUP('Données projet'!$B$13,Paramètres!$A$1:$I$89,3,0)*0.475*44/12</f>
        <v>0.82930321586150513</v>
      </c>
      <c r="DI96" s="22">
        <f t="shared" si="69"/>
        <v>15.891452715697842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348.87</v>
      </c>
      <c r="DM96" s="12">
        <f>VLOOKUP(A96,'Données projet'!$A$165:$I$185,9,0)</f>
        <v>9.2740000000000009</v>
      </c>
      <c r="DN96" s="12">
        <f t="array" ref="DN96">INDEX(DM:DM,MIN(IF(ISNUMBER(DM96:DM292),ROW(DM96:DM292),"")))</f>
        <v>9.2740000000000009</v>
      </c>
      <c r="DO96" s="12">
        <f>IF('Données projet'!$A$166&gt;35,DO95+DN96-DW95,IF(A96&lt;'Données projet'!$A$166,$DL$205^A96,IF(A96='Données projet'!$A$166,'Données projet'!$B$166,DO95+DN96-DW95)))</f>
        <v>348.86999999999989</v>
      </c>
      <c r="DP96" s="17">
        <f>DO96*VLOOKUP('Données projet'!$B$14,Paramètres!$A$1:$I$89,3,0)*VLOOKUP('Données projet'!$B$14,Paramètres!$A$1:$I$89,5,0)</f>
        <v>337.42706399999992</v>
      </c>
      <c r="DQ96" s="13">
        <f t="shared" si="97"/>
        <v>78.968126768220955</v>
      </c>
      <c r="DR96" s="20">
        <f t="shared" si="70"/>
        <v>725.22162392131793</v>
      </c>
      <c r="DS96" s="59">
        <f t="shared" si="71"/>
        <v>1000.5497895931539</v>
      </c>
      <c r="DT96" s="59">
        <f ca="1">AVERAGE(OFFSET($DS$3,0,0,'Données projet'!$E$14+1,1))-AVERAGE(OFFSET($H$3,0,0,'Données projet'!$E$14+1,1))</f>
        <v>493.03862850474161</v>
      </c>
      <c r="DU96" s="59">
        <f t="shared" si="98"/>
        <v>312.51819065560528</v>
      </c>
      <c r="DV96" s="15">
        <f>IF(ISNA(VLOOKUP(A96,'Données projet'!$A$165:$I$185,3,0)),0,VLOOKUP(A96,'Données projet'!$A$165:$I$185,3,0))</f>
        <v>8</v>
      </c>
      <c r="DW96" s="15">
        <f>IF(ISNA(VLOOKUP(A96,'Données projet'!$A$165:$I$185,4,0)),0,VLOOKUP(A96,'Données projet'!$A$165:$I$185,4,0))</f>
        <v>67.45999999999998</v>
      </c>
      <c r="DX96" s="16">
        <f>IF(ISNA(VLOOKUP(A96,'Données projet'!$A$165:$I$185,5,0)),0%,VLOOKUP(A96,'Données projet'!$A$165:$I$185,5,0)*VLOOKUP('Données projet'!$B$14,Paramètres!$A$1:$I$89,7,0))</f>
        <v>0.215</v>
      </c>
      <c r="DY96" s="16">
        <f>IF(ISNA(VLOOKUP(A96,'Données projet'!$A$165:$I$185,6,0)),0%,VLOOKUP(A96,'Données projet'!$A$165:$I$185,6,0)*VLOOKUP('Données projet'!$B$14,Paramètres!$A$1:$I$89,7,0))</f>
        <v>8.6000000000000007E-2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37.703276741453948</v>
      </c>
      <c r="EB96" s="21">
        <f>EXP(-LN(2)/25)*EB95+(1-EXP(-LN(2)/25))/(LN(2)/25)*Calculateur!DW96*Calculateur!DY96*VLOOKUP('Données projet'!$B$14,Paramètres!$A$1:$I$89,3,0)*0.475*44/12</f>
        <v>26.502391603224968</v>
      </c>
      <c r="EC96" s="21">
        <f>EXP(-LN(2)/2)*EC95+(1-EXP(-LN(2)/2))/(LN(2)/2)*DW96*DZ96*VLOOKUP('Données projet'!$B$14,Paramètres!$A$1:$I$89,3,0)*0.475*44/12</f>
        <v>0.15079675889570926</v>
      </c>
      <c r="ED96" s="22">
        <f t="shared" si="72"/>
        <v>64.356465103574621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348.87</v>
      </c>
      <c r="EH96" s="12">
        <f>VLOOKUP(A96,'Données projet'!$A$191:$I$211,9,0)</f>
        <v>9.2740000000000009</v>
      </c>
      <c r="EI96" s="12">
        <f t="array" ref="EI96">INDEX(EH:EH,MIN(IF(ISNUMBER(EH96:EH292),ROW(EH96:EH292),"")))</f>
        <v>9.2740000000000009</v>
      </c>
      <c r="EJ96" s="12">
        <f>IF('Données projet'!$A$192&gt;35,EJ95+EI96-ER95,IF(A96&lt;'Données projet'!$A$192,$EG$205^A96,IF(A96='Données projet'!$A$192,'Données projet'!$B$192,EJ95+EI96-ER95)))</f>
        <v>348.86999999999989</v>
      </c>
      <c r="EK96" s="17">
        <f>EJ96*VLOOKUP('Données projet'!$B$15,Paramètres!$A$1:$I$89,3,0)*VLOOKUP('Données projet'!$B$15,Paramètres!$A$1:$I$89,5,0)</f>
        <v>375.52366799999987</v>
      </c>
      <c r="EL96" s="13">
        <f t="shared" si="99"/>
        <v>86.796376661322839</v>
      </c>
      <c r="EM96" s="20">
        <f t="shared" si="73"/>
        <v>805.2074111184703</v>
      </c>
      <c r="EN96" s="59">
        <f t="shared" si="74"/>
        <v>1080.5355767903063</v>
      </c>
      <c r="EO96" s="59">
        <f ca="1">AVERAGE(OFFSET($EN$3,0,0,'Données projet'!$E$15+1,1))-AVERAGE(OFFSET($H$3,0,0,'Données projet'!$E$15+1,1))</f>
        <v>539.72194201710272</v>
      </c>
      <c r="EP96" s="59">
        <f t="shared" si="100"/>
        <v>340.76505385159362</v>
      </c>
      <c r="EQ96" s="15">
        <f>IF(ISNA(VLOOKUP(A96,'Données projet'!$A$191:$I$211,3,0)),0,VLOOKUP(A96,'Données projet'!$A$191:$I$211,3,0))</f>
        <v>8</v>
      </c>
      <c r="ER96" s="15">
        <f>IF(ISNA(VLOOKUP(A96,'Données projet'!$A$191:$I$211,4,0)),0,VLOOKUP(A96,'Données projet'!$A$191:$I$211,4,0))</f>
        <v>67.45999999999998</v>
      </c>
      <c r="ES96" s="16">
        <f>IF(ISNA(VLOOKUP(A96,'Données projet'!$A$191:$I$211,5,0)),0%,VLOOKUP(A96,'Données projet'!$A$191:$I$211,5,0)*VLOOKUP('Données projet'!$B$15,Paramètres!$A$1:$I$89,7,0))</f>
        <v>0.215</v>
      </c>
      <c r="ET96" s="16">
        <f>IF(ISNA(VLOOKUP(A96,'Données projet'!$A$191:$I$211,6,0)),0%,VLOOKUP(A96,'Données projet'!$A$191:$I$211,6,0)*VLOOKUP('Données projet'!$B$15,Paramètres!$A$1:$I$89,7,0))</f>
        <v>8.6000000000000007E-2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41.960098309037448</v>
      </c>
      <c r="EW96" s="21">
        <f>EXP(-LN(2)/25)*EW95+(1-EXP(-LN(2)/25))/(LN(2)/25)*Calculateur!ER96*Calculateur!ET96*VLOOKUP('Données projet'!$B$15,Paramètres!$A$1:$I$89,3,0)*0.475*44/12</f>
        <v>29.494597106814883</v>
      </c>
      <c r="EX96" s="21">
        <f>EXP(-LN(2)/2)*EX95+(1-EXP(-LN(2)/2))/(LN(2)/2)*ER96*EU96*VLOOKUP('Données projet'!$B$15,Paramètres!$A$1:$I$89,3,0)*0.475*44/12</f>
        <v>0.16782219941619261</v>
      </c>
      <c r="EY96" s="22">
        <f t="shared" si="75"/>
        <v>71.622517615268521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>
        <f>FE96*VLOOKUP('Données projet'!$B$16,Paramètres!$A$1:$I$89,3,0)*VLOOKUP('Données projet'!$B$16,Paramètres!$A$1:$I$89,5,0)</f>
        <v>0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383.47860767209028</v>
      </c>
      <c r="FK96" s="59">
        <f t="shared" si="102"/>
        <v>370.49129421395628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40.970922934324257</v>
      </c>
      <c r="FR96" s="21">
        <f>EXP(-LN(2)/25)*FR95+(1-EXP(-LN(2)/25))/(LN(2)/25)*Calculateur!FM96*Calculateur!FO96*VLOOKUP('Données projet'!$B$16,Paramètres!$A$1:$I$89,3,0)*0.475*44/12</f>
        <v>36.4935341556561</v>
      </c>
      <c r="FS96" s="21">
        <f>EXP(-LN(2)/2)*FS95+(1-EXP(-LN(2)/2))/(LN(2)/2)*FM96*FP96*VLOOKUP('Données projet'!$B$16,Paramètres!$A$1:$I$89,3,0)*0.475*44/12</f>
        <v>0.70318751677123026</v>
      </c>
      <c r="FT96" s="22">
        <f t="shared" si="78"/>
        <v>78.167644606751594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6.7600000000000007</v>
      </c>
      <c r="FZ96" s="12">
        <f>IF('Données projet'!$A$244&gt;35,FZ95+FY96-GH95,IF(A96&lt;'Données projet'!$A$244,$FW$205^A96,IF(A96='Données projet'!$A$244,'Données projet'!$B$244,FZ95+FY96-GH95)))</f>
        <v>239.0499999999999</v>
      </c>
      <c r="GA96" s="17">
        <f>FZ96*VLOOKUP('Données projet'!$B$17,Paramètres!$A$1:$I$89,3,0)*VLOOKUP('Données projet'!$B$17,Paramètres!$A$1:$I$89,5,0)</f>
        <v>272.23013999999989</v>
      </c>
      <c r="GB96" s="13">
        <f t="shared" si="103"/>
        <v>65.322334456608132</v>
      </c>
      <c r="GC96" s="20">
        <f t="shared" si="79"/>
        <v>587.90389301192556</v>
      </c>
      <c r="GD96" s="59">
        <f t="shared" si="80"/>
        <v>863.23205868376158</v>
      </c>
      <c r="GE96" s="59">
        <f ca="1">AVERAGE(OFFSET($GD$3,0,0,'Données projet'!$E$17+1,1))-AVERAGE(OFFSET($H$3,0,0,'Données projet'!$E$17+1,1))</f>
        <v>640.05156427113661</v>
      </c>
      <c r="GF96" s="59">
        <f t="shared" si="104"/>
        <v>308.77220155372902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6.1918344752858729</v>
      </c>
      <c r="GM96" s="21">
        <f>EXP(-LN(2)/25)*GM95+(1-EXP(-LN(2)/25))/(LN(2)/25)*Calculateur!GH96*Calculateur!GJ96*VLOOKUP('Données projet'!$B$17,Paramètres!$A$1:$I$89,3,0)*0.475*44/12</f>
        <v>34.683923516049987</v>
      </c>
      <c r="GN96" s="21">
        <f>EXP(-LN(2)/2)*GN95+(1-EXP(-LN(2)/2))/(LN(2)/2)*GH96*GK96*VLOOKUP('Données projet'!$B$17,Paramètres!$A$1:$I$89,3,0)*0.475*44/12</f>
        <v>0.38740903017443168</v>
      </c>
      <c r="GO96" s="21">
        <f t="shared" si="81"/>
        <v>41.263167021510291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11.216666666666672</v>
      </c>
      <c r="N97" s="13">
        <f>IF('Données projet'!$A$36&gt;35,N96+M97-V96,IF(A97&lt;'Données projet'!$A$36,$K$205^A97,IF(A97='Données projet'!$A$36,'Données projet'!$B$36,N96+M97-V96)))</f>
        <v>409.14666666666665</v>
      </c>
      <c r="O97" s="13">
        <f>N97*VLOOKUP('Données projet'!$B$9,Paramètres!$A$1:$I$89,3,0)*VLOOKUP('Données projet'!$B$9,Paramètres!$A$1:$I$89,5,0)</f>
        <v>344.66515200000003</v>
      </c>
      <c r="P97" s="13">
        <f t="shared" si="87"/>
        <v>80.46303056740787</v>
      </c>
      <c r="Q97" s="20">
        <f t="shared" si="54"/>
        <v>740.43158463823545</v>
      </c>
      <c r="R97" s="59">
        <f t="shared" si="55"/>
        <v>1016.072099715474</v>
      </c>
      <c r="S97" s="59">
        <f ca="1">AVERAGE(OFFSET($R$3,0,0,'Données projet'!$E$9+1,1))-AVERAGE(OFFSET($H$3,0,0,'Données projet'!$E$9+1,1))</f>
        <v>456.35333554128226</v>
      </c>
      <c r="T97" s="59">
        <f t="shared" si="88"/>
        <v>296.4517290984877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50.366311271054492</v>
      </c>
      <c r="AA97" s="21">
        <f>EXP(-LN(2)/25)*AA96+(1-EXP(-LN(2)/25))/(LN(2)/25)*Calculateur!V97*Calculateur!X97*VLOOKUP('Données projet'!$B$9,Paramètres!$A$1:$I$89,3,0)*0.475*44/12</f>
        <v>26.682555229727107</v>
      </c>
      <c r="AB97" s="21">
        <f>EXP(-LN(2)/2)*AB96+(1-EXP(-LN(2)/2))/(LN(2)/2)*V97*Y97*VLOOKUP('Données projet'!$B$9,Paramètres!$A$1:$I$89,3,0)*0.475*44/12</f>
        <v>2.7779880184384442E-3</v>
      </c>
      <c r="AC97" s="22">
        <f t="shared" si="57"/>
        <v>77.051644488800036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408.246209980743</v>
      </c>
      <c r="AO97" s="59">
        <f t="shared" si="90"/>
        <v>394.10236303013903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43.257316442714348</v>
      </c>
      <c r="AV97" s="21">
        <f>EXP(-LN(2)/25)*AV96+(1-EXP(-LN(2)/25))/(LN(2)/25)*Calculateur!AQ97*Calculateur!AS97*VLOOKUP('Données projet'!$B$10,Paramètres!$A$1:$I$89,3,0)*0.475*44/12</f>
        <v>38.226048586985669</v>
      </c>
      <c r="AW97" s="21">
        <f>EXP(-LN(2)/2)*AW96+(1-EXP(-LN(2)/2))/(LN(2)/2)*AQ97*AT97*VLOOKUP('Données projet'!$B$10,Paramètres!$A$1:$I$89,3,0)*0.475*44/12</f>
        <v>0.5354770201357939</v>
      </c>
      <c r="AX97" s="21">
        <f t="shared" si="60"/>
        <v>82.018842049835825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6.7600000000000007</v>
      </c>
      <c r="BD97" s="12">
        <f>IF('Données projet'!$A$88&gt;35,BD96+BC97-BL96,IF(A97&lt;'Données projet'!$A$88,$BA$205^A97,IF(A97='Données projet'!$A$88,'Données projet'!$B$88,BD96+BC97-BL96)))</f>
        <v>245.80999999999989</v>
      </c>
      <c r="BE97" s="13">
        <f>BD97*VLOOKUP('Données projet'!$B$11,Paramètres!$A$1:$I$89,3,0)*VLOOKUP('Données projet'!$B$11,Paramètres!$A$1:$I$89,5,0)</f>
        <v>249.25133999999991</v>
      </c>
      <c r="BF97" s="13">
        <f t="shared" si="91"/>
        <v>60.42559860911723</v>
      </c>
      <c r="BG97" s="20">
        <f t="shared" si="61"/>
        <v>539.35400141087905</v>
      </c>
      <c r="BH97" s="59">
        <f t="shared" si="62"/>
        <v>814.9945164881176</v>
      </c>
      <c r="BI97" s="59">
        <f ca="1">AVERAGE(OFFSET($BH$3,0,0,'Données projet'!$E$11+1,1))-AVERAGE(OFFSET($H$3,0,0,'Données projet'!$E$11+1,1))</f>
        <v>580.02848304986492</v>
      </c>
      <c r="BJ97" s="59">
        <f t="shared" si="92"/>
        <v>281.68891895586728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5.4051652679678943</v>
      </c>
      <c r="BQ97" s="21">
        <f>EXP(-LN(2)/25)*BQ96+(1-EXP(-LN(2)/25))/(LN(2)/25)*Calculateur!BL97*Calculateur!BN97*VLOOKUP('Données projet'!$B$11,Paramètres!$A$1:$I$89,3,0)*0.475*44/12</f>
        <v>30.038449825083497</v>
      </c>
      <c r="BR97" s="21">
        <f>EXP(-LN(2)/2)*BR96+(1-EXP(-LN(2)/2))/(LN(2)/2)*BL97*BO97*VLOOKUP('Données projet'!$B$11,Paramètres!$A$1:$I$89,3,0)*0.475*44/12</f>
        <v>0.24391877947124521</v>
      </c>
      <c r="BS97" s="22">
        <f t="shared" si="63"/>
        <v>35.687533872522636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5.6843418860808015E-14</v>
      </c>
      <c r="BZ97" s="13">
        <f>BY97*VLOOKUP('Données projet'!$B$12,Paramètres!$A$1:$I$89,3,0)*VLOOKUP('Données projet'!$B$12,Paramètres!$A$1:$I$89,5,0)</f>
        <v>4.4337866711430253E-14</v>
      </c>
      <c r="CA97" s="13">
        <f t="shared" si="93"/>
        <v>7.3222115536967035E-13</v>
      </c>
      <c r="CB97" s="20">
        <f t="shared" si="64"/>
        <v>1.3525069634579169E-12</v>
      </c>
      <c r="CC97" s="59">
        <f t="shared" si="65"/>
        <v>275.64051507723985</v>
      </c>
      <c r="CD97" s="59">
        <f ca="1">AVERAGE(OFFSET($CC$3,0,0,'Données projet'!$E$12+1,1))-AVERAGE(OFFSET($H$3,0,0,'Données projet'!$E$12+1,1))</f>
        <v>308.85018589589453</v>
      </c>
      <c r="CE97" s="59">
        <f t="shared" si="94"/>
        <v>302.59481222418219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26.207928132283886</v>
      </c>
      <c r="CL97" s="21">
        <f>EXP(-LN(2)/25)*CL96+(1-EXP(-LN(2)/25))/(LN(2)/25)*Calculateur!CG97*Calculateur!CI97*VLOOKUP('Données projet'!$B$12,Paramètres!$A$1:$I$89,3,0)*0.475*44/12</f>
        <v>21.167590960029784</v>
      </c>
      <c r="CM97" s="21">
        <f>EXP(-LN(2)/2)*CM96+(1-EXP(-LN(2)/2))/(LN(2)/2)*CG97*CJ97*VLOOKUP('Données projet'!$B$12,Paramètres!$A$1:$I$89,3,0)*0.475*44/12</f>
        <v>1.0488524147693717E-2</v>
      </c>
      <c r="CN97" s="22">
        <f t="shared" si="66"/>
        <v>47.386007616461363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3.7179487179487181</v>
      </c>
      <c r="CT97" s="12">
        <f>IF('Données projet'!$A$140&gt;35,CT96+CS97-DB96,IF(A97&lt;'Données projet'!$A$140,$CQ$205^A97,IF(A97='Données projet'!$A$140,'Données projet'!$B$140,CT96+CS97-DB96)))</f>
        <v>286.02564102564122</v>
      </c>
      <c r="CU97" s="17">
        <f>CT97*VLOOKUP('Données projet'!$B$13,Paramètres!$A$1:$I$89,3,0)*VLOOKUP('Données projet'!$B$13,Paramètres!$A$1:$I$89,5,0)</f>
        <v>191.86600000000016</v>
      </c>
      <c r="CV97" s="13">
        <f t="shared" si="95"/>
        <v>47.952264009442366</v>
      </c>
      <c r="CW97" s="20">
        <f t="shared" si="67"/>
        <v>417.68347648311237</v>
      </c>
      <c r="CX97" s="59">
        <f t="shared" si="68"/>
        <v>693.32399156035081</v>
      </c>
      <c r="CY97" s="59">
        <f ca="1">AVERAGE(OFFSET($CX$3,0,0,'Données projet'!$E$13+1,1))-AVERAGE(OFFSET($H$3,0,0,'Données projet'!$E$13+1,1))</f>
        <v>335.73816489539837</v>
      </c>
      <c r="CZ97" s="59">
        <f t="shared" si="96"/>
        <v>254.09787950201044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6.3144813936793875</v>
      </c>
      <c r="DG97" s="21">
        <f>EXP(-LN(2)/25)*DG96+(1-EXP(-LN(2)/25))/(LN(2)/25)*Calculateur!DB97*Calculateur!DD97*VLOOKUP('Données projet'!$B$13,Paramètres!$A$1:$I$89,3,0)*0.475*44/12</f>
        <v>8.3856165456543739</v>
      </c>
      <c r="DH97" s="21">
        <f>EXP(-LN(2)/2)*DH96+(1-EXP(-LN(2)/2))/(LN(2)/2)*DB97*DE97*VLOOKUP('Données projet'!$B$13,Paramètres!$A$1:$I$89,3,0)*0.475*44/12</f>
        <v>0.58640592759548149</v>
      </c>
      <c r="DI97" s="22">
        <f t="shared" si="69"/>
        <v>15.286503866929245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8.9989999999999952</v>
      </c>
      <c r="DO97" s="12">
        <f>IF('Données projet'!$A$166&gt;35,DO96+DN97-DW96,IF(A97&lt;'Données projet'!$A$166,$DL$205^A97,IF(A97='Données projet'!$A$166,'Données projet'!$B$166,DO96+DN97-DW96)))</f>
        <v>290.40899999999993</v>
      </c>
      <c r="DP97" s="17">
        <f>DO97*VLOOKUP('Données projet'!$B$14,Paramètres!$A$1:$I$89,3,0)*VLOOKUP('Données projet'!$B$14,Paramètres!$A$1:$I$89,5,0)</f>
        <v>280.88358479999994</v>
      </c>
      <c r="DQ97" s="13">
        <f t="shared" si="97"/>
        <v>67.153701495463309</v>
      </c>
      <c r="DR97" s="20">
        <f t="shared" si="70"/>
        <v>606.16494029793182</v>
      </c>
      <c r="DS97" s="59">
        <f t="shared" si="71"/>
        <v>881.80545537517037</v>
      </c>
      <c r="DT97" s="59">
        <f ca="1">AVERAGE(OFFSET($DS$3,0,0,'Données projet'!$E$14+1,1))-AVERAGE(OFFSET($H$3,0,0,'Données projet'!$E$14+1,1))</f>
        <v>493.03862850474161</v>
      </c>
      <c r="DU97" s="59">
        <f t="shared" si="98"/>
        <v>312.51819065560528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36.963938481282106</v>
      </c>
      <c r="EB97" s="21">
        <f>EXP(-LN(2)/25)*EB96+(1-EXP(-LN(2)/25))/(LN(2)/25)*Calculateur!DW97*Calculateur!DY97*VLOOKUP('Données projet'!$B$14,Paramètres!$A$1:$I$89,3,0)*0.475*44/12</f>
        <v>25.77768231113458</v>
      </c>
      <c r="EC97" s="21">
        <f>EXP(-LN(2)/2)*EC96+(1-EXP(-LN(2)/2))/(LN(2)/2)*DW97*DZ97*VLOOKUP('Données projet'!$B$14,Paramètres!$A$1:$I$89,3,0)*0.475*44/12</f>
        <v>0.10662941079610885</v>
      </c>
      <c r="ED97" s="22">
        <f t="shared" si="72"/>
        <v>62.848250203212793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8.9989999999999952</v>
      </c>
      <c r="EJ97" s="12">
        <f>IF('Données projet'!$A$192&gt;35,EJ96+EI97-ER96,IF(A97&lt;'Données projet'!$A$192,$EG$205^A97,IF(A97='Données projet'!$A$192,'Données projet'!$B$192,EJ96+EI97-ER96)))</f>
        <v>290.40899999999993</v>
      </c>
      <c r="EK97" s="17">
        <f>EJ97*VLOOKUP('Données projet'!$B$15,Paramètres!$A$1:$I$89,3,0)*VLOOKUP('Données projet'!$B$15,Paramètres!$A$1:$I$89,5,0)</f>
        <v>312.59624759999991</v>
      </c>
      <c r="EL97" s="13">
        <f t="shared" si="99"/>
        <v>73.810766542684433</v>
      </c>
      <c r="EM97" s="20">
        <f t="shared" si="73"/>
        <v>672.99221629850854</v>
      </c>
      <c r="EN97" s="59">
        <f t="shared" si="74"/>
        <v>948.63273137574697</v>
      </c>
      <c r="EO97" s="59">
        <f ca="1">AVERAGE(OFFSET($EN$3,0,0,'Données projet'!$E$15+1,1))-AVERAGE(OFFSET($H$3,0,0,'Données projet'!$E$15+1,1))</f>
        <v>539.72194201710272</v>
      </c>
      <c r="EP97" s="59">
        <f t="shared" si="100"/>
        <v>340.76505385159362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41.137286374330081</v>
      </c>
      <c r="EW97" s="21">
        <f>EXP(-LN(2)/25)*EW96+(1-EXP(-LN(2)/25))/(LN(2)/25)*Calculateur!ER97*Calculateur!ET97*VLOOKUP('Données projet'!$B$15,Paramètres!$A$1:$I$89,3,0)*0.475*44/12</f>
        <v>28.688065797875581</v>
      </c>
      <c r="EX97" s="21">
        <f>EXP(-LN(2)/2)*EX96+(1-EXP(-LN(2)/2))/(LN(2)/2)*ER97*EU97*VLOOKUP('Données projet'!$B$15,Paramètres!$A$1:$I$89,3,0)*0.475*44/12</f>
        <v>0.11866821524083086</v>
      </c>
      <c r="EY97" s="22">
        <f t="shared" si="75"/>
        <v>69.9440203874465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>
        <f>FE97*VLOOKUP('Données projet'!$B$16,Paramètres!$A$1:$I$89,3,0)*VLOOKUP('Données projet'!$B$16,Paramètres!$A$1:$I$89,5,0)</f>
        <v>0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383.47860767209028</v>
      </c>
      <c r="FK97" s="59">
        <f t="shared" si="102"/>
        <v>370.49129421395628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40.167508125377609</v>
      </c>
      <c r="FR97" s="21">
        <f>EXP(-LN(2)/25)*FR96+(1-EXP(-LN(2)/25))/(LN(2)/25)*Calculateur!FM97*Calculateur!FO97*VLOOKUP('Données projet'!$B$16,Paramètres!$A$1:$I$89,3,0)*0.475*44/12</f>
        <v>35.495616545058127</v>
      </c>
      <c r="FS97" s="21">
        <f>EXP(-LN(2)/2)*FS96+(1-EXP(-LN(2)/2))/(LN(2)/2)*FM97*FP97*VLOOKUP('Données projet'!$B$16,Paramètres!$A$1:$I$89,3,0)*0.475*44/12</f>
        <v>0.49722866155466605</v>
      </c>
      <c r="FT97" s="22">
        <f t="shared" si="78"/>
        <v>76.160353331990407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6.7600000000000007</v>
      </c>
      <c r="FZ97" s="12">
        <f>IF('Données projet'!$A$244&gt;35,FZ96+FY97-GH96,IF(A97&lt;'Données projet'!$A$244,$FW$205^A97,IF(A97='Données projet'!$A$244,'Données projet'!$B$244,FZ96+FY97-GH96)))</f>
        <v>245.80999999999989</v>
      </c>
      <c r="GA97" s="17">
        <f>FZ97*VLOOKUP('Données projet'!$B$17,Paramètres!$A$1:$I$89,3,0)*VLOOKUP('Données projet'!$B$17,Paramètres!$A$1:$I$89,5,0)</f>
        <v>279.92842799999988</v>
      </c>
      <c r="GB97" s="13">
        <f t="shared" si="103"/>
        <v>66.951883435020946</v>
      </c>
      <c r="GC97" s="20">
        <f t="shared" si="79"/>
        <v>604.14987574932786</v>
      </c>
      <c r="GD97" s="59">
        <f t="shared" si="80"/>
        <v>879.79039082656641</v>
      </c>
      <c r="GE97" s="59">
        <f ca="1">AVERAGE(OFFSET($GD$3,0,0,'Données projet'!$E$17+1,1))-AVERAGE(OFFSET($H$3,0,0,'Données projet'!$E$17+1,1))</f>
        <v>640.05156427113661</v>
      </c>
      <c r="GF97" s="59">
        <f t="shared" si="104"/>
        <v>308.77220155372902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6.0704163778716342</v>
      </c>
      <c r="GM97" s="21">
        <f>EXP(-LN(2)/25)*GM96+(1-EXP(-LN(2)/25))/(LN(2)/25)*Calculateur!GH97*Calculateur!GJ97*VLOOKUP('Données projet'!$B$17,Paramètres!$A$1:$I$89,3,0)*0.475*44/12</f>
        <v>33.735489803555332</v>
      </c>
      <c r="GN97" s="21">
        <f>EXP(-LN(2)/2)*GN96+(1-EXP(-LN(2)/2))/(LN(2)/2)*GH97*GK97*VLOOKUP('Données projet'!$B$17,Paramètres!$A$1:$I$89,3,0)*0.475*44/12</f>
        <v>0.27393955232924444</v>
      </c>
      <c r="GO97" s="21">
        <f t="shared" si="81"/>
        <v>40.079845733756208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11.216666666666672</v>
      </c>
      <c r="N98" s="13">
        <f>IF('Données projet'!$A$36&gt;35,N97+M98-V97,IF(A98&lt;'Données projet'!$A$36,$K$205^A98,IF(A98='Données projet'!$A$36,'Données projet'!$B$36,N97+M98-V97)))</f>
        <v>420.36333333333334</v>
      </c>
      <c r="O98" s="13">
        <f>N98*VLOOKUP('Données projet'!$B$9,Paramètres!$A$1:$I$89,3,0)*VLOOKUP('Données projet'!$B$9,Paramètres!$A$1:$I$89,5,0)</f>
        <v>354.11407200000002</v>
      </c>
      <c r="P98" s="13">
        <f t="shared" si="87"/>
        <v>82.409064377569791</v>
      </c>
      <c r="Q98" s="20">
        <f t="shared" si="54"/>
        <v>760.27779585760072</v>
      </c>
      <c r="R98" s="59">
        <f t="shared" si="55"/>
        <v>1036.2252417763666</v>
      </c>
      <c r="S98" s="59">
        <f ca="1">AVERAGE(OFFSET($R$3,0,0,'Données projet'!$E$9+1,1))-AVERAGE(OFFSET($H$3,0,0,'Données projet'!$E$9+1,1))</f>
        <v>456.35333554128226</v>
      </c>
      <c r="T98" s="59">
        <f t="shared" si="88"/>
        <v>296.4517290984877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49.378658627445603</v>
      </c>
      <c r="AA98" s="21">
        <f>EXP(-LN(2)/25)*AA97+(1-EXP(-LN(2)/25))/(LN(2)/25)*Calculateur!V98*Calculateur!X98*VLOOKUP('Données projet'!$B$9,Paramètres!$A$1:$I$89,3,0)*0.475*44/12</f>
        <v>25.952919353795625</v>
      </c>
      <c r="AB98" s="21">
        <f>EXP(-LN(2)/2)*AB97+(1-EXP(-LN(2)/2))/(LN(2)/2)*V98*Y98*VLOOKUP('Données projet'!$B$9,Paramètres!$A$1:$I$89,3,0)*0.475*44/12</f>
        <v>1.9643341658928037E-3</v>
      </c>
      <c r="AC98" s="22">
        <f t="shared" si="57"/>
        <v>75.333542315407115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408.246209980743</v>
      </c>
      <c r="AO98" s="59">
        <f t="shared" si="90"/>
        <v>394.10236303013903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42.409066851630513</v>
      </c>
      <c r="AV98" s="21">
        <f>EXP(-LN(2)/25)*AV97+(1-EXP(-LN(2)/25))/(LN(2)/25)*Calculateur!AQ98*Calculateur!AS98*VLOOKUP('Données projet'!$B$10,Paramètres!$A$1:$I$89,3,0)*0.475*44/12</f>
        <v>37.180755278154017</v>
      </c>
      <c r="AW98" s="21">
        <f>EXP(-LN(2)/2)*AW97+(1-EXP(-LN(2)/2))/(LN(2)/2)*AQ98*AT98*VLOOKUP('Données projet'!$B$10,Paramètres!$A$1:$I$89,3,0)*0.475*44/12</f>
        <v>0.37863943210758533</v>
      </c>
      <c r="AX98" s="21">
        <f t="shared" si="60"/>
        <v>79.968461561892113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252.57</v>
      </c>
      <c r="BB98" s="12">
        <f>VLOOKUP(A98,'Données projet'!$A$87:$I$107,9,0)</f>
        <v>6.7600000000000007</v>
      </c>
      <c r="BC98" s="12">
        <f t="array" ref="BC98">INDEX(BB:BB,MIN(IF(ISNUMBER(BB98:BB294),ROW(BB98:BB294),"")))</f>
        <v>6.7600000000000007</v>
      </c>
      <c r="BD98" s="12">
        <f>IF('Données projet'!$A$88&gt;35,BD97+BC98-BL97,IF(A98&lt;'Données projet'!$A$88,$BA$205^A98,IF(A98='Données projet'!$A$88,'Données projet'!$B$88,BD97+BC98-BL97)))</f>
        <v>252.56999999999988</v>
      </c>
      <c r="BE98" s="13">
        <f>BD98*VLOOKUP('Données projet'!$B$11,Paramètres!$A$1:$I$89,3,0)*VLOOKUP('Données projet'!$B$11,Paramètres!$A$1:$I$89,5,0)</f>
        <v>256.10597999999987</v>
      </c>
      <c r="BF98" s="13">
        <f t="shared" si="91"/>
        <v>61.89160266777624</v>
      </c>
      <c r="BG98" s="20">
        <f t="shared" si="61"/>
        <v>553.84578981304333</v>
      </c>
      <c r="BH98" s="59">
        <f t="shared" si="62"/>
        <v>829.79323573180932</v>
      </c>
      <c r="BI98" s="59">
        <f ca="1">AVERAGE(OFFSET($BH$3,0,0,'Données projet'!$E$11+1,1))-AVERAGE(OFFSET($H$3,0,0,'Données projet'!$E$11+1,1))</f>
        <v>580.02848304986492</v>
      </c>
      <c r="BJ98" s="59">
        <f t="shared" si="92"/>
        <v>281.68891895586728</v>
      </c>
      <c r="BK98" s="15">
        <f>IF(ISNA(VLOOKUP(A98,'Données projet'!$A$87:$I$107,3,0)),0,VLOOKUP(A98,'Données projet'!$A$87:$I$107,3,0))</f>
        <v>5</v>
      </c>
      <c r="BL98" s="15">
        <f>IF(ISNA(VLOOKUP(A98,'Données projet'!$A$87:$I$107,4,0)),0,VLOOKUP(A98,'Données projet'!$A$87:$I$107,4,0))</f>
        <v>42.199999999999989</v>
      </c>
      <c r="BM98" s="16">
        <f>IF(ISNA(VLOOKUP(A98,'Données projet'!$A$87:$I$107,5,0)),0%,VLOOKUP(A98,'Données projet'!$A$87:$I$107,5,0)*VLOOKUP('Données projet'!$B$11,Paramètres!$A$1:$I$89,7,0))</f>
        <v>0.15049999999999999</v>
      </c>
      <c r="BN98" s="16">
        <f>IF(ISNA(VLOOKUP(A98,'Données projet'!$A$87:$I$107,6,0)),0%,VLOOKUP(A98,'Données projet'!$A$87:$I$107,6,0)*VLOOKUP('Données projet'!$B$11,Paramètres!$A$1:$I$89,7,0))</f>
        <v>8.6000000000000007E-2</v>
      </c>
      <c r="BO98" s="16">
        <f>IF(ISNA(VLOOKUP(A98,'Données projet'!$A$87:$I$107,7,0)),0%,VLOOKUP(A98,'Données projet'!$A$87:$I$107,7,0))</f>
        <v>0.1</v>
      </c>
      <c r="BP98" s="21">
        <f>EXP(-LN(2)/35)*BP97+(1-EXP(-LN(2)/35))/(LN(2)/35)*BL98*BM98*VLOOKUP('Données projet'!$B$11,Paramètres!$A$1:$I$89,3,0)*0.475*44/12</f>
        <v>12.418419542324367</v>
      </c>
      <c r="BQ98" s="21">
        <f>EXP(-LN(2)/25)*BQ97+(1-EXP(-LN(2)/25))/(LN(2)/25)*Calculateur!BL98*Calculateur!BN98*VLOOKUP('Données projet'!$B$11,Paramètres!$A$1:$I$89,3,0)*0.475*44/12</f>
        <v>33.269169739667007</v>
      </c>
      <c r="BR98" s="21">
        <f>EXP(-LN(2)/2)*BR97+(1-EXP(-LN(2)/2))/(LN(2)/2)*BL98*BO98*VLOOKUP('Données projet'!$B$11,Paramètres!$A$1:$I$89,3,0)*0.475*44/12</f>
        <v>4.2099037727724866</v>
      </c>
      <c r="BS98" s="22">
        <f t="shared" si="63"/>
        <v>49.897493054763856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5.6843418860808015E-14</v>
      </c>
      <c r="BZ98" s="13">
        <f>BY98*VLOOKUP('Données projet'!$B$12,Paramètres!$A$1:$I$89,3,0)*VLOOKUP('Données projet'!$B$12,Paramètres!$A$1:$I$89,5,0)</f>
        <v>4.4337866711430253E-14</v>
      </c>
      <c r="CA98" s="13">
        <f t="shared" si="93"/>
        <v>7.3222115536967035E-13</v>
      </c>
      <c r="CB98" s="20">
        <f t="shared" si="64"/>
        <v>1.3525069634579169E-12</v>
      </c>
      <c r="CC98" s="59">
        <f t="shared" si="65"/>
        <v>275.9474459187673</v>
      </c>
      <c r="CD98" s="59">
        <f ca="1">AVERAGE(OFFSET($CC$3,0,0,'Données projet'!$E$12+1,1))-AVERAGE(OFFSET($H$3,0,0,'Données projet'!$E$12+1,1))</f>
        <v>308.85018589589453</v>
      </c>
      <c r="CE98" s="59">
        <f t="shared" si="94"/>
        <v>302.59481222418219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25.694006646867546</v>
      </c>
      <c r="CL98" s="21">
        <f>EXP(-LN(2)/25)*CL97+(1-EXP(-LN(2)/25))/(LN(2)/25)*Calculateur!CG98*Calculateur!CI98*VLOOKUP('Données projet'!$B$12,Paramètres!$A$1:$I$89,3,0)*0.475*44/12</f>
        <v>20.588762072072541</v>
      </c>
      <c r="CM98" s="21">
        <f>EXP(-LN(2)/2)*CM97+(1-EXP(-LN(2)/2))/(LN(2)/2)*CG98*CJ98*VLOOKUP('Données projet'!$B$12,Paramètres!$A$1:$I$89,3,0)*0.475*44/12</f>
        <v>7.4165065494730814E-3</v>
      </c>
      <c r="CN98" s="22">
        <f t="shared" si="66"/>
        <v>46.290185225489566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289.74358974358972</v>
      </c>
      <c r="CR98" s="12">
        <f>VLOOKUP(A98,'Données projet'!$A$139:$I$159,9,0)</f>
        <v>3.7179487179487181</v>
      </c>
      <c r="CS98" s="12">
        <f t="array" ref="CS98">INDEX(CR:CR,MIN(IF(ISNUMBER(CR98:CR294),ROW(CR98:CR294),"")))</f>
        <v>3.7179487179487181</v>
      </c>
      <c r="CT98" s="12">
        <f>IF('Données projet'!$A$140&gt;35,CT97+CS98-DB97,IF(A98&lt;'Données projet'!$A$140,$CQ$205^A98,IF(A98='Données projet'!$A$140,'Données projet'!$B$140,CT97+CS98-DB97)))</f>
        <v>289.74358974358995</v>
      </c>
      <c r="CU98" s="17">
        <f>CT98*VLOOKUP('Données projet'!$B$13,Paramètres!$A$1:$I$89,3,0)*VLOOKUP('Données projet'!$B$13,Paramètres!$A$1:$I$89,5,0)</f>
        <v>194.36000000000016</v>
      </c>
      <c r="CV98" s="13">
        <f t="shared" si="95"/>
        <v>48.502610439386679</v>
      </c>
      <c r="CW98" s="20">
        <f t="shared" si="67"/>
        <v>422.98571318193211</v>
      </c>
      <c r="CX98" s="59">
        <f t="shared" si="68"/>
        <v>698.93315910069805</v>
      </c>
      <c r="CY98" s="59">
        <f ca="1">AVERAGE(OFFSET($CX$3,0,0,'Données projet'!$E$13+1,1))-AVERAGE(OFFSET($H$3,0,0,'Données projet'!$E$13+1,1))</f>
        <v>335.73816489539837</v>
      </c>
      <c r="CZ98" s="59">
        <f t="shared" si="96"/>
        <v>254.09787950201044</v>
      </c>
      <c r="DA98" s="15">
        <f>IF(ISNA(VLOOKUP(A98,'Données projet'!$A$139:$I$159,3,0)),0,VLOOKUP(A98,'Données projet'!$A$139:$I$159,3,0))</f>
        <v>17</v>
      </c>
      <c r="DB98" s="15">
        <f>IF(ISNA(VLOOKUP(A98,'Données projet'!$A$139:$I$159,4,0)),0,VLOOKUP(A98,'Données projet'!$A$139:$I$159,4,0))</f>
        <v>11.538461538461538</v>
      </c>
      <c r="DC98" s="16">
        <f>IF(ISNA(VLOOKUP(A98,'Données projet'!$A$139:$I$159,5,0)),0%,VLOOKUP(A98,'Données projet'!$A$139:$I$159,5,0)*VLOOKUP('Données projet'!$B$13,Paramètres!$A$1:$I$89,7,0))</f>
        <v>0.13250000000000001</v>
      </c>
      <c r="DD98" s="16">
        <f>IF(ISNA(VLOOKUP(A98,'Données projet'!$A$139:$I$159,6,0)),0%,VLOOKUP(A98,'Données projet'!$A$139:$I$159,6,0)*VLOOKUP('Données projet'!$B$13,Paramètres!$A$1:$I$89,7,0))</f>
        <v>0.13250000000000001</v>
      </c>
      <c r="DE98" s="16">
        <f>IF(ISNA(VLOOKUP(A98,'Données projet'!$A$139:$I$159,7,0)),0%,VLOOKUP(A98,'Données projet'!$A$139:$I$159,7,0))</f>
        <v>0.25</v>
      </c>
      <c r="DF98" s="21">
        <f>EXP(-LN(2)/35)*DF97+(1-EXP(-LN(2)/35))/(LN(2)/35)*DB98*DC98*VLOOKUP('Données projet'!$B$13,Paramètres!$A$1:$I$89,3,0)*0.475*44/12</f>
        <v>7.3243734127327027</v>
      </c>
      <c r="DG98" s="21">
        <f>EXP(-LN(2)/25)*DG97+(1-EXP(-LN(2)/25))/(LN(2)/25)*Calculateur!DB98*Calculateur!DD98*VLOOKUP('Données projet'!$B$13,Paramètres!$A$1:$I$89,3,0)*0.475*44/12</f>
        <v>9.2855626994471123</v>
      </c>
      <c r="DH98" s="21">
        <f>EXP(-LN(2)/2)*DH97+(1-EXP(-LN(2)/2))/(LN(2)/2)*DB98*DE98*VLOOKUP('Données projet'!$B$13,Paramètres!$A$1:$I$89,3,0)*0.475*44/12</f>
        <v>2.2403761876921786</v>
      </c>
      <c r="DI98" s="22">
        <f t="shared" si="69"/>
        <v>18.850312299871995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8.9989999999999952</v>
      </c>
      <c r="DO98" s="12">
        <f>IF('Données projet'!$A$166&gt;35,DO97+DN98-DW97,IF(A98&lt;'Données projet'!$A$166,$DL$205^A98,IF(A98='Données projet'!$A$166,'Données projet'!$B$166,DO97+DN98-DW97)))</f>
        <v>299.4079999999999</v>
      </c>
      <c r="DP98" s="17">
        <f>DO98*VLOOKUP('Données projet'!$B$14,Paramètres!$A$1:$I$89,3,0)*VLOOKUP('Données projet'!$B$14,Paramètres!$A$1:$I$89,5,0)</f>
        <v>289.58741759999992</v>
      </c>
      <c r="DQ98" s="13">
        <f t="shared" si="97"/>
        <v>68.989118728251057</v>
      </c>
      <c r="DR98" s="20">
        <f t="shared" si="70"/>
        <v>624.52080077170388</v>
      </c>
      <c r="DS98" s="59">
        <f t="shared" si="71"/>
        <v>900.46824669046987</v>
      </c>
      <c r="DT98" s="59">
        <f ca="1">AVERAGE(OFFSET($DS$3,0,0,'Données projet'!$E$14+1,1))-AVERAGE(OFFSET($H$3,0,0,'Données projet'!$E$14+1,1))</f>
        <v>493.03862850474161</v>
      </c>
      <c r="DU98" s="59">
        <f t="shared" si="98"/>
        <v>312.51819065560528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36.239098193440427</v>
      </c>
      <c r="EB98" s="21">
        <f>EXP(-LN(2)/25)*EB97+(1-EXP(-LN(2)/25))/(LN(2)/25)*Calculateur!DW98*Calculateur!DY98*VLOOKUP('Données projet'!$B$14,Paramètres!$A$1:$I$89,3,0)*0.475*44/12</f>
        <v>25.072790232747209</v>
      </c>
      <c r="EC98" s="21">
        <f>EXP(-LN(2)/2)*EC97+(1-EXP(-LN(2)/2))/(LN(2)/2)*DW98*DZ98*VLOOKUP('Données projet'!$B$14,Paramètres!$A$1:$I$89,3,0)*0.475*44/12</f>
        <v>7.539837944785463E-2</v>
      </c>
      <c r="ED98" s="22">
        <f t="shared" si="72"/>
        <v>61.38728680563549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8.9989999999999952</v>
      </c>
      <c r="EJ98" s="12">
        <f>IF('Données projet'!$A$192&gt;35,EJ97+EI98-ER97,IF(A98&lt;'Données projet'!$A$192,$EG$205^A98,IF(A98='Données projet'!$A$192,'Données projet'!$B$192,EJ97+EI98-ER97)))</f>
        <v>299.4079999999999</v>
      </c>
      <c r="EK98" s="17">
        <f>EJ98*VLOOKUP('Données projet'!$B$15,Paramètres!$A$1:$I$89,3,0)*VLOOKUP('Données projet'!$B$15,Paramètres!$A$1:$I$89,5,0)</f>
        <v>322.2827711999999</v>
      </c>
      <c r="EL98" s="13">
        <f t="shared" si="99"/>
        <v>75.828131927775956</v>
      </c>
      <c r="EM98" s="20">
        <f t="shared" si="73"/>
        <v>693.37648961420962</v>
      </c>
      <c r="EN98" s="59">
        <f t="shared" si="74"/>
        <v>969.32393553297561</v>
      </c>
      <c r="EO98" s="59">
        <f ca="1">AVERAGE(OFFSET($EN$3,0,0,'Données projet'!$E$15+1,1))-AVERAGE(OFFSET($H$3,0,0,'Données projet'!$E$15+1,1))</f>
        <v>539.72194201710272</v>
      </c>
      <c r="EP98" s="59">
        <f t="shared" si="100"/>
        <v>340.76505385159362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40.330609279796597</v>
      </c>
      <c r="EW98" s="21">
        <f>EXP(-LN(2)/25)*EW97+(1-EXP(-LN(2)/25))/(LN(2)/25)*Calculateur!ER98*Calculateur!ET98*VLOOKUP('Données projet'!$B$15,Paramètres!$A$1:$I$89,3,0)*0.475*44/12</f>
        <v>27.903589129992859</v>
      </c>
      <c r="EX98" s="21">
        <f>EXP(-LN(2)/2)*EX97+(1-EXP(-LN(2)/2))/(LN(2)/2)*ER98*EU98*VLOOKUP('Données projet'!$B$15,Paramètres!$A$1:$I$89,3,0)*0.475*44/12</f>
        <v>8.3911099708096321E-2</v>
      </c>
      <c r="EY98" s="22">
        <f t="shared" si="75"/>
        <v>68.318109509497546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>
        <f>FE98*VLOOKUP('Données projet'!$B$16,Paramètres!$A$1:$I$89,3,0)*VLOOKUP('Données projet'!$B$16,Paramètres!$A$1:$I$89,5,0)</f>
        <v>0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383.47860767209028</v>
      </c>
      <c r="FK98" s="59">
        <f t="shared" si="102"/>
        <v>370.49129421395628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39.379847790799758</v>
      </c>
      <c r="FR98" s="21">
        <f>EXP(-LN(2)/25)*FR97+(1-EXP(-LN(2)/25))/(LN(2)/25)*Calculateur!FM98*Calculateur!FO98*VLOOKUP('Données projet'!$B$16,Paramètres!$A$1:$I$89,3,0)*0.475*44/12</f>
        <v>34.524987044000163</v>
      </c>
      <c r="FS98" s="21">
        <f>EXP(-LN(2)/2)*FS97+(1-EXP(-LN(2)/2))/(LN(2)/2)*FM98*FP98*VLOOKUP('Données projet'!$B$16,Paramètres!$A$1:$I$89,3,0)*0.475*44/12</f>
        <v>0.35159375838561518</v>
      </c>
      <c r="FT98" s="22">
        <f t="shared" si="78"/>
        <v>74.256428593185532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>
        <f>VLOOKUP(A98,'Données projet'!$A$243:$I$263,2,0)</f>
        <v>252.57</v>
      </c>
      <c r="FX98" s="12">
        <f>VLOOKUP(A98,'Données projet'!$A$243:$I$263,9,0)</f>
        <v>6.7600000000000007</v>
      </c>
      <c r="FY98" s="12">
        <f t="array" ref="FY98">INDEX(FX:FX,MIN(IF(ISNUMBER(FX98:FX294),ROW(FX98:FX294),"")))</f>
        <v>6.7600000000000007</v>
      </c>
      <c r="FZ98" s="12">
        <f>IF('Données projet'!$A$244&gt;35,FZ97+FY98-GH97,IF(A98&lt;'Données projet'!$A$244,$FW$205^A98,IF(A98='Données projet'!$A$244,'Données projet'!$B$244,FZ97+FY98-GH97)))</f>
        <v>252.56999999999988</v>
      </c>
      <c r="GA98" s="17">
        <f>FZ98*VLOOKUP('Données projet'!$B$17,Paramètres!$A$1:$I$89,3,0)*VLOOKUP('Données projet'!$B$17,Paramètres!$A$1:$I$89,5,0)</f>
        <v>287.62671599999982</v>
      </c>
      <c r="GB98" s="13">
        <f t="shared" si="103"/>
        <v>68.576223699906507</v>
      </c>
      <c r="GC98" s="20">
        <f t="shared" si="79"/>
        <v>620.38678664400345</v>
      </c>
      <c r="GD98" s="59">
        <f t="shared" si="80"/>
        <v>896.33423256276933</v>
      </c>
      <c r="GE98" s="59">
        <f ca="1">AVERAGE(OFFSET($GD$3,0,0,'Données projet'!$E$17+1,1))-AVERAGE(OFFSET($H$3,0,0,'Données projet'!$E$17+1,1))</f>
        <v>640.05156427113661</v>
      </c>
      <c r="GF98" s="59">
        <f t="shared" si="104"/>
        <v>308.77220155372902</v>
      </c>
      <c r="GG98" s="15">
        <f>IF(ISNA(VLOOKUP(A98,'Données projet'!$A$243:$I$263,3,0)),0,VLOOKUP(A98,'Données projet'!$A$243:$I$263,3,0))</f>
        <v>5</v>
      </c>
      <c r="GH98" s="15">
        <f>IF(ISNA(VLOOKUP(A98,'Données projet'!$A$243:$I$263,4,0)),0,VLOOKUP(A98,'Données projet'!$A$243:$I$263,4,0))</f>
        <v>42.199999999999989</v>
      </c>
      <c r="GI98" s="16">
        <f>IF(ISNA(VLOOKUP(A98,'Données projet'!$A$243:$I$263,5,0)),0%,VLOOKUP(A98,'Données projet'!$A$243:$I$263,5,0)*VLOOKUP('Données projet'!$B$17,Paramètres!$A$1:$I$89,7,0))</f>
        <v>0.15049999999999999</v>
      </c>
      <c r="GJ98" s="16">
        <f>IF(ISNA(VLOOKUP(A98,'Données projet'!$A$243:$I$263,6,0)),0%,VLOOKUP(A98,'Données projet'!$A$243:$I$263,6,0)*VLOOKUP('Données projet'!$B$17,Paramètres!$A$1:$I$89,7,0))</f>
        <v>8.6000000000000007E-2</v>
      </c>
      <c r="GK98" s="16">
        <f>IF(ISNA(VLOOKUP(A98,'Données projet'!$A$243:$I$263,7,0)),0%,VLOOKUP(A98,'Données projet'!$A$243:$I$263,7,0))</f>
        <v>0.1</v>
      </c>
      <c r="GL98" s="21">
        <f>EXP(-LN(2)/35)*GL97+(1-EXP(-LN(2)/35))/(LN(2)/35)*GH98*GI98*VLOOKUP('Données projet'!$B$17,Paramètres!$A$1:$I$89,3,0)*0.475*44/12</f>
        <v>13.946840409071978</v>
      </c>
      <c r="GM98" s="21">
        <f>EXP(-LN(2)/25)*GM97+(1-EXP(-LN(2)/25))/(LN(2)/25)*Calculateur!GH98*Calculateur!GJ98*VLOOKUP('Données projet'!$B$17,Paramètres!$A$1:$I$89,3,0)*0.475*44/12</f>
        <v>37.363836784549115</v>
      </c>
      <c r="GN98" s="21">
        <f>EXP(-LN(2)/2)*GN97+(1-EXP(-LN(2)/2))/(LN(2)/2)*GH98*GK98*VLOOKUP('Données projet'!$B$17,Paramètres!$A$1:$I$89,3,0)*0.475*44/12</f>
        <v>4.7280457755752554</v>
      </c>
      <c r="GO98" s="21">
        <f t="shared" si="81"/>
        <v>56.038722969196343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11.216666666666672</v>
      </c>
      <c r="N99" s="13">
        <f>IF('Données projet'!$A$36&gt;35,N98+M99-V98,IF(A99&lt;'Données projet'!$A$36,$K$205^A99,IF(A99='Données projet'!$A$36,'Données projet'!$B$36,N98+M99-V98)))</f>
        <v>431.58000000000004</v>
      </c>
      <c r="O99" s="13">
        <f>N99*VLOOKUP('Données projet'!$B$9,Paramètres!$A$1:$I$89,3,0)*VLOOKUP('Données projet'!$B$9,Paramètres!$A$1:$I$89,5,0)</f>
        <v>363.56299200000007</v>
      </c>
      <c r="P99" s="13">
        <f t="shared" si="87"/>
        <v>84.349062558657408</v>
      </c>
      <c r="Q99" s="20">
        <f t="shared" ref="Q99:Q130" si="107">(O99+P99)*0.475*44/12</f>
        <v>780.11349502299515</v>
      </c>
      <c r="R99" s="59">
        <f t="shared" si="55"/>
        <v>1056.3625472193826</v>
      </c>
      <c r="S99" s="59">
        <f ca="1">AVERAGE(OFFSET($R$3,0,0,'Données projet'!$E$9+1,1))-AVERAGE(OFFSET($H$3,0,0,'Données projet'!$E$9+1,1))</f>
        <v>456.35333554128226</v>
      </c>
      <c r="T99" s="59">
        <f t="shared" si="88"/>
        <v>296.4517290984877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48.41037324976925</v>
      </c>
      <c r="AA99" s="21">
        <f>EXP(-LN(2)/25)*AA98+(1-EXP(-LN(2)/25))/(LN(2)/25)*Calculateur!V99*Calculateur!X99*VLOOKUP('Données projet'!$B$9,Paramètres!$A$1:$I$89,3,0)*0.475*44/12</f>
        <v>25.24323540926137</v>
      </c>
      <c r="AB99" s="21">
        <f>EXP(-LN(2)/2)*AB98+(1-EXP(-LN(2)/2))/(LN(2)/2)*V99*Y99*VLOOKUP('Données projet'!$B$9,Paramètres!$A$1:$I$89,3,0)*0.475*44/12</f>
        <v>1.3889940092192221E-3</v>
      </c>
      <c r="AC99" s="22">
        <f t="shared" si="57"/>
        <v>73.654997653039842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408.246209980743</v>
      </c>
      <c r="AO99" s="59">
        <f t="shared" si="90"/>
        <v>394.10236303013903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41.577450917646665</v>
      </c>
      <c r="AV99" s="21">
        <f>EXP(-LN(2)/25)*AV98+(1-EXP(-LN(2)/25))/(LN(2)/25)*Calculateur!AQ99*Calculateur!AS99*VLOOKUP('Données projet'!$B$10,Paramètres!$A$1:$I$89,3,0)*0.475*44/12</f>
        <v>36.164045569821951</v>
      </c>
      <c r="AW99" s="21">
        <f>EXP(-LN(2)/2)*AW98+(1-EXP(-LN(2)/2))/(LN(2)/2)*AQ99*AT99*VLOOKUP('Données projet'!$B$10,Paramètres!$A$1:$I$89,3,0)*0.475*44/12</f>
        <v>0.26773851006789695</v>
      </c>
      <c r="AX99" s="21">
        <f t="shared" si="60"/>
        <v>78.009234997536524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6.7777777777777777</v>
      </c>
      <c r="BD99" s="12">
        <f>IF('Données projet'!$A$88&gt;35,BD98+BC99-BL98,IF(A99&lt;'Données projet'!$A$88,$BA$205^A99,IF(A99='Données projet'!$A$88,'Données projet'!$B$88,BD98+BC99-BL98)))</f>
        <v>217.14777777777766</v>
      </c>
      <c r="BE99" s="13">
        <f>BD99*VLOOKUP('Données projet'!$B$11,Paramètres!$A$1:$I$89,3,0)*VLOOKUP('Données projet'!$B$11,Paramètres!$A$1:$I$89,5,0)</f>
        <v>220.18784666666656</v>
      </c>
      <c r="BF99" s="13">
        <f t="shared" si="91"/>
        <v>54.155711237243175</v>
      </c>
      <c r="BG99" s="20">
        <f t="shared" si="61"/>
        <v>477.81503001597611</v>
      </c>
      <c r="BH99" s="59">
        <f t="shared" si="62"/>
        <v>754.06408221236347</v>
      </c>
      <c r="BI99" s="59">
        <f ca="1">AVERAGE(OFFSET($BH$3,0,0,'Données projet'!$E$11+1,1))-AVERAGE(OFFSET($H$3,0,0,'Données projet'!$E$11+1,1))</f>
        <v>580.02848304986492</v>
      </c>
      <c r="BJ99" s="59">
        <f t="shared" si="92"/>
        <v>281.68891895586728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12.174901909587389</v>
      </c>
      <c r="BQ99" s="21">
        <f>EXP(-LN(2)/25)*BQ98+(1-EXP(-LN(2)/25))/(LN(2)/25)*Calculateur!BL99*Calculateur!BN99*VLOOKUP('Données projet'!$B$11,Paramètres!$A$1:$I$89,3,0)*0.475*44/12</f>
        <v>32.359422543586213</v>
      </c>
      <c r="BR99" s="21">
        <f>EXP(-LN(2)/2)*BR98+(1-EXP(-LN(2)/2))/(LN(2)/2)*BL99*BO99*VLOOKUP('Données projet'!$B$11,Paramètres!$A$1:$I$89,3,0)*0.475*44/12</f>
        <v>2.9768515058702558</v>
      </c>
      <c r="BS99" s="22">
        <f t="shared" si="63"/>
        <v>47.511175959043861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5.6843418860808015E-14</v>
      </c>
      <c r="BZ99" s="13">
        <f>BY99*VLOOKUP('Données projet'!$B$12,Paramètres!$A$1:$I$89,3,0)*VLOOKUP('Données projet'!$B$12,Paramètres!$A$1:$I$89,5,0)</f>
        <v>4.4337866711430253E-14</v>
      </c>
      <c r="CA99" s="13">
        <f t="shared" si="93"/>
        <v>7.3222115536967035E-13</v>
      </c>
      <c r="CB99" s="20">
        <f t="shared" si="64"/>
        <v>1.3525069634579169E-12</v>
      </c>
      <c r="CC99" s="59">
        <f t="shared" si="65"/>
        <v>276.24905219638879</v>
      </c>
      <c r="CD99" s="59">
        <f ca="1">AVERAGE(OFFSET($CC$3,0,0,'Données projet'!$E$12+1,1))-AVERAGE(OFFSET($H$3,0,0,'Données projet'!$E$12+1,1))</f>
        <v>308.85018589589453</v>
      </c>
      <c r="CE99" s="59">
        <f t="shared" si="94"/>
        <v>302.59481222418219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25.190162848319066</v>
      </c>
      <c r="CL99" s="21">
        <f>EXP(-LN(2)/25)*CL98+(1-EXP(-LN(2)/25))/(LN(2)/25)*Calculateur!CG99*Calculateur!CI99*VLOOKUP('Données projet'!$B$12,Paramètres!$A$1:$I$89,3,0)*0.475*44/12</f>
        <v>20.025761290495776</v>
      </c>
      <c r="CM99" s="21">
        <f>EXP(-LN(2)/2)*CM98+(1-EXP(-LN(2)/2))/(LN(2)/2)*CG99*CJ99*VLOOKUP('Données projet'!$B$12,Paramètres!$A$1:$I$89,3,0)*0.475*44/12</f>
        <v>5.2442620738468587E-3</v>
      </c>
      <c r="CN99" s="22">
        <f t="shared" si="66"/>
        <v>45.221168400888686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3.5897435897435912</v>
      </c>
      <c r="CT99" s="12">
        <f>IF('Données projet'!$A$140&gt;35,CT98+CS99-DB98,IF(A99&lt;'Données projet'!$A$140,$CQ$205^A99,IF(A99='Données projet'!$A$140,'Données projet'!$B$140,CT98+CS99-DB98)))</f>
        <v>281.79487179487199</v>
      </c>
      <c r="CU99" s="17">
        <f>CT99*VLOOKUP('Données projet'!$B$13,Paramètres!$A$1:$I$89,3,0)*VLOOKUP('Données projet'!$B$13,Paramètres!$A$1:$I$89,5,0)</f>
        <v>189.02800000000013</v>
      </c>
      <c r="CV99" s="13">
        <f t="shared" si="95"/>
        <v>47.324993347023778</v>
      </c>
      <c r="CW99" s="20">
        <f t="shared" si="67"/>
        <v>411.6481300794</v>
      </c>
      <c r="CX99" s="59">
        <f t="shared" si="68"/>
        <v>687.89718227578737</v>
      </c>
      <c r="CY99" s="59">
        <f ca="1">AVERAGE(OFFSET($CX$3,0,0,'Données projet'!$E$13+1,1))-AVERAGE(OFFSET($H$3,0,0,'Données projet'!$E$13+1,1))</f>
        <v>335.73816489539837</v>
      </c>
      <c r="CZ99" s="59">
        <f t="shared" si="96"/>
        <v>254.09787950201044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7.1807469175356742</v>
      </c>
      <c r="DG99" s="21">
        <f>EXP(-LN(2)/25)*DG98+(1-EXP(-LN(2)/25))/(LN(2)/25)*Calculateur!DB99*Calculateur!DD99*VLOOKUP('Données projet'!$B$13,Paramètres!$A$1:$I$89,3,0)*0.475*44/12</f>
        <v>9.031648499124211</v>
      </c>
      <c r="DH99" s="21">
        <f>EXP(-LN(2)/2)*DH98+(1-EXP(-LN(2)/2))/(LN(2)/2)*DB99*DE99*VLOOKUP('Données projet'!$B$13,Paramètres!$A$1:$I$89,3,0)*0.475*44/12</f>
        <v>1.5841851947260051</v>
      </c>
      <c r="DI99" s="22">
        <f t="shared" si="69"/>
        <v>17.796580611385888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8.9989999999999952</v>
      </c>
      <c r="DO99" s="12">
        <f>IF('Données projet'!$A$166&gt;35,DO98+DN99-DW98,IF(A99&lt;'Données projet'!$A$166,$DL$205^A99,IF(A99='Données projet'!$A$166,'Données projet'!$B$166,DO98+DN99-DW98)))</f>
        <v>308.40699999999993</v>
      </c>
      <c r="DP99" s="17">
        <f>DO99*VLOOKUP('Données projet'!$B$14,Paramètres!$A$1:$I$89,3,0)*VLOOKUP('Données projet'!$B$14,Paramètres!$A$1:$I$89,5,0)</f>
        <v>298.29125039999997</v>
      </c>
      <c r="DQ99" s="13">
        <f t="shared" si="97"/>
        <v>70.81812492441226</v>
      </c>
      <c r="DR99" s="20">
        <f t="shared" si="70"/>
        <v>642.86549535668462</v>
      </c>
      <c r="DS99" s="59">
        <f t="shared" si="71"/>
        <v>919.11454755307204</v>
      </c>
      <c r="DT99" s="59">
        <f ca="1">AVERAGE(OFFSET($DS$3,0,0,'Données projet'!$E$14+1,1))-AVERAGE(OFFSET($H$3,0,0,'Données projet'!$E$14+1,1))</f>
        <v>493.03862850474161</v>
      </c>
      <c r="DU99" s="59">
        <f t="shared" si="98"/>
        <v>312.51819065560528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35.528471581534404</v>
      </c>
      <c r="EB99" s="21">
        <f>EXP(-LN(2)/25)*EB98+(1-EXP(-LN(2)/25))/(LN(2)/25)*Calculateur!DW99*Calculateur!DY99*VLOOKUP('Données projet'!$B$14,Paramètres!$A$1:$I$89,3,0)*0.475*44/12</f>
        <v>24.387173465312003</v>
      </c>
      <c r="EC99" s="21">
        <f>EXP(-LN(2)/2)*EC98+(1-EXP(-LN(2)/2))/(LN(2)/2)*DW99*DZ99*VLOOKUP('Données projet'!$B$14,Paramètres!$A$1:$I$89,3,0)*0.475*44/12</f>
        <v>5.3314705398054427E-2</v>
      </c>
      <c r="ED99" s="22">
        <f t="shared" si="72"/>
        <v>59.968959752244459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8.9989999999999952</v>
      </c>
      <c r="EJ99" s="12">
        <f>IF('Données projet'!$A$192&gt;35,EJ98+EI99-ER98,IF(A99&lt;'Données projet'!$A$192,$EG$205^A99,IF(A99='Données projet'!$A$192,'Données projet'!$B$192,EJ98+EI99-ER98)))</f>
        <v>308.40699999999993</v>
      </c>
      <c r="EK99" s="17">
        <f>EJ99*VLOOKUP('Données projet'!$B$15,Paramètres!$A$1:$I$89,3,0)*VLOOKUP('Données projet'!$B$15,Paramètres!$A$1:$I$89,5,0)</f>
        <v>331.96929479999989</v>
      </c>
      <c r="EL99" s="13">
        <f t="shared" si="99"/>
        <v>77.838450738855911</v>
      </c>
      <c r="EM99" s="20">
        <f t="shared" si="73"/>
        <v>713.74849014684048</v>
      </c>
      <c r="EN99" s="59">
        <f t="shared" si="74"/>
        <v>989.99754234322791</v>
      </c>
      <c r="EO99" s="59">
        <f ca="1">AVERAGE(OFFSET($EN$3,0,0,'Données projet'!$E$15+1,1))-AVERAGE(OFFSET($H$3,0,0,'Données projet'!$E$15+1,1))</f>
        <v>539.72194201710272</v>
      </c>
      <c r="EP99" s="59">
        <f t="shared" si="100"/>
        <v>340.76505385159362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39.539750631062475</v>
      </c>
      <c r="EW99" s="21">
        <f>EXP(-LN(2)/25)*EW98+(1-EXP(-LN(2)/25))/(LN(2)/25)*Calculateur!ER99*Calculateur!ET99*VLOOKUP('Données projet'!$B$15,Paramètres!$A$1:$I$89,3,0)*0.475*44/12</f>
        <v>27.140564017847225</v>
      </c>
      <c r="EX99" s="21">
        <f>EXP(-LN(2)/2)*EX98+(1-EXP(-LN(2)/2))/(LN(2)/2)*ER99*EU99*VLOOKUP('Données projet'!$B$15,Paramètres!$A$1:$I$89,3,0)*0.475*44/12</f>
        <v>5.9334107620415438E-2</v>
      </c>
      <c r="EY99" s="22">
        <f t="shared" si="75"/>
        <v>66.739648756530116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>
        <f>FE99*VLOOKUP('Données projet'!$B$16,Paramètres!$A$1:$I$89,3,0)*VLOOKUP('Données projet'!$B$16,Paramètres!$A$1:$I$89,5,0)</f>
        <v>0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383.47860767209028</v>
      </c>
      <c r="FK99" s="59">
        <f t="shared" si="102"/>
        <v>370.49129421395628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38.607632994957612</v>
      </c>
      <c r="FR99" s="21">
        <f>EXP(-LN(2)/25)*FR98+(1-EXP(-LN(2)/25))/(LN(2)/25)*Calculateur!FM99*Calculateur!FO99*VLOOKUP('Données projet'!$B$16,Paramètres!$A$1:$I$89,3,0)*0.475*44/12</f>
        <v>33.580899457691821</v>
      </c>
      <c r="FS99" s="21">
        <f>EXP(-LN(2)/2)*FS98+(1-EXP(-LN(2)/2))/(LN(2)/2)*FM99*FP99*VLOOKUP('Données projet'!$B$16,Paramètres!$A$1:$I$89,3,0)*0.475*44/12</f>
        <v>0.24861433077733308</v>
      </c>
      <c r="FT99" s="22">
        <f t="shared" si="78"/>
        <v>72.437146783426769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6.7777777777777777</v>
      </c>
      <c r="FZ99" s="12">
        <f>IF('Données projet'!$A$244&gt;35,FZ98+FY99-GH98,IF(A99&lt;'Données projet'!$A$244,$FW$205^A99,IF(A99='Données projet'!$A$244,'Données projet'!$B$244,FZ98+FY99-GH98)))</f>
        <v>217.14777777777766</v>
      </c>
      <c r="GA99" s="17">
        <f>FZ99*VLOOKUP('Données projet'!$B$17,Paramètres!$A$1:$I$89,3,0)*VLOOKUP('Données projet'!$B$17,Paramètres!$A$1:$I$89,5,0)</f>
        <v>247.28788933333323</v>
      </c>
      <c r="GB99" s="13">
        <f t="shared" si="103"/>
        <v>60.004815004836068</v>
      </c>
      <c r="GC99" s="20">
        <f t="shared" si="79"/>
        <v>535.20146005564482</v>
      </c>
      <c r="GD99" s="59">
        <f t="shared" si="80"/>
        <v>811.45051225203224</v>
      </c>
      <c r="GE99" s="59">
        <f ca="1">AVERAGE(OFFSET($GD$3,0,0,'Données projet'!$E$17+1,1))-AVERAGE(OFFSET($H$3,0,0,'Données projet'!$E$17+1,1))</f>
        <v>640.05156427113661</v>
      </c>
      <c r="GF99" s="59">
        <f t="shared" si="104"/>
        <v>308.77220155372902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13.673351375382756</v>
      </c>
      <c r="GM99" s="21">
        <f>EXP(-LN(2)/25)*GM98+(1-EXP(-LN(2)/25))/(LN(2)/25)*Calculateur!GH99*Calculateur!GJ99*VLOOKUP('Données projet'!$B$17,Paramètres!$A$1:$I$89,3,0)*0.475*44/12</f>
        <v>36.342120702796841</v>
      </c>
      <c r="GN99" s="21">
        <f>EXP(-LN(2)/2)*GN98+(1-EXP(-LN(2)/2))/(LN(2)/2)*GH99*GK99*VLOOKUP('Données projet'!$B$17,Paramètres!$A$1:$I$89,3,0)*0.475*44/12</f>
        <v>3.3432332296696727</v>
      </c>
      <c r="GO99" s="21">
        <f t="shared" si="81"/>
        <v>53.35870530784927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11.216666666666672</v>
      </c>
      <c r="N100" s="13">
        <f>IF('Données projet'!$A$36&gt;35,N99+M100-V99,IF(A100&lt;'Données projet'!$A$36,$K$205^A100,IF(A100='Données projet'!$A$36,'Données projet'!$B$36,N99+M100-V99)))</f>
        <v>442.79666666666674</v>
      </c>
      <c r="O100" s="13">
        <f>N100*VLOOKUP('Données projet'!$B$9,Paramètres!$A$1:$I$89,3,0)*VLOOKUP('Données projet'!$B$9,Paramètres!$A$1:$I$89,5,0)</f>
        <v>373.01191200000011</v>
      </c>
      <c r="P100" s="13">
        <f t="shared" si="87"/>
        <v>86.283200009575495</v>
      </c>
      <c r="Q100" s="20">
        <f t="shared" si="107"/>
        <v>799.93898675001083</v>
      </c>
      <c r="R100" s="59">
        <f t="shared" si="55"/>
        <v>1076.4844130293936</v>
      </c>
      <c r="S100" s="59">
        <f ca="1">AVERAGE(OFFSET($R$3,0,0,'Données projet'!$E$9+1,1))-AVERAGE(OFFSET($H$3,0,0,'Données projet'!$E$9+1,1))</f>
        <v>456.35333554128226</v>
      </c>
      <c r="T100" s="59">
        <f t="shared" si="88"/>
        <v>296.4517290984877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47.461075357753366</v>
      </c>
      <c r="AA100" s="21">
        <f>EXP(-LN(2)/25)*AA99+(1-EXP(-LN(2)/25))/(LN(2)/25)*Calculateur!V100*Calculateur!X100*VLOOKUP('Données projet'!$B$9,Paramètres!$A$1:$I$89,3,0)*0.475*44/12</f>
        <v>24.55295780951106</v>
      </c>
      <c r="AB100" s="21">
        <f>EXP(-LN(2)/2)*AB99+(1-EXP(-LN(2)/2))/(LN(2)/2)*V100*Y100*VLOOKUP('Données projet'!$B$9,Paramètres!$A$1:$I$89,3,0)*0.475*44/12</f>
        <v>9.8216708294640185E-4</v>
      </c>
      <c r="AC100" s="22">
        <f t="shared" si="57"/>
        <v>72.015015334347382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408.246209980743</v>
      </c>
      <c r="AO100" s="59">
        <f t="shared" si="90"/>
        <v>394.10236303013903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40.762142464892605</v>
      </c>
      <c r="AV100" s="21">
        <f>EXP(-LN(2)/25)*AV99+(1-EXP(-LN(2)/25))/(LN(2)/25)*Calculateur!AQ100*Calculateur!AS100*VLOOKUP('Données projet'!$B$10,Paramètres!$A$1:$I$89,3,0)*0.475*44/12</f>
        <v>35.17513784193067</v>
      </c>
      <c r="AW100" s="21">
        <f>EXP(-LN(2)/2)*AW99+(1-EXP(-LN(2)/2))/(LN(2)/2)*AQ100*AT100*VLOOKUP('Données projet'!$B$10,Paramètres!$A$1:$I$89,3,0)*0.475*44/12</f>
        <v>0.18931971605379266</v>
      </c>
      <c r="AX100" s="21">
        <f t="shared" si="60"/>
        <v>76.126600022877071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6.7777777777777777</v>
      </c>
      <c r="BD100" s="12">
        <f>IF('Données projet'!$A$88&gt;35,BD99+BC100-BL99,IF(A100&lt;'Données projet'!$A$88,$BA$205^A100,IF(A100='Données projet'!$A$88,'Données projet'!$B$88,BD99+BC100-BL99)))</f>
        <v>223.92555555555543</v>
      </c>
      <c r="BE100" s="13">
        <f>BD100*VLOOKUP('Données projet'!$B$11,Paramètres!$A$1:$I$89,3,0)*VLOOKUP('Données projet'!$B$11,Paramètres!$A$1:$I$89,5,0)</f>
        <v>227.06051333333323</v>
      </c>
      <c r="BF100" s="13">
        <f t="shared" si="91"/>
        <v>55.646620764750722</v>
      </c>
      <c r="BG100" s="20">
        <f t="shared" si="61"/>
        <v>492.38159188749614</v>
      </c>
      <c r="BH100" s="59">
        <f t="shared" si="62"/>
        <v>768.92701816687895</v>
      </c>
      <c r="BI100" s="59">
        <f ca="1">AVERAGE(OFFSET($BH$3,0,0,'Données projet'!$E$11+1,1))-AVERAGE(OFFSET($H$3,0,0,'Données projet'!$E$11+1,1))</f>
        <v>580.02848304986492</v>
      </c>
      <c r="BJ100" s="59">
        <f t="shared" si="92"/>
        <v>281.68891895586728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11.936159509097292</v>
      </c>
      <c r="BQ100" s="21">
        <f>EXP(-LN(2)/25)*BQ99+(1-EXP(-LN(2)/25))/(LN(2)/25)*Calculateur!BL100*Calculateur!BN100*VLOOKUP('Données projet'!$B$11,Paramètres!$A$1:$I$89,3,0)*0.475*44/12</f>
        <v>31.474552432423774</v>
      </c>
      <c r="BR100" s="21">
        <f>EXP(-LN(2)/2)*BR99+(1-EXP(-LN(2)/2))/(LN(2)/2)*BL100*BO100*VLOOKUP('Données projet'!$B$11,Paramètres!$A$1:$I$89,3,0)*0.475*44/12</f>
        <v>2.1049518863862438</v>
      </c>
      <c r="BS100" s="22">
        <f t="shared" si="63"/>
        <v>45.515663827907311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5.6843418860808015E-14</v>
      </c>
      <c r="BZ100" s="13">
        <f>BY100*VLOOKUP('Données projet'!$B$12,Paramètres!$A$1:$I$89,3,0)*VLOOKUP('Données projet'!$B$12,Paramètres!$A$1:$I$89,5,0)</f>
        <v>4.4337866711430253E-14</v>
      </c>
      <c r="CA100" s="13">
        <f t="shared" si="93"/>
        <v>7.3222115536967035E-13</v>
      </c>
      <c r="CB100" s="20">
        <f t="shared" si="64"/>
        <v>1.3525069634579169E-12</v>
      </c>
      <c r="CC100" s="59">
        <f t="shared" si="65"/>
        <v>276.54542627938417</v>
      </c>
      <c r="CD100" s="59">
        <f ca="1">AVERAGE(OFFSET($CC$3,0,0,'Données projet'!$E$12+1,1))-AVERAGE(OFFSET($H$3,0,0,'Données projet'!$E$12+1,1))</f>
        <v>308.85018589589453</v>
      </c>
      <c r="CE100" s="59">
        <f t="shared" si="94"/>
        <v>302.59481222418219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24.696199119345749</v>
      </c>
      <c r="CL100" s="21">
        <f>EXP(-LN(2)/25)*CL99+(1-EXP(-LN(2)/25))/(LN(2)/25)*Calculateur!CG100*Calculateur!CI100*VLOOKUP('Données projet'!$B$12,Paramètres!$A$1:$I$89,3,0)*0.475*44/12</f>
        <v>19.478155794898154</v>
      </c>
      <c r="CM100" s="21">
        <f>EXP(-LN(2)/2)*CM99+(1-EXP(-LN(2)/2))/(LN(2)/2)*CG100*CJ100*VLOOKUP('Données projet'!$B$12,Paramètres!$A$1:$I$89,3,0)*0.475*44/12</f>
        <v>3.7082532747365407E-3</v>
      </c>
      <c r="CN100" s="22">
        <f t="shared" si="66"/>
        <v>44.178063167518644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3.5897435897435912</v>
      </c>
      <c r="CT100" s="12">
        <f>IF('Données projet'!$A$140&gt;35,CT99+CS100-DB99,IF(A100&lt;'Données projet'!$A$140,$CQ$205^A100,IF(A100='Données projet'!$A$140,'Données projet'!$B$140,CT99+CS100-DB99)))</f>
        <v>285.38461538461559</v>
      </c>
      <c r="CU100" s="17">
        <f>CT100*VLOOKUP('Données projet'!$B$13,Paramètres!$A$1:$I$89,3,0)*VLOOKUP('Données projet'!$B$13,Paramètres!$A$1:$I$89,5,0)</f>
        <v>191.43600000000015</v>
      </c>
      <c r="CV100" s="13">
        <f t="shared" si="95"/>
        <v>47.857292804386105</v>
      </c>
      <c r="CW100" s="20">
        <f t="shared" si="67"/>
        <v>416.76915163430607</v>
      </c>
      <c r="CX100" s="59">
        <f t="shared" si="68"/>
        <v>693.31457791368894</v>
      </c>
      <c r="CY100" s="59">
        <f ca="1">AVERAGE(OFFSET($CX$3,0,0,'Données projet'!$E$13+1,1))-AVERAGE(OFFSET($H$3,0,0,'Données projet'!$E$13+1,1))</f>
        <v>335.73816489539837</v>
      </c>
      <c r="CZ100" s="59">
        <f t="shared" si="96"/>
        <v>254.09787950201044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7.0399368503059474</v>
      </c>
      <c r="DG100" s="21">
        <f>EXP(-LN(2)/25)*DG99+(1-EXP(-LN(2)/25))/(LN(2)/25)*Calculateur!DB100*Calculateur!DD100*VLOOKUP('Données projet'!$B$13,Paramètres!$A$1:$I$89,3,0)*0.475*44/12</f>
        <v>8.7846775959619077</v>
      </c>
      <c r="DH100" s="21">
        <f>EXP(-LN(2)/2)*DH99+(1-EXP(-LN(2)/2))/(LN(2)/2)*DB100*DE100*VLOOKUP('Données projet'!$B$13,Paramètres!$A$1:$I$89,3,0)*0.475*44/12</f>
        <v>1.1201880938460895</v>
      </c>
      <c r="DI100" s="22">
        <f t="shared" si="69"/>
        <v>16.944802540113944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8.9989999999999952</v>
      </c>
      <c r="DO100" s="12">
        <f>IF('Données projet'!$A$166&gt;35,DO99+DN100-DW99,IF(A100&lt;'Données projet'!$A$166,$DL$205^A100,IF(A100='Données projet'!$A$166,'Données projet'!$B$166,DO99+DN100-DW99)))</f>
        <v>317.40599999999995</v>
      </c>
      <c r="DP100" s="17">
        <f>DO100*VLOOKUP('Données projet'!$B$14,Paramètres!$A$1:$I$89,3,0)*VLOOKUP('Données projet'!$B$14,Paramètres!$A$1:$I$89,5,0)</f>
        <v>306.99508319999995</v>
      </c>
      <c r="DQ100" s="13">
        <f t="shared" si="97"/>
        <v>72.640928631805338</v>
      </c>
      <c r="DR100" s="20">
        <f t="shared" si="70"/>
        <v>661.19938727372744</v>
      </c>
      <c r="DS100" s="59">
        <f t="shared" si="71"/>
        <v>937.74481355311025</v>
      </c>
      <c r="DT100" s="59">
        <f ca="1">AVERAGE(OFFSET($DS$3,0,0,'Données projet'!$E$14+1,1))-AVERAGE(OFFSET($H$3,0,0,'Données projet'!$E$14+1,1))</f>
        <v>493.03862850474161</v>
      </c>
      <c r="DU100" s="59">
        <f t="shared" si="98"/>
        <v>312.51819065560528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34.831779924048419</v>
      </c>
      <c r="EB100" s="21">
        <f>EXP(-LN(2)/25)*EB99+(1-EXP(-LN(2)/25))/(LN(2)/25)*Calculateur!DW100*Calculateur!DY100*VLOOKUP('Données projet'!$B$14,Paramètres!$A$1:$I$89,3,0)*0.475*44/12</f>
        <v>23.720304924437333</v>
      </c>
      <c r="EC100" s="21">
        <f>EXP(-LN(2)/2)*EC99+(1-EXP(-LN(2)/2))/(LN(2)/2)*DW100*DZ100*VLOOKUP('Données projet'!$B$14,Paramètres!$A$1:$I$89,3,0)*0.475*44/12</f>
        <v>3.7699189723927315E-2</v>
      </c>
      <c r="ED100" s="22">
        <f t="shared" si="72"/>
        <v>58.589784038209679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8.9989999999999952</v>
      </c>
      <c r="EJ100" s="12">
        <f>IF('Données projet'!$A$192&gt;35,EJ99+EI100-ER99,IF(A100&lt;'Données projet'!$A$192,$EG$205^A100,IF(A100='Données projet'!$A$192,'Données projet'!$B$192,EJ99+EI100-ER99)))</f>
        <v>317.40599999999995</v>
      </c>
      <c r="EK100" s="17">
        <f>EJ100*VLOOKUP('Données projet'!$B$15,Paramètres!$A$1:$I$89,3,0)*VLOOKUP('Données projet'!$B$15,Paramètres!$A$1:$I$89,5,0)</f>
        <v>341.65581839999993</v>
      </c>
      <c r="EL100" s="13">
        <f t="shared" si="99"/>
        <v>79.841952197500291</v>
      </c>
      <c r="EM100" s="20">
        <f t="shared" si="73"/>
        <v>734.10861712397957</v>
      </c>
      <c r="EN100" s="59">
        <f t="shared" si="74"/>
        <v>1010.6540434033624</v>
      </c>
      <c r="EO100" s="59">
        <f ca="1">AVERAGE(OFFSET($EN$3,0,0,'Données projet'!$E$15+1,1))-AVERAGE(OFFSET($H$3,0,0,'Données projet'!$E$15+1,1))</f>
        <v>539.72194201710272</v>
      </c>
      <c r="EP100" s="59">
        <f t="shared" si="100"/>
        <v>340.76505385159362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38.764400238053881</v>
      </c>
      <c r="EW100" s="21">
        <f>EXP(-LN(2)/25)*EW99+(1-EXP(-LN(2)/25))/(LN(2)/25)*Calculateur!ER100*Calculateur!ET100*VLOOKUP('Données projet'!$B$15,Paramètres!$A$1:$I$89,3,0)*0.475*44/12</f>
        <v>26.398403867518962</v>
      </c>
      <c r="EX100" s="21">
        <f>EXP(-LN(2)/2)*EX99+(1-EXP(-LN(2)/2))/(LN(2)/2)*ER100*EU100*VLOOKUP('Données projet'!$B$15,Paramètres!$A$1:$I$89,3,0)*0.475*44/12</f>
        <v>4.1955549854048167E-2</v>
      </c>
      <c r="EY100" s="22">
        <f t="shared" si="75"/>
        <v>65.204759655426898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>
        <f>FE100*VLOOKUP('Données projet'!$B$16,Paramètres!$A$1:$I$89,3,0)*VLOOKUP('Données projet'!$B$16,Paramètres!$A$1:$I$89,5,0)</f>
        <v>0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383.47860767209028</v>
      </c>
      <c r="FK100" s="59">
        <f t="shared" si="102"/>
        <v>370.49129421395628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37.850560860257417</v>
      </c>
      <c r="FR100" s="21">
        <f>EXP(-LN(2)/25)*FR99+(1-EXP(-LN(2)/25))/(LN(2)/25)*Calculateur!FM100*Calculateur!FO100*VLOOKUP('Données projet'!$B$16,Paramètres!$A$1:$I$89,3,0)*0.475*44/12</f>
        <v>32.662627996078484</v>
      </c>
      <c r="FS100" s="21">
        <f>EXP(-LN(2)/2)*FS99+(1-EXP(-LN(2)/2))/(LN(2)/2)*FM100*FP100*VLOOKUP('Données projet'!$B$16,Paramètres!$A$1:$I$89,3,0)*0.475*44/12</f>
        <v>0.17579687919280762</v>
      </c>
      <c r="FT100" s="22">
        <f t="shared" si="78"/>
        <v>70.688985735528703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6.7777777777777777</v>
      </c>
      <c r="FZ100" s="12">
        <f>IF('Données projet'!$A$244&gt;35,FZ99+FY100-GH99,IF(A100&lt;'Données projet'!$A$244,$FW$205^A100,IF(A100='Données projet'!$A$244,'Données projet'!$B$244,FZ99+FY100-GH99)))</f>
        <v>223.92555555555543</v>
      </c>
      <c r="GA100" s="17">
        <f>FZ100*VLOOKUP('Données projet'!$B$17,Paramètres!$A$1:$I$89,3,0)*VLOOKUP('Données projet'!$B$17,Paramètres!$A$1:$I$89,5,0)</f>
        <v>255.00642266666651</v>
      </c>
      <c r="GB100" s="13">
        <f t="shared" si="103"/>
        <v>61.656750661172069</v>
      </c>
      <c r="GC100" s="20">
        <f t="shared" si="79"/>
        <v>551.5216935459855</v>
      </c>
      <c r="GD100" s="59">
        <f t="shared" si="80"/>
        <v>828.06711982536831</v>
      </c>
      <c r="GE100" s="59">
        <f ca="1">AVERAGE(OFFSET($GD$3,0,0,'Données projet'!$E$17+1,1))-AVERAGE(OFFSET($H$3,0,0,'Données projet'!$E$17+1,1))</f>
        <v>640.05156427113661</v>
      </c>
      <c r="GF100" s="59">
        <f t="shared" si="104"/>
        <v>308.77220155372902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13.405225294832341</v>
      </c>
      <c r="GM100" s="21">
        <f>EXP(-LN(2)/25)*GM99+(1-EXP(-LN(2)/25))/(LN(2)/25)*Calculateur!GH100*Calculateur!GJ100*VLOOKUP('Données projet'!$B$17,Paramètres!$A$1:$I$89,3,0)*0.475*44/12</f>
        <v>35.348343501029795</v>
      </c>
      <c r="GN100" s="21">
        <f>EXP(-LN(2)/2)*GN99+(1-EXP(-LN(2)/2))/(LN(2)/2)*GH100*GK100*VLOOKUP('Données projet'!$B$17,Paramètres!$A$1:$I$89,3,0)*0.475*44/12</f>
        <v>2.3640228877876281</v>
      </c>
      <c r="GO100" s="21">
        <f t="shared" si="81"/>
        <v>51.117591683649763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11.216666666666672</v>
      </c>
      <c r="N101" s="13">
        <f>IF('Données projet'!$A$36&gt;35,N100+M101-V100,IF(A101&lt;'Données projet'!$A$36,$K$205^A101,IF(A101='Données projet'!$A$36,'Données projet'!$B$36,N100+M101-V100)))</f>
        <v>454.01333333333343</v>
      </c>
      <c r="O101" s="13">
        <f>N101*VLOOKUP('Données projet'!$B$9,Paramètres!$A$1:$I$89,3,0)*VLOOKUP('Données projet'!$B$9,Paramètres!$A$1:$I$89,5,0)</f>
        <v>382.4608320000001</v>
      </c>
      <c r="P101" s="13">
        <f t="shared" si="87"/>
        <v>88.211642263441533</v>
      </c>
      <c r="Q101" s="20">
        <f t="shared" si="107"/>
        <v>819.75455934216086</v>
      </c>
      <c r="R101" s="59">
        <f t="shared" si="55"/>
        <v>1096.5912182767922</v>
      </c>
      <c r="S101" s="59">
        <f ca="1">AVERAGE(OFFSET($R$3,0,0,'Données projet'!$E$9+1,1))-AVERAGE(OFFSET($H$3,0,0,'Données projet'!$E$9+1,1))</f>
        <v>456.35333554128226</v>
      </c>
      <c r="T101" s="59">
        <f t="shared" si="88"/>
        <v>296.4517290984877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46.53039261838537</v>
      </c>
      <c r="AA101" s="21">
        <f>EXP(-LN(2)/25)*AA100+(1-EXP(-LN(2)/25))/(LN(2)/25)*Calculateur!V101*Calculateur!X101*VLOOKUP('Données projet'!$B$9,Paramètres!$A$1:$I$89,3,0)*0.475*44/12</f>
        <v>23.881555887026046</v>
      </c>
      <c r="AB101" s="21">
        <f>EXP(-LN(2)/2)*AB100+(1-EXP(-LN(2)/2))/(LN(2)/2)*V101*Y101*VLOOKUP('Données projet'!$B$9,Paramètres!$A$1:$I$89,3,0)*0.475*44/12</f>
        <v>6.9449700460961106E-4</v>
      </c>
      <c r="AC101" s="22">
        <f t="shared" si="57"/>
        <v>70.412643002416033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408.246209980743</v>
      </c>
      <c r="AO101" s="59">
        <f t="shared" si="90"/>
        <v>394.10236303013903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39.962821713608001</v>
      </c>
      <c r="AV101" s="21">
        <f>EXP(-LN(2)/25)*AV100+(1-EXP(-LN(2)/25))/(LN(2)/25)*Calculateur!AQ101*Calculateur!AS101*VLOOKUP('Données projet'!$B$10,Paramètres!$A$1:$I$89,3,0)*0.475*44/12</f>
        <v>34.21327184786297</v>
      </c>
      <c r="AW101" s="21">
        <f>EXP(-LN(2)/2)*AW100+(1-EXP(-LN(2)/2))/(LN(2)/2)*AQ101*AT101*VLOOKUP('Données projet'!$B$10,Paramètres!$A$1:$I$89,3,0)*0.475*44/12</f>
        <v>0.13386925503394848</v>
      </c>
      <c r="AX101" s="21">
        <f t="shared" si="60"/>
        <v>74.309962816504907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6.7777777777777777</v>
      </c>
      <c r="BD101" s="12">
        <f>IF('Données projet'!$A$88&gt;35,BD100+BC101-BL100,IF(A101&lt;'Données projet'!$A$88,$BA$205^A101,IF(A101='Données projet'!$A$88,'Données projet'!$B$88,BD100+BC101-BL100)))</f>
        <v>230.70333333333321</v>
      </c>
      <c r="BE101" s="13">
        <f>BD101*VLOOKUP('Données projet'!$B$11,Paramètres!$A$1:$I$89,3,0)*VLOOKUP('Données projet'!$B$11,Paramètres!$A$1:$I$89,5,0)</f>
        <v>233.93317999999988</v>
      </c>
      <c r="BF101" s="13">
        <f t="shared" si="91"/>
        <v>57.132285924019129</v>
      </c>
      <c r="BG101" s="20">
        <f t="shared" si="61"/>
        <v>506.93901981766635</v>
      </c>
      <c r="BH101" s="59">
        <f t="shared" si="62"/>
        <v>783.77567875229772</v>
      </c>
      <c r="BI101" s="59">
        <f ca="1">AVERAGE(OFFSET($BH$3,0,0,'Données projet'!$E$11+1,1))-AVERAGE(OFFSET($H$3,0,0,'Données projet'!$E$11+1,1))</f>
        <v>580.02848304986492</v>
      </c>
      <c r="BJ101" s="59">
        <f t="shared" si="92"/>
        <v>281.68891895586728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11.702098701462321</v>
      </c>
      <c r="BQ101" s="21">
        <f>EXP(-LN(2)/25)*BQ100+(1-EXP(-LN(2)/25))/(LN(2)/25)*Calculateur!BL101*Calculateur!BN101*VLOOKUP('Données projet'!$B$11,Paramètres!$A$1:$I$89,3,0)*0.475*44/12</f>
        <v>30.61387914098437</v>
      </c>
      <c r="BR101" s="21">
        <f>EXP(-LN(2)/2)*BR100+(1-EXP(-LN(2)/2))/(LN(2)/2)*BL101*BO101*VLOOKUP('Données projet'!$B$11,Paramètres!$A$1:$I$89,3,0)*0.475*44/12</f>
        <v>1.4884257529351281</v>
      </c>
      <c r="BS101" s="22">
        <f t="shared" si="63"/>
        <v>43.804403595381821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5.6843418860808015E-14</v>
      </c>
      <c r="BZ101" s="13">
        <f>BY101*VLOOKUP('Données projet'!$B$12,Paramètres!$A$1:$I$89,3,0)*VLOOKUP('Données projet'!$B$12,Paramètres!$A$1:$I$89,5,0)</f>
        <v>4.4337866711430253E-14</v>
      </c>
      <c r="CA101" s="13">
        <f t="shared" si="93"/>
        <v>7.3222115536967035E-13</v>
      </c>
      <c r="CB101" s="20">
        <f t="shared" si="64"/>
        <v>1.3525069634579169E-12</v>
      </c>
      <c r="CC101" s="59">
        <f t="shared" si="65"/>
        <v>276.83665893463274</v>
      </c>
      <c r="CD101" s="59">
        <f ca="1">AVERAGE(OFFSET($CC$3,0,0,'Données projet'!$E$12+1,1))-AVERAGE(OFFSET($H$3,0,0,'Données projet'!$E$12+1,1))</f>
        <v>308.85018589589453</v>
      </c>
      <c r="CE101" s="59">
        <f t="shared" si="94"/>
        <v>302.59481222418219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24.211921717809474</v>
      </c>
      <c r="CL101" s="21">
        <f>EXP(-LN(2)/25)*CL100+(1-EXP(-LN(2)/25))/(LN(2)/25)*Calculateur!CG101*Calculateur!CI101*VLOOKUP('Données projet'!$B$12,Paramètres!$A$1:$I$89,3,0)*0.475*44/12</f>
        <v>18.94552460037497</v>
      </c>
      <c r="CM101" s="21">
        <f>EXP(-LN(2)/2)*CM100+(1-EXP(-LN(2)/2))/(LN(2)/2)*CG101*CJ101*VLOOKUP('Données projet'!$B$12,Paramètres!$A$1:$I$89,3,0)*0.475*44/12</f>
        <v>2.6221310369234294E-3</v>
      </c>
      <c r="CN101" s="22">
        <f t="shared" si="66"/>
        <v>43.160068449221363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3.5897435897435912</v>
      </c>
      <c r="CT101" s="12">
        <f>IF('Données projet'!$A$140&gt;35,CT100+CS101-DB100,IF(A101&lt;'Données projet'!$A$140,$CQ$205^A101,IF(A101='Données projet'!$A$140,'Données projet'!$B$140,CT100+CS101-DB100)))</f>
        <v>288.97435897435918</v>
      </c>
      <c r="CU101" s="17">
        <f>CT101*VLOOKUP('Données projet'!$B$13,Paramètres!$A$1:$I$89,3,0)*VLOOKUP('Données projet'!$B$13,Paramètres!$A$1:$I$89,5,0)</f>
        <v>193.84400000000014</v>
      </c>
      <c r="CV101" s="13">
        <f t="shared" si="95"/>
        <v>48.388813443554845</v>
      </c>
      <c r="CW101" s="20">
        <f t="shared" si="67"/>
        <v>421.88881674752491</v>
      </c>
      <c r="CX101" s="59">
        <f t="shared" si="68"/>
        <v>698.72547568215623</v>
      </c>
      <c r="CY101" s="59">
        <f ca="1">AVERAGE(OFFSET($CX$3,0,0,'Données projet'!$E$13+1,1))-AVERAGE(OFFSET($H$3,0,0,'Données projet'!$E$13+1,1))</f>
        <v>335.73816489539837</v>
      </c>
      <c r="CZ101" s="59">
        <f t="shared" si="96"/>
        <v>254.09787950201044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6.901887982608935</v>
      </c>
      <c r="DG101" s="21">
        <f>EXP(-LN(2)/25)*DG100+(1-EXP(-LN(2)/25))/(LN(2)/25)*Calculateur!DB101*Calculateur!DD101*VLOOKUP('Données projet'!$B$13,Paramètres!$A$1:$I$89,3,0)*0.475*44/12</f>
        <v>8.5444601251342114</v>
      </c>
      <c r="DH101" s="21">
        <f>EXP(-LN(2)/2)*DH100+(1-EXP(-LN(2)/2))/(LN(2)/2)*DB101*DE101*VLOOKUP('Données projet'!$B$13,Paramètres!$A$1:$I$89,3,0)*0.475*44/12</f>
        <v>0.79209259736300264</v>
      </c>
      <c r="DI101" s="22">
        <f t="shared" si="69"/>
        <v>16.23844070510615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8.9989999999999952</v>
      </c>
      <c r="DO101" s="12">
        <f>IF('Données projet'!$A$166&gt;35,DO100+DN101-DW100,IF(A101&lt;'Données projet'!$A$166,$DL$205^A101,IF(A101='Données projet'!$A$166,'Données projet'!$B$166,DO100+DN101-DW100)))</f>
        <v>326.40499999999997</v>
      </c>
      <c r="DP101" s="17">
        <f>DO101*VLOOKUP('Données projet'!$B$14,Paramètres!$A$1:$I$89,3,0)*VLOOKUP('Données projet'!$B$14,Paramètres!$A$1:$I$89,5,0)</f>
        <v>315.698916</v>
      </c>
      <c r="DQ101" s="13">
        <f t="shared" si="97"/>
        <v>74.457725900239538</v>
      </c>
      <c r="DR101" s="20">
        <f t="shared" si="70"/>
        <v>679.52281797625039</v>
      </c>
      <c r="DS101" s="59">
        <f t="shared" si="71"/>
        <v>956.35947691088177</v>
      </c>
      <c r="DT101" s="59">
        <f ca="1">AVERAGE(OFFSET($DS$3,0,0,'Données projet'!$E$14+1,1))-AVERAGE(OFFSET($H$3,0,0,'Données projet'!$E$14+1,1))</f>
        <v>493.03862850474161</v>
      </c>
      <c r="DU101" s="59">
        <f t="shared" si="98"/>
        <v>312.51819065560528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34.148749965025786</v>
      </c>
      <c r="EB101" s="21">
        <f>EXP(-LN(2)/25)*EB100+(1-EXP(-LN(2)/25))/(LN(2)/25)*Calculateur!DW101*Calculateur!DY101*VLOOKUP('Données projet'!$B$14,Paramètres!$A$1:$I$89,3,0)*0.475*44/12</f>
        <v>23.07167193888197</v>
      </c>
      <c r="EC101" s="21">
        <f>EXP(-LN(2)/2)*EC100+(1-EXP(-LN(2)/2))/(LN(2)/2)*DW101*DZ101*VLOOKUP('Données projet'!$B$14,Paramètres!$A$1:$I$89,3,0)*0.475*44/12</f>
        <v>2.6657352699027213E-2</v>
      </c>
      <c r="ED101" s="22">
        <f t="shared" si="72"/>
        <v>57.247079256606781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8.9989999999999952</v>
      </c>
      <c r="EJ101" s="12">
        <f>IF('Données projet'!$A$192&gt;35,EJ100+EI101-ER100,IF(A101&lt;'Données projet'!$A$192,$EG$205^A101,IF(A101='Données projet'!$A$192,'Données projet'!$B$192,EJ100+EI101-ER100)))</f>
        <v>326.40499999999997</v>
      </c>
      <c r="EK101" s="17">
        <f>EJ101*VLOOKUP('Données projet'!$B$15,Paramètres!$A$1:$I$89,3,0)*VLOOKUP('Données projet'!$B$15,Paramètres!$A$1:$I$89,5,0)</f>
        <v>351.34234199999997</v>
      </c>
      <c r="EL101" s="13">
        <f t="shared" si="99"/>
        <v>81.838851788282241</v>
      </c>
      <c r="EM101" s="20">
        <f t="shared" si="73"/>
        <v>754.45724584792481</v>
      </c>
      <c r="EN101" s="59">
        <f t="shared" si="74"/>
        <v>1031.2939047825562</v>
      </c>
      <c r="EO101" s="59">
        <f ca="1">AVERAGE(OFFSET($EN$3,0,0,'Données projet'!$E$15+1,1))-AVERAGE(OFFSET($H$3,0,0,'Données projet'!$E$15+1,1))</f>
        <v>539.72194201710272</v>
      </c>
      <c r="EP101" s="59">
        <f t="shared" si="100"/>
        <v>340.76505385159362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38.004253993335141</v>
      </c>
      <c r="EW101" s="21">
        <f>EXP(-LN(2)/25)*EW100+(1-EXP(-LN(2)/25))/(LN(2)/25)*Calculateur!ER101*Calculateur!ET101*VLOOKUP('Données projet'!$B$15,Paramètres!$A$1:$I$89,3,0)*0.475*44/12</f>
        <v>25.67653812552993</v>
      </c>
      <c r="EX101" s="21">
        <f>EXP(-LN(2)/2)*EX100+(1-EXP(-LN(2)/2))/(LN(2)/2)*ER101*EU101*VLOOKUP('Données projet'!$B$15,Paramètres!$A$1:$I$89,3,0)*0.475*44/12</f>
        <v>2.9667053810207726E-2</v>
      </c>
      <c r="EY101" s="22">
        <f t="shared" si="75"/>
        <v>63.710459172675279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>
        <f>FE101*VLOOKUP('Données projet'!$B$16,Paramètres!$A$1:$I$89,3,0)*VLOOKUP('Données projet'!$B$16,Paramètres!$A$1:$I$89,5,0)</f>
        <v>0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383.47860767209028</v>
      </c>
      <c r="FK101" s="59">
        <f t="shared" si="102"/>
        <v>370.49129421395628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37.108334448350284</v>
      </c>
      <c r="FR101" s="21">
        <f>EXP(-LN(2)/25)*FR100+(1-EXP(-LN(2)/25))/(LN(2)/25)*Calculateur!FM101*Calculateur!FO101*VLOOKUP('Données projet'!$B$16,Paramètres!$A$1:$I$89,3,0)*0.475*44/12</f>
        <v>31.769466715872763</v>
      </c>
      <c r="FS101" s="21">
        <f>EXP(-LN(2)/2)*FS100+(1-EXP(-LN(2)/2))/(LN(2)/2)*FM101*FP101*VLOOKUP('Données projet'!$B$16,Paramètres!$A$1:$I$89,3,0)*0.475*44/12</f>
        <v>0.12430716538866655</v>
      </c>
      <c r="FT101" s="22">
        <f t="shared" si="78"/>
        <v>69.002108329611715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6.7777777777777777</v>
      </c>
      <c r="FZ101" s="12">
        <f>IF('Données projet'!$A$244&gt;35,FZ100+FY101-GH100,IF(A101&lt;'Données projet'!$A$244,$FW$205^A101,IF(A101='Données projet'!$A$244,'Données projet'!$B$244,FZ100+FY101-GH100)))</f>
        <v>230.70333333333321</v>
      </c>
      <c r="GA101" s="17">
        <f>FZ101*VLOOKUP('Données projet'!$B$17,Paramètres!$A$1:$I$89,3,0)*VLOOKUP('Données projet'!$B$17,Paramètres!$A$1:$I$89,5,0)</f>
        <v>262.72495599999985</v>
      </c>
      <c r="GB101" s="13">
        <f t="shared" si="103"/>
        <v>63.302875529710846</v>
      </c>
      <c r="GC101" s="20">
        <f t="shared" si="79"/>
        <v>567.83180658091271</v>
      </c>
      <c r="GD101" s="59">
        <f t="shared" si="80"/>
        <v>844.66846551554409</v>
      </c>
      <c r="GE101" s="59">
        <f ca="1">AVERAGE(OFFSET($GD$3,0,0,'Données projet'!$E$17+1,1))-AVERAGE(OFFSET($H$3,0,0,'Données projet'!$E$17+1,1))</f>
        <v>640.05156427113661</v>
      </c>
      <c r="GF101" s="59">
        <f t="shared" si="104"/>
        <v>308.77220155372902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13.142357003180759</v>
      </c>
      <c r="GM101" s="21">
        <f>EXP(-LN(2)/25)*GM100+(1-EXP(-LN(2)/25))/(LN(2)/25)*Calculateur!GH101*Calculateur!GJ101*VLOOKUP('Données projet'!$B$17,Paramètres!$A$1:$I$89,3,0)*0.475*44/12</f>
        <v>34.38174118910554</v>
      </c>
      <c r="GN101" s="21">
        <f>EXP(-LN(2)/2)*GN100+(1-EXP(-LN(2)/2))/(LN(2)/2)*GH101*GK101*VLOOKUP('Données projet'!$B$17,Paramètres!$A$1:$I$89,3,0)*0.475*44/12</f>
        <v>1.6716166148348366</v>
      </c>
      <c r="GO101" s="21">
        <f t="shared" si="81"/>
        <v>49.195714807121142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465.23</v>
      </c>
      <c r="L102" s="12">
        <f>VLOOKUP(A102,'Données projet'!$A$35:$I$55,9,0)</f>
        <v>11.216666666666672</v>
      </c>
      <c r="M102" s="12">
        <f t="array" ref="M102">INDEX(L:L,MIN(IF(ISNUMBER(L102:L298),ROW(L102:L298),"")))</f>
        <v>11.216666666666672</v>
      </c>
      <c r="N102" s="13">
        <f>IF('Données projet'!$A$36&gt;35,N101+M102-V101,IF(A102&lt;'Données projet'!$A$36,$K$205^A102,IF(A102='Données projet'!$A$36,'Données projet'!$B$36,N101+M102-V101)))</f>
        <v>465.23000000000013</v>
      </c>
      <c r="O102" s="13">
        <f>N102*VLOOKUP('Données projet'!$B$9,Paramètres!$A$1:$I$89,3,0)*VLOOKUP('Données projet'!$B$9,Paramètres!$A$1:$I$89,5,0)</f>
        <v>391.90975200000014</v>
      </c>
      <c r="P102" s="13">
        <f t="shared" si="87"/>
        <v>90.134546207940858</v>
      </c>
      <c r="Q102" s="20">
        <f t="shared" si="107"/>
        <v>839.56048604549721</v>
      </c>
      <c r="R102" s="59">
        <f t="shared" si="55"/>
        <v>1116.6833253999073</v>
      </c>
      <c r="S102" s="59">
        <f ca="1">AVERAGE(OFFSET($R$3,0,0,'Données projet'!$E$9+1,1))-AVERAGE(OFFSET($H$3,0,0,'Données projet'!$E$9+1,1))</f>
        <v>456.35333554128226</v>
      </c>
      <c r="T102" s="59">
        <f t="shared" si="88"/>
        <v>296.4517290984877</v>
      </c>
      <c r="U102" s="15">
        <f>IF(ISNA(VLOOKUP(A102,'Données projet'!$A$35:$I$55,3,0)),0,VLOOKUP(A102,'Données projet'!$A$35:$I$55,3,0))</f>
        <v>10</v>
      </c>
      <c r="V102" s="15">
        <f>IF(ISNA(VLOOKUP(A102,'Données projet'!$A$35:$I$55,4,0)),0,VLOOKUP(A102,'Données projet'!$A$35:$I$55,4,0))</f>
        <v>226.42000000000002</v>
      </c>
      <c r="W102" s="16">
        <f>IF(ISNA(VLOOKUP(A102,'Données projet'!$A$35:$I$55,5,0)),0%,VLOOKUP(A102,'Données projet'!$A$35:$I$55,5,0)*VLOOKUP('Données projet'!$B$9,Paramètres!$A$1:$I$89,7,0))</f>
        <v>0.19350000000000001</v>
      </c>
      <c r="X102" s="16">
        <f>IF(ISNA(VLOOKUP(A102,'Données projet'!$A$35:$I$55,6,0)),0%,VLOOKUP(A102,'Données projet'!$A$35:$I$55,6,0)*VLOOKUP('Données projet'!$B$9,Paramètres!$A$1:$I$89,7,0))</f>
        <v>2.1500000000000002E-2</v>
      </c>
      <c r="Y102" s="16">
        <f>IF(ISNA(VLOOKUP(A102,'Données projet'!$A$35:$I$55,7,0)),0%,VLOOKUP(A102,'Données projet'!$A$35:$I$55,7,0))</f>
        <v>0.05</v>
      </c>
      <c r="Z102" s="21">
        <f>EXP(-LN(2)/35)*Z101+(1-EXP(-LN(2)/35))/(LN(2)/35)*V102*W102*VLOOKUP('Données projet'!$B$9,Paramètres!$A$1:$I$89,3,0)*0.475*44/12</f>
        <v>86.418059665948277</v>
      </c>
      <c r="AA102" s="21">
        <f>EXP(-LN(2)/25)*AA101+(1-EXP(-LN(2)/25))/(LN(2)/25)*Calculateur!V102*Calculateur!X102*VLOOKUP('Données projet'!$B$9,Paramètres!$A$1:$I$89,3,0)*0.475*44/12</f>
        <v>27.744008388488901</v>
      </c>
      <c r="AB102" s="21">
        <f>EXP(-LN(2)/2)*AB101+(1-EXP(-LN(2)/2))/(LN(2)/2)*V102*Y102*VLOOKUP('Données projet'!$B$9,Paramètres!$A$1:$I$89,3,0)*0.475*44/12</f>
        <v>8.9987283754300513</v>
      </c>
      <c r="AC102" s="22">
        <f t="shared" si="57"/>
        <v>123.16079642986723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408.246209980743</v>
      </c>
      <c r="AO102" s="59">
        <f t="shared" si="90"/>
        <v>394.10236303013903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39.179175154718571</v>
      </c>
      <c r="AV102" s="21">
        <f>EXP(-LN(2)/25)*AV101+(1-EXP(-LN(2)/25))/(LN(2)/25)*Calculateur!AQ102*Calculateur!AS102*VLOOKUP('Données projet'!$B$10,Paramètres!$A$1:$I$89,3,0)*0.475*44/12</f>
        <v>33.277708129985385</v>
      </c>
      <c r="AW102" s="21">
        <f>EXP(-LN(2)/2)*AW101+(1-EXP(-LN(2)/2))/(LN(2)/2)*AQ102*AT102*VLOOKUP('Données projet'!$B$10,Paramètres!$A$1:$I$89,3,0)*0.475*44/12</f>
        <v>9.4659858026896332E-2</v>
      </c>
      <c r="AX102" s="21">
        <f t="shared" si="60"/>
        <v>72.551543142730864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6.7777777777777777</v>
      </c>
      <c r="BD102" s="12">
        <f>IF('Données projet'!$A$88&gt;35,BD101+BC102-BL101,IF(A102&lt;'Données projet'!$A$88,$BA$205^A102,IF(A102='Données projet'!$A$88,'Données projet'!$B$88,BD101+BC102-BL101)))</f>
        <v>237.48111111111098</v>
      </c>
      <c r="BE102" s="13">
        <f>BD102*VLOOKUP('Données projet'!$B$11,Paramètres!$A$1:$I$89,3,0)*VLOOKUP('Données projet'!$B$11,Paramètres!$A$1:$I$89,5,0)</f>
        <v>240.80584666666655</v>
      </c>
      <c r="BF102" s="13">
        <f t="shared" si="91"/>
        <v>58.612878478503731</v>
      </c>
      <c r="BG102" s="20">
        <f t="shared" si="61"/>
        <v>521.48761296117152</v>
      </c>
      <c r="BH102" s="59">
        <f t="shared" si="62"/>
        <v>798.6104523155816</v>
      </c>
      <c r="BI102" s="59">
        <f ca="1">AVERAGE(OFFSET($BH$3,0,0,'Données projet'!$E$11+1,1))-AVERAGE(OFFSET($H$3,0,0,'Données projet'!$E$11+1,1))</f>
        <v>580.02848304986492</v>
      </c>
      <c r="BJ102" s="59">
        <f t="shared" si="92"/>
        <v>281.68891895586728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11.472627683502076</v>
      </c>
      <c r="BQ102" s="21">
        <f>EXP(-LN(2)/25)*BQ101+(1-EXP(-LN(2)/25))/(LN(2)/25)*Calculateur!BL102*Calculateur!BN102*VLOOKUP('Données projet'!$B$11,Paramètres!$A$1:$I$89,3,0)*0.475*44/12</f>
        <v>29.776741005960218</v>
      </c>
      <c r="BR102" s="21">
        <f>EXP(-LN(2)/2)*BR101+(1-EXP(-LN(2)/2))/(LN(2)/2)*BL102*BO102*VLOOKUP('Données projet'!$B$11,Paramètres!$A$1:$I$89,3,0)*0.475*44/12</f>
        <v>1.0524759431931219</v>
      </c>
      <c r="BS102" s="22">
        <f t="shared" si="63"/>
        <v>42.301844632655417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5.6843418860808015E-14</v>
      </c>
      <c r="BZ102" s="13">
        <f>BY102*VLOOKUP('Données projet'!$B$12,Paramètres!$A$1:$I$89,3,0)*VLOOKUP('Données projet'!$B$12,Paramètres!$A$1:$I$89,5,0)</f>
        <v>4.4337866711430253E-14</v>
      </c>
      <c r="CA102" s="13">
        <f t="shared" si="93"/>
        <v>7.3222115536967035E-13</v>
      </c>
      <c r="CB102" s="20">
        <f t="shared" si="64"/>
        <v>1.3525069634579169E-12</v>
      </c>
      <c r="CC102" s="59">
        <f t="shared" si="65"/>
        <v>277.1228393544115</v>
      </c>
      <c r="CD102" s="59">
        <f ca="1">AVERAGE(OFFSET($CC$3,0,0,'Données projet'!$E$12+1,1))-AVERAGE(OFFSET($H$3,0,0,'Données projet'!$E$12+1,1))</f>
        <v>308.85018589589453</v>
      </c>
      <c r="CE102" s="59">
        <f t="shared" si="94"/>
        <v>302.59481222418219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23.737140700737278</v>
      </c>
      <c r="CL102" s="21">
        <f>EXP(-LN(2)/25)*CL101+(1-EXP(-LN(2)/25))/(LN(2)/25)*Calculateur!CG102*Calculateur!CI102*VLOOKUP('Données projet'!$B$12,Paramètres!$A$1:$I$89,3,0)*0.475*44/12</f>
        <v>18.427458233875878</v>
      </c>
      <c r="CM102" s="21">
        <f>EXP(-LN(2)/2)*CM101+(1-EXP(-LN(2)/2))/(LN(2)/2)*CG102*CJ102*VLOOKUP('Données projet'!$B$12,Paramètres!$A$1:$I$89,3,0)*0.475*44/12</f>
        <v>1.8541266373682704E-3</v>
      </c>
      <c r="CN102" s="22">
        <f t="shared" si="66"/>
        <v>42.166453061250522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3.5897435897435912</v>
      </c>
      <c r="CT102" s="12">
        <f>IF('Données projet'!$A$140&gt;35,CT101+CS102-DB101,IF(A102&lt;'Données projet'!$A$140,$CQ$205^A102,IF(A102='Données projet'!$A$140,'Données projet'!$B$140,CT101+CS102-DB101)))</f>
        <v>292.56410256410277</v>
      </c>
      <c r="CU102" s="17">
        <f>CT102*VLOOKUP('Données projet'!$B$13,Paramètres!$A$1:$I$89,3,0)*VLOOKUP('Données projet'!$B$13,Paramètres!$A$1:$I$89,5,0)</f>
        <v>196.25200000000015</v>
      </c>
      <c r="CV102" s="13">
        <f t="shared" si="95"/>
        <v>48.919566058185396</v>
      </c>
      <c r="CW102" s="20">
        <f t="shared" si="67"/>
        <v>427.00714421800649</v>
      </c>
      <c r="CX102" s="59">
        <f t="shared" si="68"/>
        <v>704.12998357241668</v>
      </c>
      <c r="CY102" s="59">
        <f ca="1">AVERAGE(OFFSET($CX$3,0,0,'Données projet'!$E$13+1,1))-AVERAGE(OFFSET($H$3,0,0,'Données projet'!$E$13+1,1))</f>
        <v>335.73816489539837</v>
      </c>
      <c r="CZ102" s="59">
        <f t="shared" si="96"/>
        <v>254.09787950201044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6.7665461690059665</v>
      </c>
      <c r="DG102" s="21">
        <f>EXP(-LN(2)/25)*DG101+(1-EXP(-LN(2)/25))/(LN(2)/25)*Calculateur!DB102*Calculateur!DD102*VLOOKUP('Données projet'!$B$13,Paramètres!$A$1:$I$89,3,0)*0.475*44/12</f>
        <v>8.3108114136787865</v>
      </c>
      <c r="DH102" s="21">
        <f>EXP(-LN(2)/2)*DH101+(1-EXP(-LN(2)/2))/(LN(2)/2)*DB102*DE102*VLOOKUP('Données projet'!$B$13,Paramètres!$A$1:$I$89,3,0)*0.475*44/12</f>
        <v>0.56009404692304487</v>
      </c>
      <c r="DI102" s="22">
        <f t="shared" si="69"/>
        <v>15.637451629607797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8.9989999999999952</v>
      </c>
      <c r="DO102" s="12">
        <f>IF('Données projet'!$A$166&gt;35,DO101+DN102-DW101,IF(A102&lt;'Données projet'!$A$166,$DL$205^A102,IF(A102='Données projet'!$A$166,'Données projet'!$B$166,DO101+DN102-DW101)))</f>
        <v>335.404</v>
      </c>
      <c r="DP102" s="17">
        <f>DO102*VLOOKUP('Données projet'!$B$14,Paramètres!$A$1:$I$89,3,0)*VLOOKUP('Données projet'!$B$14,Paramètres!$A$1:$I$89,5,0)</f>
        <v>324.40274879999998</v>
      </c>
      <c r="DQ102" s="13">
        <f t="shared" si="97"/>
        <v>76.268701354127401</v>
      </c>
      <c r="DR102" s="20">
        <f t="shared" si="70"/>
        <v>697.83610901843849</v>
      </c>
      <c r="DS102" s="59">
        <f t="shared" si="71"/>
        <v>974.95894837284868</v>
      </c>
      <c r="DT102" s="59">
        <f ca="1">AVERAGE(OFFSET($DS$3,0,0,'Données projet'!$E$14+1,1))-AVERAGE(OFFSET($H$3,0,0,'Données projet'!$E$14+1,1))</f>
        <v>493.03862850474161</v>
      </c>
      <c r="DU102" s="59">
        <f t="shared" si="98"/>
        <v>312.51819065560528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33.47911380689245</v>
      </c>
      <c r="EB102" s="21">
        <f>EXP(-LN(2)/25)*EB101+(1-EXP(-LN(2)/25))/(LN(2)/25)*Calculateur!DW102*Calculateur!DY102*VLOOKUP('Données projet'!$B$14,Paramètres!$A$1:$I$89,3,0)*0.475*44/12</f>
        <v>22.440775856426747</v>
      </c>
      <c r="EC102" s="21">
        <f>EXP(-LN(2)/2)*EC101+(1-EXP(-LN(2)/2))/(LN(2)/2)*DW102*DZ102*VLOOKUP('Données projet'!$B$14,Paramètres!$A$1:$I$89,3,0)*0.475*44/12</f>
        <v>1.8849594861963657E-2</v>
      </c>
      <c r="ED102" s="22">
        <f t="shared" si="72"/>
        <v>55.938739258181158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8.9989999999999952</v>
      </c>
      <c r="EJ102" s="12">
        <f>IF('Données projet'!$A$192&gt;35,EJ101+EI102-ER101,IF(A102&lt;'Données projet'!$A$192,$EG$205^A102,IF(A102='Données projet'!$A$192,'Données projet'!$B$192,EJ101+EI102-ER101)))</f>
        <v>335.404</v>
      </c>
      <c r="EK102" s="17">
        <f>EJ102*VLOOKUP('Données projet'!$B$15,Paramètres!$A$1:$I$89,3,0)*VLOOKUP('Données projet'!$B$15,Paramètres!$A$1:$I$89,5,0)</f>
        <v>361.02886559999996</v>
      </c>
      <c r="EL102" s="13">
        <f t="shared" si="99"/>
        <v>83.829352437758416</v>
      </c>
      <c r="EM102" s="20">
        <f t="shared" si="73"/>
        <v>774.79472974909584</v>
      </c>
      <c r="EN102" s="59">
        <f t="shared" si="74"/>
        <v>1051.9175691035059</v>
      </c>
      <c r="EO102" s="59">
        <f ca="1">AVERAGE(OFFSET($EN$3,0,0,'Données projet'!$E$15+1,1))-AVERAGE(OFFSET($H$3,0,0,'Données projet'!$E$15+1,1))</f>
        <v>539.72194201710272</v>
      </c>
      <c r="EP102" s="59">
        <f t="shared" si="100"/>
        <v>340.76505385159362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37.259013752831912</v>
      </c>
      <c r="EW102" s="21">
        <f>EXP(-LN(2)/25)*EW101+(1-EXP(-LN(2)/25))/(LN(2)/25)*Calculateur!ER102*Calculateur!ET102*VLOOKUP('Données projet'!$B$15,Paramètres!$A$1:$I$89,3,0)*0.475*44/12</f>
        <v>24.97441184021686</v>
      </c>
      <c r="EX102" s="21">
        <f>EXP(-LN(2)/2)*EX101+(1-EXP(-LN(2)/2))/(LN(2)/2)*ER102*EU102*VLOOKUP('Données projet'!$B$15,Paramètres!$A$1:$I$89,3,0)*0.475*44/12</f>
        <v>2.0977774927024087E-2</v>
      </c>
      <c r="EY102" s="22">
        <f t="shared" si="75"/>
        <v>62.254403367975797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>
        <f>FE102*VLOOKUP('Données projet'!$B$16,Paramètres!$A$1:$I$89,3,0)*VLOOKUP('Données projet'!$B$16,Paramètres!$A$1:$I$89,5,0)</f>
        <v>0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383.47860767209028</v>
      </c>
      <c r="FK102" s="59">
        <f t="shared" si="102"/>
        <v>370.49129421395628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36.380662643667243</v>
      </c>
      <c r="FR102" s="21">
        <f>EXP(-LN(2)/25)*FR101+(1-EXP(-LN(2)/25))/(LN(2)/25)*Calculateur!FM102*Calculateur!FO102*VLOOKUP('Données projet'!$B$16,Paramètres!$A$1:$I$89,3,0)*0.475*44/12</f>
        <v>30.900728977843578</v>
      </c>
      <c r="FS102" s="21">
        <f>EXP(-LN(2)/2)*FS101+(1-EXP(-LN(2)/2))/(LN(2)/2)*FM102*FP102*VLOOKUP('Données projet'!$B$16,Paramètres!$A$1:$I$89,3,0)*0.475*44/12</f>
        <v>8.7898439596403824E-2</v>
      </c>
      <c r="FT102" s="22">
        <f t="shared" si="78"/>
        <v>67.369290061107222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6.7777777777777777</v>
      </c>
      <c r="FZ102" s="12">
        <f>IF('Données projet'!$A$244&gt;35,FZ101+FY102-GH101,IF(A102&lt;'Données projet'!$A$244,$FW$205^A102,IF(A102='Données projet'!$A$244,'Données projet'!$B$244,FZ101+FY102-GH101)))</f>
        <v>237.48111111111098</v>
      </c>
      <c r="GA102" s="17">
        <f>FZ102*VLOOKUP('Données projet'!$B$17,Paramètres!$A$1:$I$89,3,0)*VLOOKUP('Données projet'!$B$17,Paramètres!$A$1:$I$89,5,0)</f>
        <v>270.44348933333316</v>
      </c>
      <c r="GB102" s="13">
        <f t="shared" si="103"/>
        <v>64.943379925271046</v>
      </c>
      <c r="GC102" s="20">
        <f t="shared" si="79"/>
        <v>584.13213062540228</v>
      </c>
      <c r="GD102" s="59">
        <f t="shared" si="80"/>
        <v>861.25496997981236</v>
      </c>
      <c r="GE102" s="59">
        <f ca="1">AVERAGE(OFFSET($GD$3,0,0,'Données projet'!$E$17+1,1))-AVERAGE(OFFSET($H$3,0,0,'Données projet'!$E$17+1,1))</f>
        <v>640.05156427113661</v>
      </c>
      <c r="GF102" s="59">
        <f t="shared" si="104"/>
        <v>308.77220155372902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12.884643398394637</v>
      </c>
      <c r="GM102" s="21">
        <f>EXP(-LN(2)/25)*GM101+(1-EXP(-LN(2)/25))/(LN(2)/25)*Calculateur!GH102*Calculateur!GJ102*VLOOKUP('Données projet'!$B$17,Paramètres!$A$1:$I$89,3,0)*0.475*44/12</f>
        <v>33.441570668232259</v>
      </c>
      <c r="GN102" s="21">
        <f>EXP(-LN(2)/2)*GN101+(1-EXP(-LN(2)/2))/(LN(2)/2)*GH102*GK102*VLOOKUP('Données projet'!$B$17,Paramètres!$A$1:$I$89,3,0)*0.475*44/12</f>
        <v>1.1820114438938141</v>
      </c>
      <c r="GO102" s="21">
        <f t="shared" si="81"/>
        <v>47.50822551052071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7.0300000000000011</v>
      </c>
      <c r="N103" s="13">
        <f>IF('Données projet'!$A$36&gt;35,N102+M103-V102,IF(A103&lt;'Données projet'!$A$36,$K$205^A103,IF(A103='Données projet'!$A$36,'Données projet'!$B$36,N102+M103-V102)))</f>
        <v>245.84000000000009</v>
      </c>
      <c r="O103" s="13">
        <f>N103*VLOOKUP('Données projet'!$B$9,Paramètres!$A$1:$I$89,3,0)*VLOOKUP('Données projet'!$B$9,Paramètres!$A$1:$I$89,5,0)</f>
        <v>207.09561600000009</v>
      </c>
      <c r="P103" s="13">
        <f t="shared" si="87"/>
        <v>51.300391199015458</v>
      </c>
      <c r="Q103" s="20">
        <f t="shared" si="107"/>
        <v>450.03971253828541</v>
      </c>
      <c r="R103" s="59">
        <f t="shared" si="55"/>
        <v>727.44376772199462</v>
      </c>
      <c r="S103" s="59">
        <f ca="1">AVERAGE(OFFSET($R$3,0,0,'Données projet'!$E$9+1,1))-AVERAGE(OFFSET($H$3,0,0,'Données projet'!$E$9+1,1))</f>
        <v>456.35333554128226</v>
      </c>
      <c r="T103" s="59">
        <f t="shared" si="88"/>
        <v>296.4517290984877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84.723454225710768</v>
      </c>
      <c r="AA103" s="21">
        <f>EXP(-LN(2)/25)*AA102+(1-EXP(-LN(2)/25))/(LN(2)/25)*Calculateur!V103*Calculateur!X103*VLOOKUP('Données projet'!$B$9,Paramètres!$A$1:$I$89,3,0)*0.475*44/12</f>
        <v>26.985347020111679</v>
      </c>
      <c r="AB103" s="21">
        <f>EXP(-LN(2)/2)*AB102+(1-EXP(-LN(2)/2))/(LN(2)/2)*V103*Y103*VLOOKUP('Données projet'!$B$9,Paramètres!$A$1:$I$89,3,0)*0.475*44/12</f>
        <v>6.3630618563223944</v>
      </c>
      <c r="AC103" s="22">
        <f t="shared" si="57"/>
        <v>118.07186310214483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408.246209980743</v>
      </c>
      <c r="AO103" s="59">
        <f t="shared" si="90"/>
        <v>394.10236303013903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38.410895426871761</v>
      </c>
      <c r="AV103" s="21">
        <f>EXP(-LN(2)/25)*AV102+(1-EXP(-LN(2)/25))/(LN(2)/25)*Calculateur!AQ103*Calculateur!AS103*VLOOKUP('Données projet'!$B$10,Paramètres!$A$1:$I$89,3,0)*0.475*44/12</f>
        <v>32.367727451172321</v>
      </c>
      <c r="AW103" s="21">
        <f>EXP(-LN(2)/2)*AW102+(1-EXP(-LN(2)/2))/(LN(2)/2)*AQ103*AT103*VLOOKUP('Données projet'!$B$10,Paramètres!$A$1:$I$89,3,0)*0.475*44/12</f>
        <v>6.6934627516974238E-2</v>
      </c>
      <c r="AX103" s="21">
        <f t="shared" si="60"/>
        <v>70.845557505561047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6.7777777777777777</v>
      </c>
      <c r="BD103" s="12">
        <f>IF('Données projet'!$A$88&gt;35,BD102+BC103-BL102,IF(A103&lt;'Données projet'!$A$88,$BA$205^A103,IF(A103='Données projet'!$A$88,'Données projet'!$B$88,BD102+BC103-BL102)))</f>
        <v>244.25888888888875</v>
      </c>
      <c r="BE103" s="13">
        <f>BD103*VLOOKUP('Données projet'!$B$11,Paramètres!$A$1:$I$89,3,0)*VLOOKUP('Données projet'!$B$11,Paramètres!$A$1:$I$89,5,0)</f>
        <v>247.6785133333332</v>
      </c>
      <c r="BF103" s="13">
        <f t="shared" si="91"/>
        <v>60.088559829649782</v>
      </c>
      <c r="BG103" s="20">
        <f t="shared" si="61"/>
        <v>536.02765242552857</v>
      </c>
      <c r="BH103" s="59">
        <f t="shared" si="62"/>
        <v>813.43170760923772</v>
      </c>
      <c r="BI103" s="59">
        <f ca="1">AVERAGE(OFFSET($BH$3,0,0,'Données projet'!$E$11+1,1))-AVERAGE(OFFSET($H$3,0,0,'Données projet'!$E$11+1,1))</f>
        <v>580.02848304986492</v>
      </c>
      <c r="BJ103" s="59">
        <f t="shared" si="92"/>
        <v>281.68891895586728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11.24765645224053</v>
      </c>
      <c r="BQ103" s="21">
        <f>EXP(-LN(2)/25)*BQ102+(1-EXP(-LN(2)/25))/(LN(2)/25)*Calculateur!BL103*Calculateur!BN103*VLOOKUP('Données projet'!$B$11,Paramètres!$A$1:$I$89,3,0)*0.475*44/12</f>
        <v>28.962494457261482</v>
      </c>
      <c r="BR103" s="21">
        <f>EXP(-LN(2)/2)*BR102+(1-EXP(-LN(2)/2))/(LN(2)/2)*BL103*BO103*VLOOKUP('Données projet'!$B$11,Paramètres!$A$1:$I$89,3,0)*0.475*44/12</f>
        <v>0.74421287646756407</v>
      </c>
      <c r="BS103" s="22">
        <f t="shared" si="63"/>
        <v>40.954363785969576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5.6843418860808015E-14</v>
      </c>
      <c r="BZ103" s="13">
        <f>BY103*VLOOKUP('Données projet'!$B$12,Paramètres!$A$1:$I$89,3,0)*VLOOKUP('Données projet'!$B$12,Paramètres!$A$1:$I$89,5,0)</f>
        <v>4.4337866711430253E-14</v>
      </c>
      <c r="CA103" s="13">
        <f t="shared" si="93"/>
        <v>7.3222115536967035E-13</v>
      </c>
      <c r="CB103" s="20">
        <f t="shared" si="64"/>
        <v>1.3525069634579169E-12</v>
      </c>
      <c r="CC103" s="59">
        <f t="shared" si="65"/>
        <v>277.40405518371057</v>
      </c>
      <c r="CD103" s="59">
        <f ca="1">AVERAGE(OFFSET($CC$3,0,0,'Données projet'!$E$12+1,1))-AVERAGE(OFFSET($H$3,0,0,'Données projet'!$E$12+1,1))</f>
        <v>308.85018589589453</v>
      </c>
      <c r="CE103" s="59">
        <f t="shared" si="94"/>
        <v>302.59481222418219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23.271669849822043</v>
      </c>
      <c r="CL103" s="21">
        <f>EXP(-LN(2)/25)*CL102+(1-EXP(-LN(2)/25))/(LN(2)/25)*Calculateur!CG103*Calculateur!CI103*VLOOKUP('Données projet'!$B$12,Paramètres!$A$1:$I$89,3,0)*0.475*44/12</f>
        <v>17.923558419412629</v>
      </c>
      <c r="CM103" s="21">
        <f>EXP(-LN(2)/2)*CM102+(1-EXP(-LN(2)/2))/(LN(2)/2)*CG103*CJ103*VLOOKUP('Données projet'!$B$12,Paramètres!$A$1:$I$89,3,0)*0.475*44/12</f>
        <v>1.3110655184617147E-3</v>
      </c>
      <c r="CN103" s="22">
        <f t="shared" si="66"/>
        <v>41.19653933475314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296.15384615384613</v>
      </c>
      <c r="CR103" s="12">
        <f>VLOOKUP(A103,'Données projet'!$A$139:$I$159,9,0)</f>
        <v>3.5897435897435912</v>
      </c>
      <c r="CS103" s="12">
        <f t="array" ref="CS103">INDEX(CR:CR,MIN(IF(ISNUMBER(CR103:CR299),ROW(CR103:CR299),"")))</f>
        <v>3.5897435897435912</v>
      </c>
      <c r="CT103" s="12">
        <f>IF('Données projet'!$A$140&gt;35,CT102+CS103-DB102,IF(A103&lt;'Données projet'!$A$140,$CQ$205^A103,IF(A103='Données projet'!$A$140,'Données projet'!$B$140,CT102+CS103-DB102)))</f>
        <v>296.15384615384636</v>
      </c>
      <c r="CU103" s="17">
        <f>CT103*VLOOKUP('Données projet'!$B$13,Paramètres!$A$1:$I$89,3,0)*VLOOKUP('Données projet'!$B$13,Paramètres!$A$1:$I$89,5,0)</f>
        <v>198.66000000000014</v>
      </c>
      <c r="CV103" s="13">
        <f t="shared" si="95"/>
        <v>49.449561161821755</v>
      </c>
      <c r="CW103" s="20">
        <f t="shared" si="67"/>
        <v>432.12415235683983</v>
      </c>
      <c r="CX103" s="59">
        <f t="shared" si="68"/>
        <v>709.52820754054903</v>
      </c>
      <c r="CY103" s="59">
        <f ca="1">AVERAGE(OFFSET($CX$3,0,0,'Données projet'!$E$13+1,1))-AVERAGE(OFFSET($H$3,0,0,'Données projet'!$E$13+1,1))</f>
        <v>335.73816489539837</v>
      </c>
      <c r="CZ103" s="59">
        <f t="shared" si="96"/>
        <v>254.09787950201044</v>
      </c>
      <c r="DA103" s="15">
        <f>IF(ISNA(VLOOKUP(A103,'Données projet'!$A$139:$I$159,3,0)),0,VLOOKUP(A103,'Données projet'!$A$139:$I$159,3,0))</f>
        <v>18</v>
      </c>
      <c r="DB103" s="15">
        <f>IF(ISNA(VLOOKUP(A103,'Données projet'!$A$139:$I$159,4,0)),0,VLOOKUP(A103,'Données projet'!$A$139:$I$159,4,0))</f>
        <v>10.897435897435898</v>
      </c>
      <c r="DC103" s="16">
        <f>IF(ISNA(VLOOKUP(A103,'Données projet'!$A$139:$I$159,5,0)),0%,VLOOKUP(A103,'Données projet'!$A$139:$I$159,5,0)*VLOOKUP('Données projet'!$B$13,Paramètres!$A$1:$I$89,7,0))</f>
        <v>0.13250000000000001</v>
      </c>
      <c r="DD103" s="16">
        <f>IF(ISNA(VLOOKUP(A103,'Données projet'!$A$139:$I$159,6,0)),0%,VLOOKUP(A103,'Données projet'!$A$139:$I$159,6,0)*VLOOKUP('Données projet'!$B$13,Paramètres!$A$1:$I$89,7,0))</f>
        <v>0.13250000000000001</v>
      </c>
      <c r="DE103" s="16">
        <f>IF(ISNA(VLOOKUP(A103,'Données projet'!$A$139:$I$159,7,0)),0%,VLOOKUP(A103,'Données projet'!$A$139:$I$159,7,0))</f>
        <v>0.25</v>
      </c>
      <c r="DF103" s="21">
        <f>EXP(-LN(2)/35)*DF102+(1-EXP(-LN(2)/35))/(LN(2)/35)*DB103*DC103*VLOOKUP('Données projet'!$B$13,Paramètres!$A$1:$I$89,3,0)*0.475*44/12</f>
        <v>7.7045892986735245</v>
      </c>
      <c r="DG103" s="21">
        <f>EXP(-LN(2)/25)*DG102+(1-EXP(-LN(2)/25))/(LN(2)/25)*Calculateur!DB103*Calculateur!DD103*VLOOKUP('Données projet'!$B$13,Paramètres!$A$1:$I$89,3,0)*0.475*44/12</f>
        <v>9.1500669355606696</v>
      </c>
      <c r="DH103" s="21">
        <f>EXP(-LN(2)/2)*DH102+(1-EXP(-LN(2)/2))/(LN(2)/2)*DB103*DE103*VLOOKUP('Données projet'!$B$13,Paramètres!$A$1:$I$89,3,0)*0.475*44/12</f>
        <v>2.1203417351228482</v>
      </c>
      <c r="DI103" s="22">
        <f t="shared" si="69"/>
        <v>18.974997969357045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8.9989999999999952</v>
      </c>
      <c r="DO103" s="12">
        <f>IF('Données projet'!$A$166&gt;35,DO102+DN103-DW102,IF(A103&lt;'Données projet'!$A$166,$DL$205^A103,IF(A103='Données projet'!$A$166,'Données projet'!$B$166,DO102+DN103-DW102)))</f>
        <v>344.40300000000002</v>
      </c>
      <c r="DP103" s="17">
        <f>DO103*VLOOKUP('Données projet'!$B$14,Paramètres!$A$1:$I$89,3,0)*VLOOKUP('Données projet'!$B$14,Paramètres!$A$1:$I$89,5,0)</f>
        <v>333.10658160000003</v>
      </c>
      <c r="DQ103" s="13">
        <f t="shared" si="97"/>
        <v>78.074029146781413</v>
      </c>
      <c r="DR103" s="20">
        <f t="shared" si="70"/>
        <v>716.13956371731092</v>
      </c>
      <c r="DS103" s="59">
        <f t="shared" si="71"/>
        <v>993.54361890102018</v>
      </c>
      <c r="DT103" s="59">
        <f ca="1">AVERAGE(OFFSET($DS$3,0,0,'Données projet'!$E$14+1,1))-AVERAGE(OFFSET($H$3,0,0,'Données projet'!$E$14+1,1))</f>
        <v>493.03862850474161</v>
      </c>
      <c r="DU103" s="59">
        <f t="shared" si="98"/>
        <v>312.51819065560528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32.82260880538238</v>
      </c>
      <c r="EB103" s="21">
        <f>EXP(-LN(2)/25)*EB102+(1-EXP(-LN(2)/25))/(LN(2)/25)*Calculateur!DW103*Calculateur!DY103*VLOOKUP('Données projet'!$B$14,Paramètres!$A$1:$I$89,3,0)*0.475*44/12</f>
        <v>21.827131660523644</v>
      </c>
      <c r="EC103" s="21">
        <f>EXP(-LN(2)/2)*EC102+(1-EXP(-LN(2)/2))/(LN(2)/2)*DW103*DZ103*VLOOKUP('Données projet'!$B$14,Paramètres!$A$1:$I$89,3,0)*0.475*44/12</f>
        <v>1.3328676349513607E-2</v>
      </c>
      <c r="ED103" s="22">
        <f t="shared" si="72"/>
        <v>54.663069142255537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8.9989999999999952</v>
      </c>
      <c r="EJ103" s="12">
        <f>IF('Données projet'!$A$192&gt;35,EJ102+EI103-ER102,IF(A103&lt;'Données projet'!$A$192,$EG$205^A103,IF(A103='Données projet'!$A$192,'Données projet'!$B$192,EJ102+EI103-ER102)))</f>
        <v>344.40300000000002</v>
      </c>
      <c r="EK103" s="17">
        <f>EJ103*VLOOKUP('Données projet'!$B$15,Paramètres!$A$1:$I$89,3,0)*VLOOKUP('Données projet'!$B$15,Paramètres!$A$1:$I$89,5,0)</f>
        <v>370.7153892</v>
      </c>
      <c r="EL103" s="13">
        <f t="shared" si="99"/>
        <v>85.81364556336672</v>
      </c>
      <c r="EM103" s="20">
        <f t="shared" si="73"/>
        <v>795.1214022128637</v>
      </c>
      <c r="EN103" s="59">
        <f t="shared" si="74"/>
        <v>1072.5254573965728</v>
      </c>
      <c r="EO103" s="59">
        <f ca="1">AVERAGE(OFFSET($EN$3,0,0,'Données projet'!$E$15+1,1))-AVERAGE(OFFSET($H$3,0,0,'Données projet'!$E$15+1,1))</f>
        <v>539.72194201710272</v>
      </c>
      <c r="EP103" s="59">
        <f t="shared" si="100"/>
        <v>340.76505385159362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36.528387218893286</v>
      </c>
      <c r="EW103" s="21">
        <f>EXP(-LN(2)/25)*EW102+(1-EXP(-LN(2)/25))/(LN(2)/25)*Calculateur!ER103*Calculateur!ET103*VLOOKUP('Données projet'!$B$15,Paramètres!$A$1:$I$89,3,0)*0.475*44/12</f>
        <v>24.291485235098889</v>
      </c>
      <c r="EX103" s="21">
        <f>EXP(-LN(2)/2)*EX102+(1-EXP(-LN(2)/2))/(LN(2)/2)*ER103*EU103*VLOOKUP('Données projet'!$B$15,Paramètres!$A$1:$I$89,3,0)*0.475*44/12</f>
        <v>1.4833526905103865E-2</v>
      </c>
      <c r="EY103" s="22">
        <f t="shared" si="75"/>
        <v>60.834705980897283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>
        <f>FE103*VLOOKUP('Données projet'!$B$16,Paramètres!$A$1:$I$89,3,0)*VLOOKUP('Données projet'!$B$16,Paramètres!$A$1:$I$89,5,0)</f>
        <v>0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383.47860767209028</v>
      </c>
      <c r="FK103" s="59">
        <f t="shared" si="102"/>
        <v>370.49129421395628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35.667260039238059</v>
      </c>
      <c r="FR103" s="21">
        <f>EXP(-LN(2)/25)*FR102+(1-EXP(-LN(2)/25))/(LN(2)/25)*Calculateur!FM103*Calculateur!FO103*VLOOKUP('Données projet'!$B$16,Paramètres!$A$1:$I$89,3,0)*0.475*44/12</f>
        <v>30.055746918945733</v>
      </c>
      <c r="FS103" s="21">
        <f>EXP(-LN(2)/2)*FS102+(1-EXP(-LN(2)/2))/(LN(2)/2)*FM103*FP103*VLOOKUP('Données projet'!$B$16,Paramètres!$A$1:$I$89,3,0)*0.475*44/12</f>
        <v>6.2153582694333291E-2</v>
      </c>
      <c r="FT103" s="22">
        <f t="shared" si="78"/>
        <v>65.785160540878124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6.7777777777777777</v>
      </c>
      <c r="FZ103" s="12">
        <f>IF('Données projet'!$A$244&gt;35,FZ102+FY103-GH102,IF(A103&lt;'Données projet'!$A$244,$FW$205^A103,IF(A103='Données projet'!$A$244,'Données projet'!$B$244,FZ102+FY103-GH102)))</f>
        <v>244.25888888888875</v>
      </c>
      <c r="GA103" s="17">
        <f>FZ103*VLOOKUP('Données projet'!$B$17,Paramètres!$A$1:$I$89,3,0)*VLOOKUP('Données projet'!$B$17,Paramètres!$A$1:$I$89,5,0)</f>
        <v>278.16202266666653</v>
      </c>
      <c r="GB103" s="13">
        <f t="shared" si="103"/>
        <v>66.578442681509159</v>
      </c>
      <c r="GC103" s="20">
        <f t="shared" si="79"/>
        <v>600.42297714807262</v>
      </c>
      <c r="GD103" s="59">
        <f t="shared" si="80"/>
        <v>877.82703233178177</v>
      </c>
      <c r="GE103" s="59">
        <f ca="1">AVERAGE(OFFSET($GD$3,0,0,'Données projet'!$E$17+1,1))-AVERAGE(OFFSET($H$3,0,0,'Données projet'!$E$17+1,1))</f>
        <v>640.05156427113661</v>
      </c>
      <c r="GF103" s="59">
        <f t="shared" si="104"/>
        <v>308.77220155372902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12.631983400208593</v>
      </c>
      <c r="GM103" s="21">
        <f>EXP(-LN(2)/25)*GM102+(1-EXP(-LN(2)/25))/(LN(2)/25)*Calculateur!GH103*Calculateur!GJ103*VLOOKUP('Données projet'!$B$17,Paramètres!$A$1:$I$89,3,0)*0.475*44/12</f>
        <v>32.52710915969368</v>
      </c>
      <c r="GN103" s="21">
        <f>EXP(-LN(2)/2)*GN102+(1-EXP(-LN(2)/2))/(LN(2)/2)*GH103*GK103*VLOOKUP('Données projet'!$B$17,Paramètres!$A$1:$I$89,3,0)*0.475*44/12</f>
        <v>0.83580830741741829</v>
      </c>
      <c r="GO103" s="21">
        <f t="shared" si="81"/>
        <v>45.994900867319693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>
        <f>VLOOKUP(A104,'Données projet'!$A$35:$I$55,2,0)</f>
        <v>252.87</v>
      </c>
      <c r="L104" s="12">
        <f>VLOOKUP(A104,'Données projet'!$A$35:$I$55,9,0)</f>
        <v>7.0300000000000011</v>
      </c>
      <c r="M104" s="12">
        <f t="array" ref="M104">INDEX(L:L,MIN(IF(ISNUMBER(L104:L300),ROW(L104:L300),"")))</f>
        <v>7.0300000000000011</v>
      </c>
      <c r="N104" s="13">
        <f>IF('Données projet'!$A$36&gt;35,N103+M104-V103,IF(A104&lt;'Données projet'!$A$36,$K$205^A104,IF(A104='Données projet'!$A$36,'Données projet'!$B$36,N103+M104-V103)))</f>
        <v>252.87000000000009</v>
      </c>
      <c r="O104" s="13">
        <f>N104*VLOOKUP('Données projet'!$B$9,Paramètres!$A$1:$I$89,3,0)*VLOOKUP('Données projet'!$B$9,Paramètres!$A$1:$I$89,5,0)</f>
        <v>213.01768800000011</v>
      </c>
      <c r="P104" s="13">
        <f t="shared" si="87"/>
        <v>52.594477866693403</v>
      </c>
      <c r="Q104" s="20">
        <f t="shared" si="107"/>
        <v>462.6078555511578</v>
      </c>
      <c r="R104" s="59">
        <f t="shared" si="55"/>
        <v>740.2882480982322</v>
      </c>
      <c r="S104" s="59">
        <f ca="1">AVERAGE(OFFSET($R$3,0,0,'Données projet'!$E$9+1,1))-AVERAGE(OFFSET($H$3,0,0,'Données projet'!$E$9+1,1))</f>
        <v>456.35333554128226</v>
      </c>
      <c r="T104" s="59">
        <f t="shared" si="88"/>
        <v>296.4517290984877</v>
      </c>
      <c r="U104" s="15">
        <f>IF(ISNA(VLOOKUP(A104,'Données projet'!$A$35:$I$55,3,0)),0,VLOOKUP(A104,'Données projet'!$A$35:$I$55,3,0))</f>
        <v>11</v>
      </c>
      <c r="V104" s="15">
        <f>IF(ISNA(VLOOKUP(A104,'Données projet'!$A$35:$I$55,4,0)),0,VLOOKUP(A104,'Données projet'!$A$35:$I$55,4,0))</f>
        <v>82.539999999999992</v>
      </c>
      <c r="W104" s="16">
        <f>IF(ISNA(VLOOKUP(A104,'Données projet'!$A$35:$I$55,5,0)),0%,VLOOKUP(A104,'Données projet'!$A$35:$I$55,5,0)*VLOOKUP('Données projet'!$B$9,Paramètres!$A$1:$I$89,7,0))</f>
        <v>0.19350000000000001</v>
      </c>
      <c r="X104" s="16">
        <f>IF(ISNA(VLOOKUP(A104,'Données projet'!$A$35:$I$55,6,0)),0%,VLOOKUP(A104,'Données projet'!$A$35:$I$55,6,0)*VLOOKUP('Données projet'!$B$9,Paramètres!$A$1:$I$89,7,0))</f>
        <v>2.1500000000000002E-2</v>
      </c>
      <c r="Y104" s="16">
        <f>IF(ISNA(VLOOKUP(A104,'Données projet'!$A$35:$I$55,7,0)),0%,VLOOKUP(A104,'Données projet'!$A$35:$I$55,7,0))</f>
        <v>0.05</v>
      </c>
      <c r="Z104" s="21">
        <f>EXP(-LN(2)/35)*Z103+(1-EXP(-LN(2)/35))/(LN(2)/35)*V104*W104*VLOOKUP('Données projet'!$B$9,Paramètres!$A$1:$I$89,3,0)*0.475*44/12</f>
        <v>97.93550104050351</v>
      </c>
      <c r="AA104" s="21">
        <f>EXP(-LN(2)/25)*AA103+(1-EXP(-LN(2)/25))/(LN(2)/25)*Calculateur!V104*Calculateur!X104*VLOOKUP('Données projet'!$B$9,Paramètres!$A$1:$I$89,3,0)*0.475*44/12</f>
        <v>27.893526814084925</v>
      </c>
      <c r="AB104" s="21">
        <f>EXP(-LN(2)/2)*AB103+(1-EXP(-LN(2)/2))/(LN(2)/2)*V104*Y104*VLOOKUP('Données projet'!$B$9,Paramètres!$A$1:$I$89,3,0)*0.475*44/12</f>
        <v>7.7796155174230179</v>
      </c>
      <c r="AC104" s="22">
        <f t="shared" si="57"/>
        <v>133.60864337201144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408.246209980743</v>
      </c>
      <c r="AO104" s="59">
        <f t="shared" si="90"/>
        <v>394.10236303013903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37.657681195883661</v>
      </c>
      <c r="AV104" s="21">
        <f>EXP(-LN(2)/25)*AV103+(1-EXP(-LN(2)/25))/(LN(2)/25)*Calculateur!AQ104*Calculateur!AS104*VLOOKUP('Données projet'!$B$10,Paramètres!$A$1:$I$89,3,0)*0.475*44/12</f>
        <v>31.482630241875206</v>
      </c>
      <c r="AW104" s="21">
        <f>EXP(-LN(2)/2)*AW103+(1-EXP(-LN(2)/2))/(LN(2)/2)*AQ104*AT104*VLOOKUP('Données projet'!$B$10,Paramètres!$A$1:$I$89,3,0)*0.475*44/12</f>
        <v>4.7329929013448166E-2</v>
      </c>
      <c r="AX104" s="21">
        <f t="shared" si="60"/>
        <v>69.187641366772311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6.7777777777777777</v>
      </c>
      <c r="BD104" s="12">
        <f>IF('Données projet'!$A$88&gt;35,BD103+BC104-BL103,IF(A104&lt;'Données projet'!$A$88,$BA$205^A104,IF(A104='Données projet'!$A$88,'Données projet'!$B$88,BD103+BC104-BL103)))</f>
        <v>251.03666666666652</v>
      </c>
      <c r="BE104" s="13">
        <f>BD104*VLOOKUP('Données projet'!$B$11,Paramètres!$A$1:$I$89,3,0)*VLOOKUP('Données projet'!$B$11,Paramètres!$A$1:$I$89,5,0)</f>
        <v>254.55117999999987</v>
      </c>
      <c r="BF104" s="13">
        <f t="shared" si="91"/>
        <v>61.55948191196579</v>
      </c>
      <c r="BG104" s="20">
        <f t="shared" si="61"/>
        <v>550.55940283000689</v>
      </c>
      <c r="BH104" s="59">
        <f t="shared" si="62"/>
        <v>828.23979537708124</v>
      </c>
      <c r="BI104" s="59">
        <f ca="1">AVERAGE(OFFSET($BH$3,0,0,'Données projet'!$E$11+1,1))-AVERAGE(OFFSET($H$3,0,0,'Données projet'!$E$11+1,1))</f>
        <v>580.02848304986492</v>
      </c>
      <c r="BJ104" s="59">
        <f t="shared" si="92"/>
        <v>281.68891895586728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11.027096769605121</v>
      </c>
      <c r="BQ104" s="21">
        <f>EXP(-LN(2)/25)*BQ103+(1-EXP(-LN(2)/25))/(LN(2)/25)*Calculateur!BL104*Calculateur!BN104*VLOOKUP('Données projet'!$B$11,Paramètres!$A$1:$I$89,3,0)*0.475*44/12</f>
        <v>28.170513523256279</v>
      </c>
      <c r="BR104" s="21">
        <f>EXP(-LN(2)/2)*BR103+(1-EXP(-LN(2)/2))/(LN(2)/2)*BL104*BO104*VLOOKUP('Données projet'!$B$11,Paramètres!$A$1:$I$89,3,0)*0.475*44/12</f>
        <v>0.52623797159656094</v>
      </c>
      <c r="BS104" s="22">
        <f t="shared" si="63"/>
        <v>39.723848264457956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5.6843418860808015E-14</v>
      </c>
      <c r="BZ104" s="13">
        <f>BY104*VLOOKUP('Données projet'!$B$12,Paramètres!$A$1:$I$89,3,0)*VLOOKUP('Données projet'!$B$12,Paramètres!$A$1:$I$89,5,0)</f>
        <v>4.4337866711430253E-14</v>
      </c>
      <c r="CA104" s="13">
        <f t="shared" si="93"/>
        <v>7.3222115536967035E-13</v>
      </c>
      <c r="CB104" s="20">
        <f t="shared" si="64"/>
        <v>1.3525069634579169E-12</v>
      </c>
      <c r="CC104" s="59">
        <f t="shared" si="65"/>
        <v>277.68039254707577</v>
      </c>
      <c r="CD104" s="59">
        <f ca="1">AVERAGE(OFFSET($CC$3,0,0,'Données projet'!$E$12+1,1))-AVERAGE(OFFSET($H$3,0,0,'Données projet'!$E$12+1,1))</f>
        <v>308.85018589589453</v>
      </c>
      <c r="CE104" s="59">
        <f t="shared" si="94"/>
        <v>302.59481222418219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22.815326598384068</v>
      </c>
      <c r="CL104" s="21">
        <f>EXP(-LN(2)/25)*CL103+(1-EXP(-LN(2)/25))/(LN(2)/25)*Calculateur!CG104*Calculateur!CI104*VLOOKUP('Données projet'!$B$12,Paramètres!$A$1:$I$89,3,0)*0.475*44/12</f>
        <v>17.433437771874818</v>
      </c>
      <c r="CM104" s="21">
        <f>EXP(-LN(2)/2)*CM103+(1-EXP(-LN(2)/2))/(LN(2)/2)*CG104*CJ104*VLOOKUP('Données projet'!$B$12,Paramètres!$A$1:$I$89,3,0)*0.475*44/12</f>
        <v>9.2706331868413518E-4</v>
      </c>
      <c r="CN104" s="22">
        <f t="shared" si="66"/>
        <v>40.249691433577567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3.2051282051282102</v>
      </c>
      <c r="CT104" s="12">
        <f>IF('Données projet'!$A$140&gt;35,CT103+CS104-DB103,IF(A104&lt;'Données projet'!$A$140,$CQ$205^A104,IF(A104='Données projet'!$A$140,'Données projet'!$B$140,CT103+CS104-DB103)))</f>
        <v>288.46153846153868</v>
      </c>
      <c r="CU104" s="17">
        <f>CT104*VLOOKUP('Données projet'!$B$13,Paramètres!$A$1:$I$89,3,0)*VLOOKUP('Données projet'!$B$13,Paramètres!$A$1:$I$89,5,0)</f>
        <v>193.50000000000014</v>
      </c>
      <c r="CV104" s="13">
        <f t="shared" si="95"/>
        <v>48.312929194247467</v>
      </c>
      <c r="CW104" s="20">
        <f t="shared" si="67"/>
        <v>421.15751834664792</v>
      </c>
      <c r="CX104" s="59">
        <f t="shared" si="68"/>
        <v>698.83791089372232</v>
      </c>
      <c r="CY104" s="59">
        <f ca="1">AVERAGE(OFFSET($CX$3,0,0,'Données projet'!$E$13+1,1))-AVERAGE(OFFSET($H$3,0,0,'Données projet'!$E$13+1,1))</f>
        <v>335.73816489539837</v>
      </c>
      <c r="CZ104" s="59">
        <f t="shared" si="96"/>
        <v>254.09787950201044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7.5535070018619876</v>
      </c>
      <c r="DG104" s="21">
        <f>EXP(-LN(2)/25)*DG103+(1-EXP(-LN(2)/25))/(LN(2)/25)*Calculateur!DB104*Calculateur!DD104*VLOOKUP('Données projet'!$B$13,Paramètres!$A$1:$I$89,3,0)*0.475*44/12</f>
        <v>8.8998578740266563</v>
      </c>
      <c r="DH104" s="21">
        <f>EXP(-LN(2)/2)*DH103+(1-EXP(-LN(2)/2))/(LN(2)/2)*DB104*DE104*VLOOKUP('Données projet'!$B$13,Paramètres!$A$1:$I$89,3,0)*0.475*44/12</f>
        <v>1.4993080193382164</v>
      </c>
      <c r="DI104" s="22">
        <f t="shared" si="69"/>
        <v>17.952672895226861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8.9989999999999952</v>
      </c>
      <c r="DO104" s="12">
        <f>IF('Données projet'!$A$166&gt;35,DO103+DN104-DW103,IF(A104&lt;'Données projet'!$A$166,$DL$205^A104,IF(A104='Données projet'!$A$166,'Données projet'!$B$166,DO103+DN104-DW103)))</f>
        <v>353.40200000000004</v>
      </c>
      <c r="DP104" s="17">
        <f>DO104*VLOOKUP('Données projet'!$B$14,Paramètres!$A$1:$I$89,3,0)*VLOOKUP('Données projet'!$B$14,Paramètres!$A$1:$I$89,5,0)</f>
        <v>341.81041440000007</v>
      </c>
      <c r="DQ104" s="13">
        <f t="shared" si="97"/>
        <v>79.873873812163978</v>
      </c>
      <c r="DR104" s="20">
        <f t="shared" si="70"/>
        <v>734.43346863618569</v>
      </c>
      <c r="DS104" s="59">
        <f t="shared" si="71"/>
        <v>1012.11386118326</v>
      </c>
      <c r="DT104" s="59">
        <f ca="1">AVERAGE(OFFSET($DS$3,0,0,'Données projet'!$E$14+1,1))-AVERAGE(OFFSET($H$3,0,0,'Données projet'!$E$14+1,1))</f>
        <v>493.03862850474161</v>
      </c>
      <c r="DU104" s="59">
        <f t="shared" si="98"/>
        <v>312.51819065560528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32.178977466523413</v>
      </c>
      <c r="EB104" s="21">
        <f>EXP(-LN(2)/25)*EB103+(1-EXP(-LN(2)/25))/(LN(2)/25)*Calculateur!DW104*Calculateur!DY104*VLOOKUP('Données projet'!$B$14,Paramètres!$A$1:$I$89,3,0)*0.475*44/12</f>
        <v>21.230267597427659</v>
      </c>
      <c r="EC104" s="21">
        <f>EXP(-LN(2)/2)*EC103+(1-EXP(-LN(2)/2))/(LN(2)/2)*DW104*DZ104*VLOOKUP('Données projet'!$B$14,Paramètres!$A$1:$I$89,3,0)*0.475*44/12</f>
        <v>9.4247974309818287E-3</v>
      </c>
      <c r="ED104" s="22">
        <f t="shared" si="72"/>
        <v>53.418669861382057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8.9989999999999952</v>
      </c>
      <c r="EJ104" s="12">
        <f>IF('Données projet'!$A$192&gt;35,EJ103+EI104-ER103,IF(A104&lt;'Données projet'!$A$192,$EG$205^A104,IF(A104='Données projet'!$A$192,'Données projet'!$B$192,EJ103+EI104-ER103)))</f>
        <v>353.40200000000004</v>
      </c>
      <c r="EK104" s="17">
        <f>EJ104*VLOOKUP('Données projet'!$B$15,Paramètres!$A$1:$I$89,3,0)*VLOOKUP('Données projet'!$B$15,Paramètres!$A$1:$I$89,5,0)</f>
        <v>380.40191280000005</v>
      </c>
      <c r="EL104" s="13">
        <f t="shared" si="99"/>
        <v>87.791912009612105</v>
      </c>
      <c r="EM104" s="20">
        <f t="shared" si="73"/>
        <v>815.43757821007432</v>
      </c>
      <c r="EN104" s="59">
        <f t="shared" si="74"/>
        <v>1093.1179707571487</v>
      </c>
      <c r="EO104" s="59">
        <f ca="1">AVERAGE(OFFSET($EN$3,0,0,'Données projet'!$E$15+1,1))-AVERAGE(OFFSET($H$3,0,0,'Données projet'!$E$15+1,1))</f>
        <v>539.72194201710272</v>
      </c>
      <c r="EP104" s="59">
        <f t="shared" si="100"/>
        <v>340.76505385159362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35.812087825647012</v>
      </c>
      <c r="EW104" s="21">
        <f>EXP(-LN(2)/25)*EW103+(1-EXP(-LN(2)/25))/(LN(2)/25)*Calculateur!ER104*Calculateur!ET104*VLOOKUP('Données projet'!$B$15,Paramètres!$A$1:$I$89,3,0)*0.475*44/12</f>
        <v>23.62723329391142</v>
      </c>
      <c r="EX104" s="21">
        <f>EXP(-LN(2)/2)*EX103+(1-EXP(-LN(2)/2))/(LN(2)/2)*ER104*EU104*VLOOKUP('Données projet'!$B$15,Paramètres!$A$1:$I$89,3,0)*0.475*44/12</f>
        <v>1.0488887463512045E-2</v>
      </c>
      <c r="EY104" s="22">
        <f t="shared" si="75"/>
        <v>59.449810007021938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>
        <f>FE104*VLOOKUP('Données projet'!$B$16,Paramètres!$A$1:$I$89,3,0)*VLOOKUP('Données projet'!$B$16,Paramètres!$A$1:$I$89,5,0)</f>
        <v>0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383.47860767209028</v>
      </c>
      <c r="FK104" s="59">
        <f t="shared" si="102"/>
        <v>370.49129421395628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34.96784682474911</v>
      </c>
      <c r="FR104" s="21">
        <f>EXP(-LN(2)/25)*FR103+(1-EXP(-LN(2)/25))/(LN(2)/25)*Calculateur!FM104*Calculateur!FO104*VLOOKUP('Données projet'!$B$16,Paramètres!$A$1:$I$89,3,0)*0.475*44/12</f>
        <v>29.233870938884124</v>
      </c>
      <c r="FS104" s="21">
        <f>EXP(-LN(2)/2)*FS103+(1-EXP(-LN(2)/2))/(LN(2)/2)*FM104*FP104*VLOOKUP('Données projet'!$B$16,Paramètres!$A$1:$I$89,3,0)*0.475*44/12</f>
        <v>4.3949219798201919E-2</v>
      </c>
      <c r="FT104" s="22">
        <f t="shared" si="78"/>
        <v>64.245666983431448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6.7777777777777777</v>
      </c>
      <c r="FZ104" s="12">
        <f>IF('Données projet'!$A$244&gt;35,FZ103+FY104-GH103,IF(A104&lt;'Données projet'!$A$244,$FW$205^A104,IF(A104='Données projet'!$A$244,'Données projet'!$B$244,FZ103+FY104-GH103)))</f>
        <v>251.03666666666652</v>
      </c>
      <c r="GA104" s="17">
        <f>FZ104*VLOOKUP('Données projet'!$B$17,Paramètres!$A$1:$I$89,3,0)*VLOOKUP('Données projet'!$B$17,Paramètres!$A$1:$I$89,5,0)</f>
        <v>285.88055599999984</v>
      </c>
      <c r="GB104" s="13">
        <f t="shared" si="103"/>
        <v>68.208232142665835</v>
      </c>
      <c r="GC104" s="20">
        <f t="shared" si="79"/>
        <v>616.70463934847601</v>
      </c>
      <c r="GD104" s="59">
        <f t="shared" si="80"/>
        <v>894.38503189555036</v>
      </c>
      <c r="GE104" s="59">
        <f ca="1">AVERAGE(OFFSET($GD$3,0,0,'Données projet'!$E$17+1,1))-AVERAGE(OFFSET($H$3,0,0,'Données projet'!$E$17+1,1))</f>
        <v>640.05156427113661</v>
      </c>
      <c r="GF104" s="59">
        <f t="shared" si="104"/>
        <v>308.77220155372902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12.384277910479597</v>
      </c>
      <c r="GM104" s="21">
        <f>EXP(-LN(2)/25)*GM103+(1-EXP(-LN(2)/25))/(LN(2)/25)*Calculateur!GH104*Calculateur!GJ104*VLOOKUP('Données projet'!$B$17,Paramètres!$A$1:$I$89,3,0)*0.475*44/12</f>
        <v>31.637653649195528</v>
      </c>
      <c r="GN104" s="21">
        <f>EXP(-LN(2)/2)*GN103+(1-EXP(-LN(2)/2))/(LN(2)/2)*GH104*GK104*VLOOKUP('Données projet'!$B$17,Paramètres!$A$1:$I$89,3,0)*0.475*44/12</f>
        <v>0.59100572194690704</v>
      </c>
      <c r="GO104" s="21">
        <f t="shared" si="81"/>
        <v>44.612937281622031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4.8149999999999977</v>
      </c>
      <c r="N105" s="13">
        <f>IF('Données projet'!$A$36&gt;35,N104+M105-V104,IF(A105&lt;'Données projet'!$A$36,$K$205^A105,IF(A105='Données projet'!$A$36,'Données projet'!$B$36,N104+M105-V104)))</f>
        <v>175.14500000000007</v>
      </c>
      <c r="O105" s="13">
        <f>N105*VLOOKUP('Données projet'!$B$9,Paramètres!$A$1:$I$89,3,0)*VLOOKUP('Données projet'!$B$9,Paramètres!$A$1:$I$89,5,0)</f>
        <v>147.54214800000008</v>
      </c>
      <c r="P105" s="13">
        <f t="shared" si="87"/>
        <v>38.019493993011075</v>
      </c>
      <c r="Q105" s="20">
        <f t="shared" si="107"/>
        <v>323.18652647116113</v>
      </c>
      <c r="R105" s="59">
        <f t="shared" si="55"/>
        <v>601.13846254614407</v>
      </c>
      <c r="S105" s="59">
        <f ca="1">AVERAGE(OFFSET($R$3,0,0,'Données projet'!$E$9+1,1))-AVERAGE(OFFSET($H$3,0,0,'Données projet'!$E$9+1,1))</f>
        <v>456.35333554128226</v>
      </c>
      <c r="T105" s="59">
        <f t="shared" si="88"/>
        <v>296.4517290984877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96.015045599856549</v>
      </c>
      <c r="AA105" s="21">
        <f>EXP(-LN(2)/25)*AA104+(1-EXP(-LN(2)/25))/(LN(2)/25)*Calculateur!V105*Calculateur!X105*VLOOKUP('Données projet'!$B$9,Paramètres!$A$1:$I$89,3,0)*0.475*44/12</f>
        <v>27.130776856496951</v>
      </c>
      <c r="AB105" s="21">
        <f>EXP(-LN(2)/2)*AB104+(1-EXP(-LN(2)/2))/(LN(2)/2)*V105*Y105*VLOOKUP('Données projet'!$B$9,Paramètres!$A$1:$I$89,3,0)*0.475*44/12</f>
        <v>5.5010188873939079</v>
      </c>
      <c r="AC105" s="22">
        <f t="shared" si="57"/>
        <v>128.64684134374741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408.246209980743</v>
      </c>
      <c r="AO105" s="59">
        <f t="shared" si="90"/>
        <v>394.10236303013903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36.919237036549923</v>
      </c>
      <c r="AV105" s="21">
        <f>EXP(-LN(2)/25)*AV104+(1-EXP(-LN(2)/25))/(LN(2)/25)*Calculateur!AQ105*Calculateur!AS105*VLOOKUP('Données projet'!$B$10,Paramètres!$A$1:$I$89,3,0)*0.475*44/12</f>
        <v>30.621736062311559</v>
      </c>
      <c r="AW105" s="21">
        <f>EXP(-LN(2)/2)*AW104+(1-EXP(-LN(2)/2))/(LN(2)/2)*AQ105*AT105*VLOOKUP('Données projet'!$B$10,Paramètres!$A$1:$I$89,3,0)*0.475*44/12</f>
        <v>3.3467313758487119E-2</v>
      </c>
      <c r="AX105" s="21">
        <f t="shared" si="60"/>
        <v>67.574440412619978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6.7777777777777777</v>
      </c>
      <c r="BD105" s="12">
        <f>IF('Données projet'!$A$88&gt;35,BD104+BC105-BL104,IF(A105&lt;'Données projet'!$A$88,$BA$205^A105,IF(A105='Données projet'!$A$88,'Données projet'!$B$88,BD104+BC105-BL104)))</f>
        <v>257.81444444444429</v>
      </c>
      <c r="BE105" s="13">
        <f>BD105*VLOOKUP('Données projet'!$B$11,Paramètres!$A$1:$I$89,3,0)*VLOOKUP('Données projet'!$B$11,Paramètres!$A$1:$I$89,5,0)</f>
        <v>261.42384666666652</v>
      </c>
      <c r="BF105" s="13">
        <f t="shared" si="91"/>
        <v>63.025787988714278</v>
      </c>
      <c r="BG105" s="20">
        <f t="shared" si="61"/>
        <v>565.08311369145497</v>
      </c>
      <c r="BH105" s="59">
        <f t="shared" si="62"/>
        <v>843.03504976643785</v>
      </c>
      <c r="BI105" s="59">
        <f ca="1">AVERAGE(OFFSET($BH$3,0,0,'Données projet'!$E$11+1,1))-AVERAGE(OFFSET($H$3,0,0,'Données projet'!$E$11+1,1))</f>
        <v>580.02848304986492</v>
      </c>
      <c r="BJ105" s="59">
        <f t="shared" si="92"/>
        <v>281.68891895586728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10.810862127818071</v>
      </c>
      <c r="BQ105" s="21">
        <f>EXP(-LN(2)/25)*BQ104+(1-EXP(-LN(2)/25))/(LN(2)/25)*Calculateur!BL105*Calculateur!BN105*VLOOKUP('Données projet'!$B$11,Paramètres!$A$1:$I$89,3,0)*0.475*44/12</f>
        <v>27.400189349539914</v>
      </c>
      <c r="BR105" s="21">
        <f>EXP(-LN(2)/2)*BR104+(1-EXP(-LN(2)/2))/(LN(2)/2)*BL105*BO105*VLOOKUP('Données projet'!$B$11,Paramètres!$A$1:$I$89,3,0)*0.475*44/12</f>
        <v>0.37210643823378203</v>
      </c>
      <c r="BS105" s="22">
        <f t="shared" si="63"/>
        <v>38.583157915591762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5.6843418860808015E-14</v>
      </c>
      <c r="BZ105" s="13">
        <f>BY105*VLOOKUP('Données projet'!$B$12,Paramètres!$A$1:$I$89,3,0)*VLOOKUP('Données projet'!$B$12,Paramètres!$A$1:$I$89,5,0)</f>
        <v>4.4337866711430253E-14</v>
      </c>
      <c r="CA105" s="13">
        <f t="shared" si="93"/>
        <v>7.3222115536967035E-13</v>
      </c>
      <c r="CB105" s="20">
        <f t="shared" si="64"/>
        <v>1.3525069634579169E-12</v>
      </c>
      <c r="CC105" s="59">
        <f t="shared" si="65"/>
        <v>277.9519360749843</v>
      </c>
      <c r="CD105" s="59">
        <f ca="1">AVERAGE(OFFSET($CC$3,0,0,'Données projet'!$E$12+1,1))-AVERAGE(OFFSET($H$3,0,0,'Données projet'!$E$12+1,1))</f>
        <v>308.85018589589453</v>
      </c>
      <c r="CE105" s="59">
        <f t="shared" si="94"/>
        <v>302.59481222418219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22.367931959764892</v>
      </c>
      <c r="CL105" s="21">
        <f>EXP(-LN(2)/25)*CL104+(1-EXP(-LN(2)/25))/(LN(2)/25)*Calculateur!CG105*Calculateur!CI105*VLOOKUP('Données projet'!$B$12,Paramètres!$A$1:$I$89,3,0)*0.475*44/12</f>
        <v>16.956719499218252</v>
      </c>
      <c r="CM105" s="21">
        <f>EXP(-LN(2)/2)*CM104+(1-EXP(-LN(2)/2))/(LN(2)/2)*CG105*CJ105*VLOOKUP('Données projet'!$B$12,Paramètres!$A$1:$I$89,3,0)*0.475*44/12</f>
        <v>6.5553275923085734E-4</v>
      </c>
      <c r="CN105" s="22">
        <f t="shared" si="66"/>
        <v>39.325306991742373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3.2051282051282102</v>
      </c>
      <c r="CT105" s="12">
        <f>IF('Données projet'!$A$140&gt;35,CT104+CS105-DB104,IF(A105&lt;'Données projet'!$A$140,$CQ$205^A105,IF(A105='Données projet'!$A$140,'Données projet'!$B$140,CT104+CS105-DB104)))</f>
        <v>291.66666666666691</v>
      </c>
      <c r="CU105" s="17">
        <f>CT105*VLOOKUP('Données projet'!$B$13,Paramètres!$A$1:$I$89,3,0)*VLOOKUP('Données projet'!$B$13,Paramètres!$A$1:$I$89,5,0)</f>
        <v>195.65000000000018</v>
      </c>
      <c r="CV105" s="13">
        <f t="shared" si="95"/>
        <v>48.786949327182981</v>
      </c>
      <c r="CW105" s="20">
        <f t="shared" si="67"/>
        <v>425.72768674484399</v>
      </c>
      <c r="CX105" s="59">
        <f t="shared" si="68"/>
        <v>703.67962281982693</v>
      </c>
      <c r="CY105" s="59">
        <f ca="1">AVERAGE(OFFSET($CX$3,0,0,'Données projet'!$E$13+1,1))-AVERAGE(OFFSET($H$3,0,0,'Données projet'!$E$13+1,1))</f>
        <v>335.73816489539837</v>
      </c>
      <c r="CZ105" s="59">
        <f t="shared" si="96"/>
        <v>254.09787950201044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7.4053873367398237</v>
      </c>
      <c r="DG105" s="21">
        <f>EXP(-LN(2)/25)*DG104+(1-EXP(-LN(2)/25))/(LN(2)/25)*Calculateur!DB105*Calculateur!DD105*VLOOKUP('Données projet'!$B$13,Paramètres!$A$1:$I$89,3,0)*0.475*44/12</f>
        <v>8.6564907924382126</v>
      </c>
      <c r="DH105" s="21">
        <f>EXP(-LN(2)/2)*DH104+(1-EXP(-LN(2)/2))/(LN(2)/2)*DB105*DE105*VLOOKUP('Données projet'!$B$13,Paramètres!$A$1:$I$89,3,0)*0.475*44/12</f>
        <v>1.0601708675614243</v>
      </c>
      <c r="DI105" s="22">
        <f t="shared" si="69"/>
        <v>17.122048996739462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8.9989999999999952</v>
      </c>
      <c r="DO105" s="12">
        <f>IF('Données projet'!$A$166&gt;35,DO104+DN105-DW104,IF(A105&lt;'Données projet'!$A$166,$DL$205^A105,IF(A105='Données projet'!$A$166,'Données projet'!$B$166,DO104+DN105-DW104)))</f>
        <v>362.40100000000007</v>
      </c>
      <c r="DP105" s="17">
        <f>DO105*VLOOKUP('Données projet'!$B$14,Paramètres!$A$1:$I$89,3,0)*VLOOKUP('Données projet'!$B$14,Paramètres!$A$1:$I$89,5,0)</f>
        <v>350.51424720000006</v>
      </c>
      <c r="DQ105" s="13">
        <f t="shared" si="97"/>
        <v>81.668391027441075</v>
      </c>
      <c r="DR105" s="20">
        <f t="shared" si="70"/>
        <v>752.71809491279328</v>
      </c>
      <c r="DS105" s="59">
        <f t="shared" si="71"/>
        <v>1030.6700309877763</v>
      </c>
      <c r="DT105" s="59">
        <f ca="1">AVERAGE(OFFSET($DS$3,0,0,'Données projet'!$E$14+1,1))-AVERAGE(OFFSET($H$3,0,0,'Données projet'!$E$14+1,1))</f>
        <v>493.03862850474161</v>
      </c>
      <c r="DU105" s="59">
        <f t="shared" si="98"/>
        <v>312.51819065560528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31.547967345643116</v>
      </c>
      <c r="EB105" s="21">
        <f>EXP(-LN(2)/25)*EB104+(1-EXP(-LN(2)/25))/(LN(2)/25)*Calculateur!DW105*Calculateur!DY105*VLOOKUP('Données projet'!$B$14,Paramètres!$A$1:$I$89,3,0)*0.475*44/12</f>
        <v>20.649724813524749</v>
      </c>
      <c r="EC105" s="21">
        <f>EXP(-LN(2)/2)*EC104+(1-EXP(-LN(2)/2))/(LN(2)/2)*DW105*DZ105*VLOOKUP('Données projet'!$B$14,Paramètres!$A$1:$I$89,3,0)*0.475*44/12</f>
        <v>6.6643381747568033E-3</v>
      </c>
      <c r="ED105" s="22">
        <f t="shared" si="72"/>
        <v>52.204356497342623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8.9989999999999952</v>
      </c>
      <c r="EJ105" s="12">
        <f>IF('Données projet'!$A$192&gt;35,EJ104+EI105-ER104,IF(A105&lt;'Données projet'!$A$192,$EG$205^A105,IF(A105='Données projet'!$A$192,'Données projet'!$B$192,EJ104+EI105-ER104)))</f>
        <v>362.40100000000007</v>
      </c>
      <c r="EK105" s="17">
        <f>EJ105*VLOOKUP('Données projet'!$B$15,Paramètres!$A$1:$I$89,3,0)*VLOOKUP('Données projet'!$B$15,Paramètres!$A$1:$I$89,5,0)</f>
        <v>390.08843640000003</v>
      </c>
      <c r="EL105" s="13">
        <f t="shared" si="99"/>
        <v>89.764322886212696</v>
      </c>
      <c r="EM105" s="20">
        <f t="shared" si="73"/>
        <v>835.74355575682057</v>
      </c>
      <c r="EN105" s="59">
        <f t="shared" si="74"/>
        <v>1113.6954918318036</v>
      </c>
      <c r="EO105" s="59">
        <f ca="1">AVERAGE(OFFSET($EN$3,0,0,'Données projet'!$E$15+1,1))-AVERAGE(OFFSET($H$3,0,0,'Données projet'!$E$15+1,1))</f>
        <v>539.72194201710272</v>
      </c>
      <c r="EP105" s="59">
        <f t="shared" si="100"/>
        <v>340.76505385159362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35.109834626602812</v>
      </c>
      <c r="EW105" s="21">
        <f>EXP(-LN(2)/25)*EW104+(1-EXP(-LN(2)/25))/(LN(2)/25)*Calculateur!ER105*Calculateur!ET105*VLOOKUP('Données projet'!$B$15,Paramètres!$A$1:$I$89,3,0)*0.475*44/12</f>
        <v>22.981145356987213</v>
      </c>
      <c r="EX105" s="21">
        <f>EXP(-LN(2)/2)*EX104+(1-EXP(-LN(2)/2))/(LN(2)/2)*ER105*EU105*VLOOKUP('Données projet'!$B$15,Paramètres!$A$1:$I$89,3,0)*0.475*44/12</f>
        <v>7.4167634525519341E-3</v>
      </c>
      <c r="EY105" s="22">
        <f t="shared" si="75"/>
        <v>58.098396747042578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>
        <f>FE105*VLOOKUP('Données projet'!$B$16,Paramètres!$A$1:$I$89,3,0)*VLOOKUP('Données projet'!$B$16,Paramètres!$A$1:$I$89,5,0)</f>
        <v>0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383.47860767209028</v>
      </c>
      <c r="FK105" s="59">
        <f t="shared" si="102"/>
        <v>370.49129421395628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34.282148676796353</v>
      </c>
      <c r="FR105" s="21">
        <f>EXP(-LN(2)/25)*FR104+(1-EXP(-LN(2)/25))/(LN(2)/25)*Calculateur!FM105*Calculateur!FO105*VLOOKUP('Données projet'!$B$16,Paramètres!$A$1:$I$89,3,0)*0.475*44/12</f>
        <v>28.434469200717881</v>
      </c>
      <c r="FS105" s="21">
        <f>EXP(-LN(2)/2)*FS104+(1-EXP(-LN(2)/2))/(LN(2)/2)*FM105*FP105*VLOOKUP('Données projet'!$B$16,Paramètres!$A$1:$I$89,3,0)*0.475*44/12</f>
        <v>3.1076791347166649E-2</v>
      </c>
      <c r="FT105" s="22">
        <f t="shared" si="78"/>
        <v>62.747694668861406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6.7777777777777777</v>
      </c>
      <c r="FZ105" s="12">
        <f>IF('Données projet'!$A$244&gt;35,FZ104+FY105-GH104,IF(A105&lt;'Données projet'!$A$244,$FW$205^A105,IF(A105='Données projet'!$A$244,'Données projet'!$B$244,FZ104+FY105-GH104)))</f>
        <v>257.81444444444429</v>
      </c>
      <c r="GA105" s="17">
        <f>FZ105*VLOOKUP('Données projet'!$B$17,Paramètres!$A$1:$I$89,3,0)*VLOOKUP('Données projet'!$B$17,Paramètres!$A$1:$I$89,5,0)</f>
        <v>293.59908933333315</v>
      </c>
      <c r="GB105" s="13">
        <f t="shared" si="103"/>
        <v>69.832907045194901</v>
      </c>
      <c r="GC105" s="20">
        <f t="shared" si="79"/>
        <v>632.97739369260296</v>
      </c>
      <c r="GD105" s="59">
        <f t="shared" si="80"/>
        <v>910.92932976758584</v>
      </c>
      <c r="GE105" s="59">
        <f ca="1">AVERAGE(OFFSET($GD$3,0,0,'Données projet'!$E$17+1,1))-AVERAGE(OFFSET($H$3,0,0,'Données projet'!$E$17+1,1))</f>
        <v>640.05156427113661</v>
      </c>
      <c r="GF105" s="59">
        <f t="shared" si="104"/>
        <v>308.77220155372902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12.141429774318755</v>
      </c>
      <c r="GM105" s="21">
        <f>EXP(-LN(2)/25)*GM104+(1-EXP(-LN(2)/25))/(LN(2)/25)*Calculateur!GH105*Calculateur!GJ105*VLOOKUP('Données projet'!$B$17,Paramètres!$A$1:$I$89,3,0)*0.475*44/12</f>
        <v>30.772520346406381</v>
      </c>
      <c r="GN105" s="21">
        <f>EXP(-LN(2)/2)*GN104+(1-EXP(-LN(2)/2))/(LN(2)/2)*GH105*GK105*VLOOKUP('Données projet'!$B$17,Paramètres!$A$1:$I$89,3,0)*0.475*44/12</f>
        <v>0.41790415370870915</v>
      </c>
      <c r="GO105" s="21">
        <f t="shared" si="81"/>
        <v>43.331854274433844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179.96</v>
      </c>
      <c r="L106" s="12">
        <f>VLOOKUP(A106,'Données projet'!$A$35:$I$55,9,0)</f>
        <v>4.8149999999999977</v>
      </c>
      <c r="M106" s="12">
        <f t="array" ref="M106">INDEX(L:L,MIN(IF(ISNUMBER(L106:L302),ROW(L106:L302),"")))</f>
        <v>4.8149999999999977</v>
      </c>
      <c r="N106" s="13">
        <f>IF('Données projet'!$A$36&gt;35,N105+M106-V105,IF(A106&lt;'Données projet'!$A$36,$K$205^A106,IF(A106='Données projet'!$A$36,'Données projet'!$B$36,N105+M106-V105)))</f>
        <v>179.96000000000006</v>
      </c>
      <c r="O106" s="13">
        <f>N106*VLOOKUP('Données projet'!$B$9,Paramètres!$A$1:$I$89,3,0)*VLOOKUP('Données projet'!$B$9,Paramètres!$A$1:$I$89,5,0)</f>
        <v>151.59830400000007</v>
      </c>
      <c r="P106" s="13">
        <f t="shared" si="87"/>
        <v>38.941581580147371</v>
      </c>
      <c r="Q106" s="20">
        <f t="shared" si="107"/>
        <v>331.85696738542345</v>
      </c>
      <c r="R106" s="59">
        <f t="shared" si="55"/>
        <v>610.07573631518608</v>
      </c>
      <c r="S106" s="59">
        <f ca="1">AVERAGE(OFFSET($R$3,0,0,'Données projet'!$E$9+1,1))-AVERAGE(OFFSET($H$3,0,0,'Données projet'!$E$9+1,1))</f>
        <v>456.35333554128226</v>
      </c>
      <c r="T106" s="59">
        <f t="shared" si="88"/>
        <v>296.4517290984877</v>
      </c>
      <c r="U106" s="15">
        <f>IF(ISNA(VLOOKUP(A106,'Données projet'!$A$35:$I$55,3,0)),0,VLOOKUP(A106,'Données projet'!$A$35:$I$55,3,0))</f>
        <v>12</v>
      </c>
      <c r="V106" s="15">
        <f>IF(ISNA(VLOOKUP(A106,'Données projet'!$A$35:$I$55,4,0)),0,VLOOKUP(A106,'Données projet'!$A$35:$I$55,4,0))</f>
        <v>58.600000000000009</v>
      </c>
      <c r="W106" s="16">
        <f>IF(ISNA(VLOOKUP(A106,'Données projet'!$A$35:$I$55,5,0)),0%,VLOOKUP(A106,'Données projet'!$A$35:$I$55,5,0)*VLOOKUP('Données projet'!$B$9,Paramètres!$A$1:$I$89,7,0))</f>
        <v>0.19350000000000001</v>
      </c>
      <c r="X106" s="16">
        <f>IF(ISNA(VLOOKUP(A106,'Données projet'!$A$35:$I$55,6,0)),0%,VLOOKUP(A106,'Données projet'!$A$35:$I$55,6,0)*VLOOKUP('Données projet'!$B$9,Paramètres!$A$1:$I$89,7,0))</f>
        <v>2.1500000000000002E-2</v>
      </c>
      <c r="Y106" s="16">
        <f>IF(ISNA(VLOOKUP(A106,'Données projet'!$A$35:$I$55,7,0)),0%,VLOOKUP(A106,'Données projet'!$A$35:$I$55,7,0))</f>
        <v>0.05</v>
      </c>
      <c r="Z106" s="21">
        <f>EXP(-LN(2)/35)*Z105+(1-EXP(-LN(2)/35))/(LN(2)/35)*V106*W106*VLOOKUP('Données projet'!$B$9,Paramètres!$A$1:$I$89,3,0)*0.475*44/12</f>
        <v>104.69176612474402</v>
      </c>
      <c r="AA106" s="21">
        <f>EXP(-LN(2)/25)*AA105+(1-EXP(-LN(2)/25))/(LN(2)/25)*Calculateur!V106*Calculateur!X106*VLOOKUP('Données projet'!$B$9,Paramètres!$A$1:$I$89,3,0)*0.475*44/12</f>
        <v>27.557544354806343</v>
      </c>
      <c r="AB106" s="21">
        <f>EXP(-LN(2)/2)*AB105+(1-EXP(-LN(2)/2))/(LN(2)/2)*V106*Y106*VLOOKUP('Données projet'!$B$9,Paramètres!$A$1:$I$89,3,0)*0.475*44/12</f>
        <v>6.2186510822017969</v>
      </c>
      <c r="AC106" s="22">
        <f t="shared" si="57"/>
        <v>138.46796156175216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408.246209980743</v>
      </c>
      <c r="AO106" s="59">
        <f t="shared" si="90"/>
        <v>394.10236303013903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36.195273316774255</v>
      </c>
      <c r="AV106" s="21">
        <f>EXP(-LN(2)/25)*AV105+(1-EXP(-LN(2)/25))/(LN(2)/25)*Calculateur!AQ106*Calculateur!AS106*VLOOKUP('Données projet'!$B$10,Paramètres!$A$1:$I$89,3,0)*0.475*44/12</f>
        <v>29.784383079360538</v>
      </c>
      <c r="AW106" s="21">
        <f>EXP(-LN(2)/2)*AW105+(1-EXP(-LN(2)/2))/(LN(2)/2)*AQ106*AT106*VLOOKUP('Données projet'!$B$10,Paramètres!$A$1:$I$89,3,0)*0.475*44/12</f>
        <v>2.3664964506724083E-2</v>
      </c>
      <c r="AX106" s="21">
        <f t="shared" si="60"/>
        <v>66.003321360641522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6.7777777777777777</v>
      </c>
      <c r="BD106" s="12">
        <f>IF('Données projet'!$A$88&gt;35,BD105+BC106-BL105,IF(A106&lt;'Données projet'!$A$88,$BA$205^A106,IF(A106='Données projet'!$A$88,'Données projet'!$B$88,BD105+BC106-BL105)))</f>
        <v>264.59222222222206</v>
      </c>
      <c r="BE106" s="13">
        <f>BD106*VLOOKUP('Données projet'!$B$11,Paramètres!$A$1:$I$89,3,0)*VLOOKUP('Données projet'!$B$11,Paramètres!$A$1:$I$89,5,0)</f>
        <v>268.29651333333322</v>
      </c>
      <c r="BF106" s="13">
        <f t="shared" si="91"/>
        <v>64.487613361575328</v>
      </c>
      <c r="BG106" s="20">
        <f t="shared" si="61"/>
        <v>579.59902066029906</v>
      </c>
      <c r="BH106" s="59">
        <f t="shared" si="62"/>
        <v>857.81778959006169</v>
      </c>
      <c r="BI106" s="59">
        <f ca="1">AVERAGE(OFFSET($BH$3,0,0,'Données projet'!$E$11+1,1))-AVERAGE(OFFSET($H$3,0,0,'Données projet'!$E$11+1,1))</f>
        <v>580.02848304986492</v>
      </c>
      <c r="BJ106" s="59">
        <f t="shared" si="92"/>
        <v>281.68891895586728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10.598867715466355</v>
      </c>
      <c r="BQ106" s="21">
        <f>EXP(-LN(2)/25)*BQ105+(1-EXP(-LN(2)/25))/(LN(2)/25)*Calculateur!BL106*Calculateur!BN106*VLOOKUP('Données projet'!$B$11,Paramètres!$A$1:$I$89,3,0)*0.475*44/12</f>
        <v>26.65092973086341</v>
      </c>
      <c r="BR106" s="21">
        <f>EXP(-LN(2)/2)*BR105+(1-EXP(-LN(2)/2))/(LN(2)/2)*BL106*BO106*VLOOKUP('Données projet'!$B$11,Paramètres!$A$1:$I$89,3,0)*0.475*44/12</f>
        <v>0.26311898579828047</v>
      </c>
      <c r="BS106" s="22">
        <f t="shared" si="63"/>
        <v>37.512916432128044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5.6843418860808015E-14</v>
      </c>
      <c r="BZ106" s="13">
        <f>BY106*VLOOKUP('Données projet'!$B$12,Paramètres!$A$1:$I$89,3,0)*VLOOKUP('Données projet'!$B$12,Paramètres!$A$1:$I$89,5,0)</f>
        <v>4.4337866711430253E-14</v>
      </c>
      <c r="CA106" s="13">
        <f t="shared" si="93"/>
        <v>7.3222115536967035E-13</v>
      </c>
      <c r="CB106" s="20">
        <f t="shared" si="64"/>
        <v>1.3525069634579169E-12</v>
      </c>
      <c r="CC106" s="59">
        <f t="shared" si="65"/>
        <v>278.21876892976405</v>
      </c>
      <c r="CD106" s="59">
        <f ca="1">AVERAGE(OFFSET($CC$3,0,0,'Données projet'!$E$12+1,1))-AVERAGE(OFFSET($H$3,0,0,'Données projet'!$E$12+1,1))</f>
        <v>308.85018589589453</v>
      </c>
      <c r="CE106" s="59">
        <f t="shared" si="94"/>
        <v>302.59481222418219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21.929310457125254</v>
      </c>
      <c r="CL106" s="21">
        <f>EXP(-LN(2)/25)*CL105+(1-EXP(-LN(2)/25))/(LN(2)/25)*Calculateur!CG106*Calculateur!CI106*VLOOKUP('Données projet'!$B$12,Paramètres!$A$1:$I$89,3,0)*0.475*44/12</f>
        <v>16.493037112797005</v>
      </c>
      <c r="CM106" s="21">
        <f>EXP(-LN(2)/2)*CM105+(1-EXP(-LN(2)/2))/(LN(2)/2)*CG106*CJ106*VLOOKUP('Données projet'!$B$12,Paramètres!$A$1:$I$89,3,0)*0.475*44/12</f>
        <v>4.6353165934206759E-4</v>
      </c>
      <c r="CN106" s="22">
        <f t="shared" si="66"/>
        <v>38.422811101581601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3.2051282051282102</v>
      </c>
      <c r="CT106" s="12">
        <f>IF('Données projet'!$A$140&gt;35,CT105+CS106-DB105,IF(A106&lt;'Données projet'!$A$140,$CQ$205^A106,IF(A106='Données projet'!$A$140,'Données projet'!$B$140,CT105+CS106-DB105)))</f>
        <v>294.87179487179515</v>
      </c>
      <c r="CU106" s="17">
        <f>CT106*VLOOKUP('Données projet'!$B$13,Paramètres!$A$1:$I$89,3,0)*VLOOKUP('Données projet'!$B$13,Paramètres!$A$1:$I$89,5,0)</f>
        <v>197.80000000000018</v>
      </c>
      <c r="CV106" s="13">
        <f t="shared" si="95"/>
        <v>49.260363505790551</v>
      </c>
      <c r="CW106" s="20">
        <f t="shared" si="67"/>
        <v>430.29679977258553</v>
      </c>
      <c r="CX106" s="59">
        <f t="shared" si="68"/>
        <v>708.51556870234822</v>
      </c>
      <c r="CY106" s="59">
        <f ca="1">AVERAGE(OFFSET($CX$3,0,0,'Données projet'!$E$13+1,1))-AVERAGE(OFFSET($H$3,0,0,'Données projet'!$E$13+1,1))</f>
        <v>335.73816489539837</v>
      </c>
      <c r="CZ106" s="59">
        <f t="shared" si="96"/>
        <v>254.09787950201044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7.2601722079066304</v>
      </c>
      <c r="DG106" s="21">
        <f>EXP(-LN(2)/25)*DG105+(1-EXP(-LN(2)/25))/(LN(2)/25)*Calculateur!DB106*Calculateur!DD106*VLOOKUP('Données projet'!$B$13,Paramètres!$A$1:$I$89,3,0)*0.475*44/12</f>
        <v>8.4197785964939236</v>
      </c>
      <c r="DH106" s="21">
        <f>EXP(-LN(2)/2)*DH105+(1-EXP(-LN(2)/2))/(LN(2)/2)*DB106*DE106*VLOOKUP('Données projet'!$B$13,Paramètres!$A$1:$I$89,3,0)*0.475*44/12</f>
        <v>0.74965400966910833</v>
      </c>
      <c r="DI106" s="22">
        <f t="shared" si="69"/>
        <v>16.429604814069663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371.4</v>
      </c>
      <c r="DM106" s="12">
        <f>VLOOKUP(A106,'Données projet'!$A$165:$I$185,9,0)</f>
        <v>8.9989999999999952</v>
      </c>
      <c r="DN106" s="12">
        <f t="array" ref="DN106">INDEX(DM:DM,MIN(IF(ISNUMBER(DM106:DM302),ROW(DM106:DM302),"")))</f>
        <v>8.9989999999999952</v>
      </c>
      <c r="DO106" s="12">
        <f>IF('Données projet'!$A$166&gt;35,DO105+DN106-DW105,IF(A106&lt;'Données projet'!$A$166,$DL$205^A106,IF(A106='Données projet'!$A$166,'Données projet'!$B$166,DO105+DN106-DW105)))</f>
        <v>371.40000000000009</v>
      </c>
      <c r="DP106" s="17">
        <f>DO106*VLOOKUP('Données projet'!$B$14,Paramètres!$A$1:$I$89,3,0)*VLOOKUP('Données projet'!$B$14,Paramètres!$A$1:$I$89,5,0)</f>
        <v>359.2180800000001</v>
      </c>
      <c r="DQ106" s="13">
        <f t="shared" si="97"/>
        <v>83.457728297661177</v>
      </c>
      <c r="DR106" s="20">
        <f t="shared" si="70"/>
        <v>770.99369945175988</v>
      </c>
      <c r="DS106" s="59">
        <f t="shared" si="71"/>
        <v>1049.2124683815225</v>
      </c>
      <c r="DT106" s="59">
        <f ca="1">AVERAGE(OFFSET($DS$3,0,0,'Données projet'!$E$14+1,1))-AVERAGE(OFFSET($H$3,0,0,'Données projet'!$E$14+1,1))</f>
        <v>493.03862850474161</v>
      </c>
      <c r="DU106" s="59">
        <f t="shared" si="98"/>
        <v>312.51819065560528</v>
      </c>
      <c r="DV106" s="15">
        <f>IF(ISNA(VLOOKUP(A106,'Données projet'!$A$165:$I$185,3,0)),0,VLOOKUP(A106,'Données projet'!$A$165:$I$185,3,0))</f>
        <v>9</v>
      </c>
      <c r="DW106" s="15">
        <f>IF(ISNA(VLOOKUP(A106,'Données projet'!$A$165:$I$185,4,0)),0,VLOOKUP(A106,'Données projet'!$A$165:$I$185,4,0))</f>
        <v>67.759999999999991</v>
      </c>
      <c r="DX106" s="16">
        <f>IF(ISNA(VLOOKUP(A106,'Données projet'!$A$165:$I$185,5,0)),0%,VLOOKUP(A106,'Données projet'!$A$165:$I$185,5,0)*VLOOKUP('Données projet'!$B$14,Paramètres!$A$1:$I$89,7,0))</f>
        <v>0.215</v>
      </c>
      <c r="DY106" s="16">
        <f>IF(ISNA(VLOOKUP(A106,'Données projet'!$A$165:$I$185,6,0)),0%,VLOOKUP(A106,'Données projet'!$A$165:$I$185,6,0)*VLOOKUP('Données projet'!$B$14,Paramètres!$A$1:$I$89,7,0))</f>
        <v>8.6000000000000007E-2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46.506023768131179</v>
      </c>
      <c r="EB106" s="21">
        <f>EXP(-LN(2)/25)*EB105+(1-EXP(-LN(2)/25))/(LN(2)/25)*Calculateur!DW106*Calculateur!DY106*VLOOKUP('Données projet'!$B$14,Paramètres!$A$1:$I$89,3,0)*0.475*44/12</f>
        <v>26.291201580560813</v>
      </c>
      <c r="EC106" s="21">
        <f>EXP(-LN(2)/2)*EC105+(1-EXP(-LN(2)/2))/(LN(2)/2)*DW106*DZ106*VLOOKUP('Données projet'!$B$14,Paramètres!$A$1:$I$89,3,0)*0.475*44/12</f>
        <v>4.7123987154909144E-3</v>
      </c>
      <c r="ED106" s="22">
        <f t="shared" si="72"/>
        <v>72.801937747407493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371.4</v>
      </c>
      <c r="EH106" s="12">
        <f>VLOOKUP(A106,'Données projet'!$A$191:$I$211,9,0)</f>
        <v>8.9989999999999952</v>
      </c>
      <c r="EI106" s="12">
        <f t="array" ref="EI106">INDEX(EH:EH,MIN(IF(ISNUMBER(EH106:EH302),ROW(EH106:EH302),"")))</f>
        <v>8.9989999999999952</v>
      </c>
      <c r="EJ106" s="12">
        <f>IF('Données projet'!$A$192&gt;35,EJ105+EI106-ER105,IF(A106&lt;'Données projet'!$A$192,$EG$205^A106,IF(A106='Données projet'!$A$192,'Données projet'!$B$192,EJ105+EI106-ER105)))</f>
        <v>371.40000000000009</v>
      </c>
      <c r="EK106" s="17">
        <f>EJ106*VLOOKUP('Données projet'!$B$15,Paramètres!$A$1:$I$89,3,0)*VLOOKUP('Données projet'!$B$15,Paramètres!$A$1:$I$89,5,0)</f>
        <v>399.77496000000002</v>
      </c>
      <c r="EL106" s="13">
        <f t="shared" si="99"/>
        <v>91.731040320653179</v>
      </c>
      <c r="EM106" s="20">
        <f t="shared" si="73"/>
        <v>856.03961722513759</v>
      </c>
      <c r="EN106" s="59">
        <f t="shared" si="74"/>
        <v>1134.2583861549003</v>
      </c>
      <c r="EO106" s="59">
        <f ca="1">AVERAGE(OFFSET($EN$3,0,0,'Données projet'!$E$15+1,1))-AVERAGE(OFFSET($H$3,0,0,'Données projet'!$E$15+1,1))</f>
        <v>539.72194201710272</v>
      </c>
      <c r="EP106" s="59">
        <f t="shared" si="100"/>
        <v>340.76505385159362</v>
      </c>
      <c r="EQ106" s="15">
        <f>IF(ISNA(VLOOKUP(A106,'Données projet'!$A$191:$I$211,3,0)),0,VLOOKUP(A106,'Données projet'!$A$191:$I$211,3,0))</f>
        <v>9</v>
      </c>
      <c r="ER106" s="15">
        <f>IF(ISNA(VLOOKUP(A106,'Données projet'!$A$191:$I$211,4,0)),0,VLOOKUP(A106,'Données projet'!$A$191:$I$211,4,0))</f>
        <v>67.759999999999991</v>
      </c>
      <c r="ES106" s="16">
        <f>IF(ISNA(VLOOKUP(A106,'Données projet'!$A$191:$I$211,5,0)),0%,VLOOKUP(A106,'Données projet'!$A$191:$I$211,5,0)*VLOOKUP('Données projet'!$B$15,Paramètres!$A$1:$I$89,7,0))</f>
        <v>0.215</v>
      </c>
      <c r="ET106" s="16">
        <f>IF(ISNA(VLOOKUP(A106,'Données projet'!$A$191:$I$211,6,0)),0%,VLOOKUP(A106,'Données projet'!$A$191:$I$211,6,0)*VLOOKUP('Données projet'!$B$15,Paramètres!$A$1:$I$89,7,0))</f>
        <v>8.6000000000000007E-2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51.75670387098468</v>
      </c>
      <c r="EW106" s="21">
        <f>EXP(-LN(2)/25)*EW105+(1-EXP(-LN(2)/25))/(LN(2)/25)*Calculateur!ER106*Calculateur!ET106*VLOOKUP('Données projet'!$B$15,Paramètres!$A$1:$I$89,3,0)*0.475*44/12</f>
        <v>29.259563049333803</v>
      </c>
      <c r="EX106" s="21">
        <f>EXP(-LN(2)/2)*EX105+(1-EXP(-LN(2)/2))/(LN(2)/2)*ER106*EU106*VLOOKUP('Données projet'!$B$15,Paramètres!$A$1:$I$89,3,0)*0.475*44/12</f>
        <v>5.2444437317560235E-3</v>
      </c>
      <c r="EY106" s="22">
        <f t="shared" si="75"/>
        <v>81.021511364050241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>
        <f>FE106*VLOOKUP('Données projet'!$B$16,Paramètres!$A$1:$I$89,3,0)*VLOOKUP('Données projet'!$B$16,Paramètres!$A$1:$I$89,5,0)</f>
        <v>0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383.47860767209028</v>
      </c>
      <c r="FK106" s="59">
        <f t="shared" si="102"/>
        <v>370.49129421395628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33.609896651290377</v>
      </c>
      <c r="FR106" s="21">
        <f>EXP(-LN(2)/25)*FR105+(1-EXP(-LN(2)/25))/(LN(2)/25)*Calculateur!FM106*Calculateur!FO106*VLOOKUP('Données projet'!$B$16,Paramètres!$A$1:$I$89,3,0)*0.475*44/12</f>
        <v>27.656927145120502</v>
      </c>
      <c r="FS106" s="21">
        <f>EXP(-LN(2)/2)*FS105+(1-EXP(-LN(2)/2))/(LN(2)/2)*FM106*FP106*VLOOKUP('Données projet'!$B$16,Paramètres!$A$1:$I$89,3,0)*0.475*44/12</f>
        <v>2.1974609899100963E-2</v>
      </c>
      <c r="FT106" s="22">
        <f t="shared" si="78"/>
        <v>61.288798406309979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6.7777777777777777</v>
      </c>
      <c r="FZ106" s="12">
        <f>IF('Données projet'!$A$244&gt;35,FZ105+FY106-GH105,IF(A106&lt;'Données projet'!$A$244,$FW$205^A106,IF(A106='Données projet'!$A$244,'Données projet'!$B$244,FZ105+FY106-GH105)))</f>
        <v>264.59222222222206</v>
      </c>
      <c r="GA106" s="17">
        <f>FZ106*VLOOKUP('Données projet'!$B$17,Paramètres!$A$1:$I$89,3,0)*VLOOKUP('Données projet'!$B$17,Paramètres!$A$1:$I$89,5,0)</f>
        <v>301.31762266666647</v>
      </c>
      <c r="GB106" s="13">
        <f t="shared" si="103"/>
        <v>71.452617304074849</v>
      </c>
      <c r="GC106" s="20">
        <f t="shared" si="79"/>
        <v>649.24150128237454</v>
      </c>
      <c r="GD106" s="59">
        <f t="shared" si="80"/>
        <v>927.46027021213717</v>
      </c>
      <c r="GE106" s="59">
        <f ca="1">AVERAGE(OFFSET($GD$3,0,0,'Données projet'!$E$17+1,1))-AVERAGE(OFFSET($H$3,0,0,'Données projet'!$E$17+1,1))</f>
        <v>640.05156427113661</v>
      </c>
      <c r="GF106" s="59">
        <f t="shared" si="104"/>
        <v>308.77220155372902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11.903343741985291</v>
      </c>
      <c r="GM106" s="21">
        <f>EXP(-LN(2)/25)*GM105+(1-EXP(-LN(2)/25))/(LN(2)/25)*Calculateur!GH106*Calculateur!GJ106*VLOOKUP('Données projet'!$B$17,Paramètres!$A$1:$I$89,3,0)*0.475*44/12</f>
        <v>29.931044159277384</v>
      </c>
      <c r="GN106" s="21">
        <f>EXP(-LN(2)/2)*GN105+(1-EXP(-LN(2)/2))/(LN(2)/2)*GH106*GK106*VLOOKUP('Données projet'!$B$17,Paramètres!$A$1:$I$89,3,0)*0.475*44/12</f>
        <v>0.29550286097345352</v>
      </c>
      <c r="GO106" s="21">
        <f t="shared" si="81"/>
        <v>42.12989076223613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3.3666666666666694</v>
      </c>
      <c r="N107" s="13">
        <f>IF('Données projet'!$A$36&gt;35,N106+M107-V106,IF(A107&lt;'Données projet'!$A$36,$K$205^A107,IF(A107='Données projet'!$A$36,'Données projet'!$B$36,N106+M107-V106)))</f>
        <v>124.72666666666673</v>
      </c>
      <c r="O107" s="13">
        <f>N107*VLOOKUP('Données projet'!$B$9,Paramètres!$A$1:$I$89,3,0)*VLOOKUP('Données projet'!$B$9,Paramètres!$A$1:$I$89,5,0)</f>
        <v>105.06974400000007</v>
      </c>
      <c r="P107" s="13">
        <f t="shared" si="87"/>
        <v>28.166295917869327</v>
      </c>
      <c r="Q107" s="20">
        <f t="shared" si="107"/>
        <v>232.05276952362252</v>
      </c>
      <c r="R107" s="59">
        <f t="shared" si="55"/>
        <v>510.53374235468345</v>
      </c>
      <c r="S107" s="59">
        <f ca="1">AVERAGE(OFFSET($R$3,0,0,'Données projet'!$E$9+1,1))-AVERAGE(OFFSET($H$3,0,0,'Données projet'!$E$9+1,1))</f>
        <v>456.35333554128226</v>
      </c>
      <c r="T107" s="59">
        <f t="shared" si="88"/>
        <v>296.4517290984877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102.6388244467099</v>
      </c>
      <c r="AA107" s="21">
        <f>EXP(-LN(2)/25)*AA106+(1-EXP(-LN(2)/25))/(LN(2)/25)*Calculateur!V107*Calculateur!X107*VLOOKUP('Données projet'!$B$9,Paramètres!$A$1:$I$89,3,0)*0.475*44/12</f>
        <v>26.803981855235889</v>
      </c>
      <c r="AB107" s="21">
        <f>EXP(-LN(2)/2)*AB106+(1-EXP(-LN(2)/2))/(LN(2)/2)*V107*Y107*VLOOKUP('Données projet'!$B$9,Paramètres!$A$1:$I$89,3,0)*0.475*44/12</f>
        <v>4.397250350057953</v>
      </c>
      <c r="AC107" s="22">
        <f t="shared" si="57"/>
        <v>133.84005665200374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408.246209980743</v>
      </c>
      <c r="AO107" s="59">
        <f t="shared" si="90"/>
        <v>394.10236303013903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35.485506083969121</v>
      </c>
      <c r="AV107" s="21">
        <f>EXP(-LN(2)/25)*AV106+(1-EXP(-LN(2)/25))/(LN(2)/25)*Calculateur!AQ107*Calculateur!AS107*VLOOKUP('Données projet'!$B$10,Paramètres!$A$1:$I$89,3,0)*0.475*44/12</f>
        <v>28.969927557762791</v>
      </c>
      <c r="AW107" s="21">
        <f>EXP(-LN(2)/2)*AW106+(1-EXP(-LN(2)/2))/(LN(2)/2)*AQ107*AT107*VLOOKUP('Données projet'!$B$10,Paramètres!$A$1:$I$89,3,0)*0.475*44/12</f>
        <v>1.6733656879243559E-2</v>
      </c>
      <c r="AX107" s="21">
        <f t="shared" si="60"/>
        <v>64.472167298611154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271.37</v>
      </c>
      <c r="BB107" s="12">
        <f>VLOOKUP(A107,'Données projet'!$A$87:$I$107,9,0)</f>
        <v>6.7777777777777777</v>
      </c>
      <c r="BC107" s="12">
        <f t="array" ref="BC107">INDEX(BB:BB,MIN(IF(ISNUMBER(BB107:BB303),ROW(BB107:BB303),"")))</f>
        <v>6.7777777777777777</v>
      </c>
      <c r="BD107" s="12">
        <f>IF('Données projet'!$A$88&gt;35,BD106+BC107-BL106,IF(A107&lt;'Données projet'!$A$88,$BA$205^A107,IF(A107='Données projet'!$A$88,'Données projet'!$B$88,BD106+BC107-BL106)))</f>
        <v>271.36999999999983</v>
      </c>
      <c r="BE107" s="13">
        <f>BD107*VLOOKUP('Données projet'!$B$11,Paramètres!$A$1:$I$89,3,0)*VLOOKUP('Données projet'!$B$11,Paramètres!$A$1:$I$89,5,0)</f>
        <v>275.16917999999981</v>
      </c>
      <c r="BF107" s="13">
        <f t="shared" si="91"/>
        <v>65.945086005549797</v>
      </c>
      <c r="BG107" s="20">
        <f t="shared" si="61"/>
        <v>594.10734662633229</v>
      </c>
      <c r="BH107" s="59">
        <f t="shared" si="62"/>
        <v>872.58831945739325</v>
      </c>
      <c r="BI107" s="59">
        <f ca="1">AVERAGE(OFFSET($BH$3,0,0,'Données projet'!$E$11+1,1))-AVERAGE(OFFSET($H$3,0,0,'Données projet'!$E$11+1,1))</f>
        <v>580.02848304986492</v>
      </c>
      <c r="BJ107" s="59">
        <f t="shared" si="92"/>
        <v>281.68891895586728</v>
      </c>
      <c r="BK107" s="15">
        <f>IF(ISNA(VLOOKUP(A107,'Données projet'!$A$87:$I$107,3,0)),0,VLOOKUP(A107,'Données projet'!$A$87:$I$107,3,0))</f>
        <v>6</v>
      </c>
      <c r="BL107" s="15">
        <f>IF(ISNA(VLOOKUP(A107,'Données projet'!$A$87:$I$107,4,0)),0,VLOOKUP(A107,'Données projet'!$A$87:$I$107,4,0))</f>
        <v>39.400000000000006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17.037909601686799</v>
      </c>
      <c r="BQ107" s="21">
        <f>EXP(-LN(2)/25)*BQ106+(1-EXP(-LN(2)/25))/(LN(2)/25)*Calculateur!BL107*Calculateur!BN107*VLOOKUP('Données projet'!$B$11,Paramètres!$A$1:$I$89,3,0)*0.475*44/12</f>
        <v>29.705420325182111</v>
      </c>
      <c r="BR107" s="21">
        <f>EXP(-LN(2)/2)*BR106+(1-EXP(-LN(2)/2))/(LN(2)/2)*BL107*BO107*VLOOKUP('Données projet'!$B$11,Paramètres!$A$1:$I$89,3,0)*0.475*44/12</f>
        <v>3.9555942072717549</v>
      </c>
      <c r="BS107" s="22">
        <f t="shared" si="63"/>
        <v>50.698924134140668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4.4337866711430253E-14</v>
      </c>
      <c r="CA107" s="13">
        <f t="shared" si="93"/>
        <v>7.3222115536967035E-13</v>
      </c>
      <c r="CB107" s="20">
        <f t="shared" si="64"/>
        <v>1.3525069634579169E-12</v>
      </c>
      <c r="CC107" s="59">
        <f t="shared" si="65"/>
        <v>278.48097283106227</v>
      </c>
      <c r="CD107" s="59">
        <f ca="1">AVERAGE(OFFSET($CC$3,0,0,'Données projet'!$E$12+1,1))-AVERAGE(OFFSET($H$3,0,0,'Données projet'!$E$12+1,1))</f>
        <v>308.85018589589453</v>
      </c>
      <c r="CE107" s="59">
        <f t="shared" si="94"/>
        <v>302.59481222418219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21.499290054619681</v>
      </c>
      <c r="CL107" s="21">
        <f>EXP(-LN(2)/25)*CL106+(1-EXP(-LN(2)/25))/(LN(2)/25)*Calculateur!CG107*Calculateur!CI107*VLOOKUP('Données projet'!$B$12,Paramètres!$A$1:$I$89,3,0)*0.475*44/12</f>
        <v>16.042034145616444</v>
      </c>
      <c r="CM107" s="21">
        <f>EXP(-LN(2)/2)*CM106+(1-EXP(-LN(2)/2))/(LN(2)/2)*CG107*CJ107*VLOOKUP('Données projet'!$B$12,Paramètres!$A$1:$I$89,3,0)*0.475*44/12</f>
        <v>3.2776637961542867E-4</v>
      </c>
      <c r="CN107" s="22">
        <f t="shared" si="66"/>
        <v>37.541651966615738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3.2051282051282102</v>
      </c>
      <c r="CT107" s="12">
        <f>IF('Données projet'!$A$140&gt;35,CT106+CS107-DB106,IF(A107&lt;'Données projet'!$A$140,$CQ$205^A107,IF(A107='Données projet'!$A$140,'Données projet'!$B$140,CT106+CS107-DB106)))</f>
        <v>298.07692307692338</v>
      </c>
      <c r="CU107" s="17">
        <f>CT107*VLOOKUP('Données projet'!$B$13,Paramètres!$A$1:$I$89,3,0)*VLOOKUP('Données projet'!$B$13,Paramètres!$A$1:$I$89,5,0)</f>
        <v>199.95000000000019</v>
      </c>
      <c r="CV107" s="13">
        <f t="shared" si="95"/>
        <v>49.733179078835356</v>
      </c>
      <c r="CW107" s="20">
        <f t="shared" si="67"/>
        <v>434.86487022897182</v>
      </c>
      <c r="CX107" s="59">
        <f t="shared" si="68"/>
        <v>713.34584306003273</v>
      </c>
      <c r="CY107" s="59">
        <f ca="1">AVERAGE(OFFSET($CX$3,0,0,'Données projet'!$E$13+1,1))-AVERAGE(OFFSET($H$3,0,0,'Données projet'!$E$13+1,1))</f>
        <v>335.73816489539837</v>
      </c>
      <c r="CZ107" s="59">
        <f t="shared" si="96"/>
        <v>254.09787950201044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7.1178046591773727</v>
      </c>
      <c r="DG107" s="21">
        <f>EXP(-LN(2)/25)*DG106+(1-EXP(-LN(2)/25))/(LN(2)/25)*Calculateur!DB107*Calculateur!DD107*VLOOKUP('Données projet'!$B$13,Paramètres!$A$1:$I$89,3,0)*0.475*44/12</f>
        <v>8.1895393079958847</v>
      </c>
      <c r="DH107" s="21">
        <f>EXP(-LN(2)/2)*DH106+(1-EXP(-LN(2)/2))/(LN(2)/2)*DB107*DE107*VLOOKUP('Données projet'!$B$13,Paramètres!$A$1:$I$89,3,0)*0.475*44/12</f>
        <v>0.53008543378071216</v>
      </c>
      <c r="DI107" s="22">
        <f t="shared" si="69"/>
        <v>15.837429400953969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8.7540000000000013</v>
      </c>
      <c r="DO107" s="12">
        <f>IF('Données projet'!$A$166&gt;35,DO106+DN107-DW106,IF(A107&lt;'Données projet'!$A$166,$DL$205^A107,IF(A107='Données projet'!$A$166,'Données projet'!$B$166,DO106+DN107-DW106)))</f>
        <v>312.39400000000012</v>
      </c>
      <c r="DP107" s="17">
        <f>DO107*VLOOKUP('Données projet'!$B$14,Paramètres!$A$1:$I$89,3,0)*VLOOKUP('Données projet'!$B$14,Paramètres!$A$1:$I$89,5,0)</f>
        <v>302.14747680000016</v>
      </c>
      <c r="DQ107" s="13">
        <f t="shared" si="97"/>
        <v>71.626470040803227</v>
      </c>
      <c r="DR107" s="20">
        <f t="shared" si="70"/>
        <v>650.98962408106581</v>
      </c>
      <c r="DS107" s="59">
        <f t="shared" si="71"/>
        <v>929.47059691212667</v>
      </c>
      <c r="DT107" s="59">
        <f ca="1">AVERAGE(OFFSET($DS$3,0,0,'Données projet'!$E$14+1,1))-AVERAGE(OFFSET($H$3,0,0,'Données projet'!$E$14+1,1))</f>
        <v>493.03862850474161</v>
      </c>
      <c r="DU107" s="59">
        <f t="shared" si="98"/>
        <v>312.51819065560528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45.594069007911727</v>
      </c>
      <c r="EB107" s="21">
        <f>EXP(-LN(2)/25)*EB106+(1-EXP(-LN(2)/25))/(LN(2)/25)*Calculateur!DW107*Calculateur!DY107*VLOOKUP('Données projet'!$B$14,Paramètres!$A$1:$I$89,3,0)*0.475*44/12</f>
        <v>25.572267290746176</v>
      </c>
      <c r="EC107" s="21">
        <f>EXP(-LN(2)/2)*EC106+(1-EXP(-LN(2)/2))/(LN(2)/2)*DW107*DZ107*VLOOKUP('Données projet'!$B$14,Paramètres!$A$1:$I$89,3,0)*0.475*44/12</f>
        <v>3.3321690873784017E-3</v>
      </c>
      <c r="ED107" s="22">
        <f t="shared" si="72"/>
        <v>71.169668467745282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8.7540000000000013</v>
      </c>
      <c r="EJ107" s="12">
        <f>IF('Données projet'!$A$192&gt;35,EJ106+EI107-ER106,IF(A107&lt;'Données projet'!$A$192,$EG$205^A107,IF(A107='Données projet'!$A$192,'Données projet'!$B$192,EJ106+EI107-ER106)))</f>
        <v>312.39400000000012</v>
      </c>
      <c r="EK107" s="17">
        <f>EJ107*VLOOKUP('Données projet'!$B$15,Paramètres!$A$1:$I$89,3,0)*VLOOKUP('Données projet'!$B$15,Paramètres!$A$1:$I$89,5,0)</f>
        <v>336.26090160000012</v>
      </c>
      <c r="EL107" s="13">
        <f t="shared" si="99"/>
        <v>78.726928534467632</v>
      </c>
      <c r="EM107" s="20">
        <f t="shared" si="73"/>
        <v>722.77047081753142</v>
      </c>
      <c r="EN107" s="59">
        <f t="shared" si="74"/>
        <v>1001.2514436485924</v>
      </c>
      <c r="EO107" s="59">
        <f ca="1">AVERAGE(OFFSET($EN$3,0,0,'Données projet'!$E$15+1,1))-AVERAGE(OFFSET($H$3,0,0,'Données projet'!$E$15+1,1))</f>
        <v>539.72194201710272</v>
      </c>
      <c r="EP107" s="59">
        <f t="shared" si="100"/>
        <v>340.76505385159362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50.741786476546906</v>
      </c>
      <c r="EW107" s="21">
        <f>EXP(-LN(2)/25)*EW106+(1-EXP(-LN(2)/25))/(LN(2)/25)*Calculateur!ER107*Calculateur!ET107*VLOOKUP('Données projet'!$B$15,Paramètres!$A$1:$I$89,3,0)*0.475*44/12</f>
        <v>28.459458759056222</v>
      </c>
      <c r="EX107" s="21">
        <f>EXP(-LN(2)/2)*EX106+(1-EXP(-LN(2)/2))/(LN(2)/2)*ER107*EU107*VLOOKUP('Données projet'!$B$15,Paramètres!$A$1:$I$89,3,0)*0.475*44/12</f>
        <v>3.7083817262759675E-3</v>
      </c>
      <c r="EY107" s="22">
        <f t="shared" si="75"/>
        <v>79.204953617329394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>
        <f>FE107*VLOOKUP('Données projet'!$B$16,Paramètres!$A$1:$I$89,3,0)*VLOOKUP('Données projet'!$B$16,Paramètres!$A$1:$I$89,5,0)</f>
        <v>0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383.47860767209028</v>
      </c>
      <c r="FK107" s="59">
        <f t="shared" si="102"/>
        <v>370.49129421395628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32.950827077971319</v>
      </c>
      <c r="FR107" s="21">
        <f>EXP(-LN(2)/25)*FR106+(1-EXP(-LN(2)/25))/(LN(2)/25)*Calculateur!FM107*Calculateur!FO107*VLOOKUP('Données projet'!$B$16,Paramètres!$A$1:$I$89,3,0)*0.475*44/12</f>
        <v>26.900647017922594</v>
      </c>
      <c r="FS107" s="21">
        <f>EXP(-LN(2)/2)*FS106+(1-EXP(-LN(2)/2))/(LN(2)/2)*FM107*FP107*VLOOKUP('Données projet'!$B$16,Paramètres!$A$1:$I$89,3,0)*0.475*44/12</f>
        <v>1.5538395673583326E-2</v>
      </c>
      <c r="FT107" s="22">
        <f t="shared" si="78"/>
        <v>59.867012491567493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>
        <f>VLOOKUP(A107,'Données projet'!$A$243:$I$263,2,0)</f>
        <v>271.37</v>
      </c>
      <c r="FX107" s="12">
        <f>VLOOKUP(A107,'Données projet'!$A$243:$I$263,9,0)</f>
        <v>6.7777777777777777</v>
      </c>
      <c r="FY107" s="12">
        <f t="array" ref="FY107">INDEX(FX:FX,MIN(IF(ISNUMBER(FX107:FX303),ROW(FX107:FX303),"")))</f>
        <v>6.7777777777777777</v>
      </c>
      <c r="FZ107" s="12">
        <f>IF('Données projet'!$A$244&gt;35,FZ106+FY107-GH106,IF(A107&lt;'Données projet'!$A$244,$FW$205^A107,IF(A107='Données projet'!$A$244,'Données projet'!$B$244,FZ106+FY107-GH106)))</f>
        <v>271.36999999999983</v>
      </c>
      <c r="GA107" s="17">
        <f>FZ107*VLOOKUP('Données projet'!$B$17,Paramètres!$A$1:$I$89,3,0)*VLOOKUP('Données projet'!$B$17,Paramètres!$A$1:$I$89,5,0)</f>
        <v>309.03615599999983</v>
      </c>
      <c r="GB107" s="13">
        <f t="shared" si="103"/>
        <v>73.067504716284731</v>
      </c>
      <c r="GC107" s="20">
        <f t="shared" si="79"/>
        <v>665.49720908086226</v>
      </c>
      <c r="GD107" s="59">
        <f t="shared" si="80"/>
        <v>943.97818191192323</v>
      </c>
      <c r="GE107" s="59">
        <f ca="1">AVERAGE(OFFSET($GD$3,0,0,'Données projet'!$E$17+1,1))-AVERAGE(OFFSET($H$3,0,0,'Données projet'!$E$17+1,1))</f>
        <v>640.05156427113661</v>
      </c>
      <c r="GF107" s="59">
        <f t="shared" si="104"/>
        <v>308.77220155372902</v>
      </c>
      <c r="GG107" s="15">
        <f>IF(ISNA(VLOOKUP(A107,'Données projet'!$A$243:$I$263,3,0)),0,VLOOKUP(A107,'Données projet'!$A$243:$I$263,3,0))</f>
        <v>6</v>
      </c>
      <c r="GH107" s="15">
        <f>IF(ISNA(VLOOKUP(A107,'Données projet'!$A$243:$I$263,4,0)),0,VLOOKUP(A107,'Données projet'!$A$243:$I$263,4,0))</f>
        <v>39.400000000000006</v>
      </c>
      <c r="GI107" s="16">
        <f>IF(ISNA(VLOOKUP(A107,'Données projet'!$A$243:$I$263,5,0)),0%,VLOOKUP(A107,'Données projet'!$A$243:$I$263,5,0)*VLOOKUP('Données projet'!$B$17,Paramètres!$A$1:$I$89,7,0))</f>
        <v>0.15049999999999999</v>
      </c>
      <c r="GJ107" s="16">
        <f>IF(ISNA(VLOOKUP(A107,'Données projet'!$A$243:$I$263,6,0)),0%,VLOOKUP(A107,'Données projet'!$A$243:$I$263,6,0)*VLOOKUP('Données projet'!$B$17,Paramètres!$A$1:$I$89,7,0))</f>
        <v>8.6000000000000007E-2</v>
      </c>
      <c r="GK107" s="16">
        <f>IF(ISNA(VLOOKUP(A107,'Données projet'!$A$243:$I$263,7,0)),0%,VLOOKUP(A107,'Données projet'!$A$243:$I$263,7,0))</f>
        <v>0.1</v>
      </c>
      <c r="GL107" s="21">
        <f>EXP(-LN(2)/35)*GL106+(1-EXP(-LN(2)/35))/(LN(2)/35)*GH107*GI107*VLOOKUP('Données projet'!$B$17,Paramètres!$A$1:$I$89,3,0)*0.475*44/12</f>
        <v>19.134883091125175</v>
      </c>
      <c r="GM107" s="21">
        <f>EXP(-LN(2)/25)*GM106+(1-EXP(-LN(2)/25))/(LN(2)/25)*Calculateur!GH107*Calculateur!GJ107*VLOOKUP('Données projet'!$B$17,Paramètres!$A$1:$I$89,3,0)*0.475*44/12</f>
        <v>33.361472057512231</v>
      </c>
      <c r="GN107" s="21">
        <f>EXP(-LN(2)/2)*GN106+(1-EXP(-LN(2)/2))/(LN(2)/2)*GH107*GK107*VLOOKUP('Données projet'!$B$17,Paramètres!$A$1:$I$89,3,0)*0.475*44/12</f>
        <v>4.4424365712436629</v>
      </c>
      <c r="GO107" s="21">
        <f t="shared" si="81"/>
        <v>56.938791719881067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3.3666666666666694</v>
      </c>
      <c r="N108" s="13">
        <f>IF('Données projet'!$A$36&gt;35,N107+M108-V107,IF(A108&lt;'Données projet'!$A$36,$K$205^A108,IF(A108='Données projet'!$A$36,'Données projet'!$B$36,N107+M108-V107)))</f>
        <v>128.09333333333339</v>
      </c>
      <c r="O108" s="13">
        <f>N108*VLOOKUP('Données projet'!$B$9,Paramètres!$A$1:$I$89,3,0)*VLOOKUP('Données projet'!$B$9,Paramètres!$A$1:$I$89,5,0)</f>
        <v>107.90582400000005</v>
      </c>
      <c r="P108" s="13">
        <f t="shared" si="87"/>
        <v>28.837029763814225</v>
      </c>
      <c r="Q108" s="20">
        <f t="shared" si="107"/>
        <v>238.1604703053099</v>
      </c>
      <c r="R108" s="59">
        <f t="shared" si="55"/>
        <v>516.89909838618166</v>
      </c>
      <c r="S108" s="59">
        <f ca="1">AVERAGE(OFFSET($R$3,0,0,'Données projet'!$E$9+1,1))-AVERAGE(OFFSET($H$3,0,0,'Données projet'!$E$9+1,1))</f>
        <v>456.35333554128226</v>
      </c>
      <c r="T108" s="59">
        <f t="shared" si="88"/>
        <v>296.4517290984877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100.62613970281126</v>
      </c>
      <c r="AA108" s="21">
        <f>EXP(-LN(2)/25)*AA107+(1-EXP(-LN(2)/25))/(LN(2)/25)*Calculateur!V108*Calculateur!X108*VLOOKUP('Données projet'!$B$9,Paramètres!$A$1:$I$89,3,0)*0.475*44/12</f>
        <v>26.071025561844319</v>
      </c>
      <c r="AB108" s="21">
        <f>EXP(-LN(2)/2)*AB107+(1-EXP(-LN(2)/2))/(LN(2)/2)*V108*Y108*VLOOKUP('Données projet'!$B$9,Paramètres!$A$1:$I$89,3,0)*0.475*44/12</f>
        <v>3.1093255411008989</v>
      </c>
      <c r="AC108" s="22">
        <f t="shared" si="57"/>
        <v>129.80649080575648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408.246209980743</v>
      </c>
      <c r="AO108" s="59">
        <f t="shared" si="90"/>
        <v>394.10236303013903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34.78965695368403</v>
      </c>
      <c r="AV108" s="21">
        <f>EXP(-LN(2)/25)*AV107+(1-EXP(-LN(2)/25))/(LN(2)/25)*Calculateur!AQ108*Calculateur!AS108*VLOOKUP('Données projet'!$B$10,Paramètres!$A$1:$I$89,3,0)*0.475*44/12</f>
        <v>28.177743365233489</v>
      </c>
      <c r="AW108" s="21">
        <f>EXP(-LN(2)/2)*AW107+(1-EXP(-LN(2)/2))/(LN(2)/2)*AQ108*AT108*VLOOKUP('Données projet'!$B$10,Paramètres!$A$1:$I$89,3,0)*0.475*44/12</f>
        <v>1.1832482253362041E-2</v>
      </c>
      <c r="AX108" s="21">
        <f t="shared" si="60"/>
        <v>62.97923280117088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6.8811111111111085</v>
      </c>
      <c r="BD108" s="12">
        <f>IF('Données projet'!$A$88&gt;35,BD107+BC108-BL107,IF(A108&lt;'Données projet'!$A$88,$BA$205^A108,IF(A108='Données projet'!$A$88,'Données projet'!$B$88,BD107+BC108-BL107)))</f>
        <v>238.85111111111095</v>
      </c>
      <c r="BE108" s="13">
        <f>BD108*VLOOKUP('Données projet'!$B$11,Paramètres!$A$1:$I$89,3,0)*VLOOKUP('Données projet'!$B$11,Paramètres!$A$1:$I$89,5,0)</f>
        <v>242.19502666666651</v>
      </c>
      <c r="BF108" s="13">
        <f t="shared" si="91"/>
        <v>58.911550627030486</v>
      </c>
      <c r="BG108" s="20">
        <f t="shared" si="61"/>
        <v>524.42728878652235</v>
      </c>
      <c r="BH108" s="59">
        <f t="shared" si="62"/>
        <v>803.16591686739412</v>
      </c>
      <c r="BI108" s="59">
        <f ca="1">AVERAGE(OFFSET($BH$3,0,0,'Données projet'!$E$11+1,1))-AVERAGE(OFFSET($H$3,0,0,'Données projet'!$E$11+1,1))</f>
        <v>580.02848304986492</v>
      </c>
      <c r="BJ108" s="59">
        <f t="shared" si="92"/>
        <v>281.68891895586728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16.703806586496444</v>
      </c>
      <c r="BQ108" s="21">
        <f>EXP(-LN(2)/25)*BQ107+(1-EXP(-LN(2)/25))/(LN(2)/25)*Calculateur!BL108*Calculateur!BN108*VLOOKUP('Données projet'!$B$11,Paramètres!$A$1:$I$89,3,0)*0.475*44/12</f>
        <v>28.893124044249845</v>
      </c>
      <c r="BR108" s="21">
        <f>EXP(-LN(2)/2)*BR107+(1-EXP(-LN(2)/2))/(LN(2)/2)*BL108*BO108*VLOOKUP('Données projet'!$B$11,Paramètres!$A$1:$I$89,3,0)*0.475*44/12</f>
        <v>2.7970274875840837</v>
      </c>
      <c r="BS108" s="22">
        <f t="shared" si="63"/>
        <v>48.393958118330367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4.4337866711430253E-14</v>
      </c>
      <c r="CA108" s="13">
        <f t="shared" si="93"/>
        <v>7.3222115536967035E-13</v>
      </c>
      <c r="CB108" s="20">
        <f t="shared" si="64"/>
        <v>1.3525069634579169E-12</v>
      </c>
      <c r="CC108" s="59">
        <f t="shared" si="65"/>
        <v>278.73862808087313</v>
      </c>
      <c r="CD108" s="59">
        <f ca="1">AVERAGE(OFFSET($CC$3,0,0,'Données projet'!$E$12+1,1))-AVERAGE(OFFSET($H$3,0,0,'Données projet'!$E$12+1,1))</f>
        <v>308.85018589589453</v>
      </c>
      <c r="CE108" s="59">
        <f t="shared" si="94"/>
        <v>302.59481222418219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21.077702089920695</v>
      </c>
      <c r="CL108" s="21">
        <f>EXP(-LN(2)/25)*CL107+(1-EXP(-LN(2)/25))/(LN(2)/25)*Calculateur!CG108*Calculateur!CI108*VLOOKUP('Données projet'!$B$12,Paramètres!$A$1:$I$89,3,0)*0.475*44/12</f>
        <v>15.603363878290651</v>
      </c>
      <c r="CM108" s="21">
        <f>EXP(-LN(2)/2)*CM107+(1-EXP(-LN(2)/2))/(LN(2)/2)*CG108*CJ108*VLOOKUP('Données projet'!$B$12,Paramètres!$A$1:$I$89,3,0)*0.475*44/12</f>
        <v>2.3176582967103379E-4</v>
      </c>
      <c r="CN108" s="22">
        <f t="shared" si="66"/>
        <v>36.68129773404101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301.28205128205127</v>
      </c>
      <c r="CR108" s="12">
        <f>VLOOKUP(A108,'Données projet'!$A$139:$I$159,9,0)</f>
        <v>3.2051282051282102</v>
      </c>
      <c r="CS108" s="12">
        <f t="array" ref="CS108">INDEX(CR:CR,MIN(IF(ISNUMBER(CR108:CR304),ROW(CR108:CR304),"")))</f>
        <v>3.2051282051282102</v>
      </c>
      <c r="CT108" s="12">
        <f>IF('Données projet'!$A$140&gt;35,CT107+CS108-DB107,IF(A108&lt;'Données projet'!$A$140,$CQ$205^A108,IF(A108='Données projet'!$A$140,'Données projet'!$B$140,CT107+CS108-DB107)))</f>
        <v>301.28205128205161</v>
      </c>
      <c r="CU108" s="17">
        <f>CT108*VLOOKUP('Données projet'!$B$13,Paramètres!$A$1:$I$89,3,0)*VLOOKUP('Données projet'!$B$13,Paramètres!$A$1:$I$89,5,0)</f>
        <v>202.10000000000022</v>
      </c>
      <c r="CV108" s="13">
        <f t="shared" si="95"/>
        <v>50.205403227941737</v>
      </c>
      <c r="CW108" s="20">
        <f t="shared" si="67"/>
        <v>439.43191062199884</v>
      </c>
      <c r="CX108" s="59">
        <f t="shared" si="68"/>
        <v>718.17053870287054</v>
      </c>
      <c r="CY108" s="59">
        <f ca="1">AVERAGE(OFFSET($CX$3,0,0,'Données projet'!$E$13+1,1))-AVERAGE(OFFSET($H$3,0,0,'Données projet'!$E$13+1,1))</f>
        <v>335.73816489539837</v>
      </c>
      <c r="CZ108" s="59">
        <f t="shared" si="96"/>
        <v>254.09787950201044</v>
      </c>
      <c r="DA108" s="15">
        <f>IF(ISNA(VLOOKUP(A108,'Données projet'!$A$139:$I$159,3,0)),0,VLOOKUP(A108,'Données projet'!$A$139:$I$159,3,0))</f>
        <v>19</v>
      </c>
      <c r="DB108" s="15">
        <f>IF(ISNA(VLOOKUP(A108,'Données projet'!$A$139:$I$159,4,0)),0,VLOOKUP(A108,'Données projet'!$A$139:$I$159,4,0))</f>
        <v>10.897435897435898</v>
      </c>
      <c r="DC108" s="16">
        <f>IF(ISNA(VLOOKUP(A108,'Données projet'!$A$139:$I$159,5,0)),0%,VLOOKUP(A108,'Données projet'!$A$139:$I$159,5,0)*VLOOKUP('Données projet'!$B$13,Paramètres!$A$1:$I$89,7,0))</f>
        <v>0.13250000000000001</v>
      </c>
      <c r="DD108" s="16">
        <f>IF(ISNA(VLOOKUP(A108,'Données projet'!$A$139:$I$159,6,0)),0%,VLOOKUP(A108,'Données projet'!$A$139:$I$159,6,0)*VLOOKUP('Données projet'!$B$13,Paramètres!$A$1:$I$89,7,0))</f>
        <v>0.13250000000000001</v>
      </c>
      <c r="DE108" s="16">
        <f>IF(ISNA(VLOOKUP(A108,'Données projet'!$A$139:$I$159,7,0)),0%,VLOOKUP(A108,'Données projet'!$A$139:$I$159,7,0))</f>
        <v>0.25</v>
      </c>
      <c r="DF108" s="21">
        <f>EXP(-LN(2)/35)*DF107+(1-EXP(-LN(2)/35))/(LN(2)/35)*DB108*DC108*VLOOKUP('Données projet'!$B$13,Paramètres!$A$1:$I$89,3,0)*0.475*44/12</f>
        <v>8.0489598240991924</v>
      </c>
      <c r="DG108" s="21">
        <f>EXP(-LN(2)/25)*DG107+(1-EXP(-LN(2)/25))/(LN(2)/25)*Calculateur!DB108*Calculateur!DD108*VLOOKUP('Données projet'!$B$13,Paramètres!$A$1:$I$89,3,0)*0.475*44/12</f>
        <v>9.0321110219850897</v>
      </c>
      <c r="DH108" s="21">
        <f>EXP(-LN(2)/2)*DH107+(1-EXP(-LN(2)/2))/(LN(2)/2)*DB108*DE108*VLOOKUP('Données projet'!$B$13,Paramètres!$A$1:$I$89,3,0)*0.475*44/12</f>
        <v>2.0991224412759011</v>
      </c>
      <c r="DI108" s="22">
        <f t="shared" si="69"/>
        <v>19.180193287360183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8.7540000000000013</v>
      </c>
      <c r="DO108" s="12">
        <f>IF('Données projet'!$A$166&gt;35,DO107+DN108-DW107,IF(A108&lt;'Données projet'!$A$166,$DL$205^A108,IF(A108='Données projet'!$A$166,'Données projet'!$B$166,DO107+DN108-DW107)))</f>
        <v>321.14800000000014</v>
      </c>
      <c r="DP108" s="17">
        <f>DO108*VLOOKUP('Données projet'!$B$14,Paramètres!$A$1:$I$89,3,0)*VLOOKUP('Données projet'!$B$14,Paramètres!$A$1:$I$89,5,0)</f>
        <v>310.61434560000015</v>
      </c>
      <c r="DQ108" s="13">
        <f t="shared" si="97"/>
        <v>73.397115197691534</v>
      </c>
      <c r="DR108" s="20">
        <f t="shared" si="70"/>
        <v>668.81996088931305</v>
      </c>
      <c r="DS108" s="59">
        <f t="shared" si="71"/>
        <v>947.55858897018481</v>
      </c>
      <c r="DT108" s="59">
        <f ca="1">AVERAGE(OFFSET($DS$3,0,0,'Données projet'!$E$14+1,1))-AVERAGE(OFFSET($H$3,0,0,'Données projet'!$E$14+1,1))</f>
        <v>493.03862850474161</v>
      </c>
      <c r="DU108" s="59">
        <f t="shared" si="98"/>
        <v>312.51819065560528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44.699997124302698</v>
      </c>
      <c r="EB108" s="21">
        <f>EXP(-LN(2)/25)*EB107+(1-EXP(-LN(2)/25))/(LN(2)/25)*Calculateur!DW108*Calculateur!DY108*VLOOKUP('Données projet'!$B$14,Paramètres!$A$1:$I$89,3,0)*0.475*44/12</f>
        <v>24.872992296893631</v>
      </c>
      <c r="EC108" s="21">
        <f>EXP(-LN(2)/2)*EC107+(1-EXP(-LN(2)/2))/(LN(2)/2)*DW108*DZ108*VLOOKUP('Données projet'!$B$14,Paramètres!$A$1:$I$89,3,0)*0.475*44/12</f>
        <v>2.3561993577454572E-3</v>
      </c>
      <c r="ED108" s="22">
        <f t="shared" si="72"/>
        <v>69.575345620554074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8.7540000000000013</v>
      </c>
      <c r="EJ108" s="12">
        <f>IF('Données projet'!$A$192&gt;35,EJ107+EI108-ER107,IF(A108&lt;'Données projet'!$A$192,$EG$205^A108,IF(A108='Données projet'!$A$192,'Données projet'!$B$192,EJ107+EI108-ER107)))</f>
        <v>321.14800000000014</v>
      </c>
      <c r="EK108" s="17">
        <f>EJ108*VLOOKUP('Données projet'!$B$15,Paramètres!$A$1:$I$89,3,0)*VLOOKUP('Données projet'!$B$15,Paramètres!$A$1:$I$89,5,0)</f>
        <v>345.68370720000013</v>
      </c>
      <c r="EL108" s="13">
        <f t="shared" si="99"/>
        <v>80.673100873364589</v>
      </c>
      <c r="EM108" s="20">
        <f t="shared" si="73"/>
        <v>742.57144072777692</v>
      </c>
      <c r="EN108" s="59">
        <f t="shared" si="74"/>
        <v>1021.3100688086487</v>
      </c>
      <c r="EO108" s="59">
        <f ca="1">AVERAGE(OFFSET($EN$3,0,0,'Données projet'!$E$15+1,1))-AVERAGE(OFFSET($H$3,0,0,'Données projet'!$E$15+1,1))</f>
        <v>539.72194201710272</v>
      </c>
      <c r="EP108" s="59">
        <f t="shared" si="100"/>
        <v>340.76505385159362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49.746770993175566</v>
      </c>
      <c r="EW108" s="21">
        <f>EXP(-LN(2)/25)*EW107+(1-EXP(-LN(2)/25))/(LN(2)/25)*Calculateur!ER108*Calculateur!ET108*VLOOKUP('Données projet'!$B$15,Paramètres!$A$1:$I$89,3,0)*0.475*44/12</f>
        <v>27.681233362671939</v>
      </c>
      <c r="EX108" s="21">
        <f>EXP(-LN(2)/2)*EX107+(1-EXP(-LN(2)/2))/(LN(2)/2)*ER108*EU108*VLOOKUP('Données projet'!$B$15,Paramètres!$A$1:$I$89,3,0)*0.475*44/12</f>
        <v>2.6222218658780122E-3</v>
      </c>
      <c r="EY108" s="22">
        <f t="shared" si="75"/>
        <v>77.430626577713383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>
        <f>FE108*VLOOKUP('Données projet'!$B$16,Paramètres!$A$1:$I$89,3,0)*VLOOKUP('Données projet'!$B$16,Paramètres!$A$1:$I$89,5,0)</f>
        <v>0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383.47860767209028</v>
      </c>
      <c r="FK108" s="59">
        <f t="shared" si="102"/>
        <v>370.49129421395628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32.304681456992306</v>
      </c>
      <c r="FR108" s="21">
        <f>EXP(-LN(2)/25)*FR107+(1-EXP(-LN(2)/25))/(LN(2)/25)*Calculateur!FM108*Calculateur!FO108*VLOOKUP('Données projet'!$B$16,Paramètres!$A$1:$I$89,3,0)*0.475*44/12</f>
        <v>26.165047410573955</v>
      </c>
      <c r="FS108" s="21">
        <f>EXP(-LN(2)/2)*FS107+(1-EXP(-LN(2)/2))/(LN(2)/2)*FM108*FP108*VLOOKUP('Données projet'!$B$16,Paramètres!$A$1:$I$89,3,0)*0.475*44/12</f>
        <v>1.0987304949550483E-2</v>
      </c>
      <c r="FT108" s="22">
        <f t="shared" si="78"/>
        <v>58.480716172515812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6.8811111111111085</v>
      </c>
      <c r="FZ108" s="12">
        <f>IF('Données projet'!$A$244&gt;35,FZ107+FY108-GH107,IF(A108&lt;'Données projet'!$A$244,$FW$205^A108,IF(A108='Données projet'!$A$244,'Données projet'!$B$244,FZ107+FY108-GH107)))</f>
        <v>238.85111111111095</v>
      </c>
      <c r="GA108" s="17">
        <f>FZ108*VLOOKUP('Données projet'!$B$17,Paramètres!$A$1:$I$89,3,0)*VLOOKUP('Données projet'!$B$17,Paramètres!$A$1:$I$89,5,0)</f>
        <v>272.00364533333311</v>
      </c>
      <c r="GB108" s="13">
        <f t="shared" si="103"/>
        <v>65.274310248407801</v>
      </c>
      <c r="GC108" s="20">
        <f t="shared" si="79"/>
        <v>587.42577263819874</v>
      </c>
      <c r="GD108" s="59">
        <f t="shared" si="80"/>
        <v>866.1644007190705</v>
      </c>
      <c r="GE108" s="59">
        <f ca="1">AVERAGE(OFFSET($GD$3,0,0,'Données projet'!$E$17+1,1))-AVERAGE(OFFSET($H$3,0,0,'Données projet'!$E$17+1,1))</f>
        <v>640.05156427113661</v>
      </c>
      <c r="GF108" s="59">
        <f t="shared" si="104"/>
        <v>308.77220155372902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18.759659704834469</v>
      </c>
      <c r="GM108" s="21">
        <f>EXP(-LN(2)/25)*GM107+(1-EXP(-LN(2)/25))/(LN(2)/25)*Calculateur!GH108*Calculateur!GJ108*VLOOKUP('Données projet'!$B$17,Paramètres!$A$1:$I$89,3,0)*0.475*44/12</f>
        <v>32.449200849695991</v>
      </c>
      <c r="GN108" s="21">
        <f>EXP(-LN(2)/2)*GN107+(1-EXP(-LN(2)/2))/(LN(2)/2)*GH108*GK108*VLOOKUP('Données projet'!$B$17,Paramètres!$A$1:$I$89,3,0)*0.475*44/12</f>
        <v>3.1412770245175095</v>
      </c>
      <c r="GO108" s="21">
        <f t="shared" si="81"/>
        <v>54.350137579047967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>
        <f>VLOOKUP(A109,'Données projet'!$A$35:$I$55,2,0)</f>
        <v>131.46</v>
      </c>
      <c r="L109" s="12">
        <f>VLOOKUP(A109,'Données projet'!$A$35:$I$55,9,0)</f>
        <v>3.3666666666666694</v>
      </c>
      <c r="M109" s="12">
        <f t="array" ref="M109">INDEX(L:L,MIN(IF(ISNUMBER(L109:L305),ROW(L109:L305),"")))</f>
        <v>3.3666666666666694</v>
      </c>
      <c r="N109" s="13">
        <f>IF('Données projet'!$A$36&gt;35,N108+M109-V108,IF(A109&lt;'Données projet'!$A$36,$K$205^A109,IF(A109='Données projet'!$A$36,'Données projet'!$B$36,N108+M109-V108)))</f>
        <v>131.46000000000006</v>
      </c>
      <c r="O109" s="13">
        <f>N109*VLOOKUP('Données projet'!$B$9,Paramètres!$A$1:$I$89,3,0)*VLOOKUP('Données projet'!$B$9,Paramètres!$A$1:$I$89,5,0)</f>
        <v>110.74190400000006</v>
      </c>
      <c r="P109" s="13">
        <f t="shared" si="87"/>
        <v>29.505714498780094</v>
      </c>
      <c r="Q109" s="20">
        <f t="shared" si="107"/>
        <v>244.26460221870877</v>
      </c>
      <c r="R109" s="59">
        <f t="shared" si="55"/>
        <v>523.25641580683782</v>
      </c>
      <c r="S109" s="59">
        <f ca="1">AVERAGE(OFFSET($R$3,0,0,'Données projet'!$E$9+1,1))-AVERAGE(OFFSET($H$3,0,0,'Données projet'!$E$9+1,1))</f>
        <v>456.35333554128226</v>
      </c>
      <c r="T109" s="59">
        <f t="shared" si="88"/>
        <v>296.4517290984877</v>
      </c>
      <c r="U109" s="15" t="str">
        <f>IF(ISNA(VLOOKUP(A109,'Données projet'!$A$35:$I$55,3,0)),0,VLOOKUP(A109,'Données projet'!$A$35:$I$55,3,0))</f>
        <v>CR</v>
      </c>
      <c r="V109" s="15">
        <f>IF(ISNA(VLOOKUP(A109,'Données projet'!$A$35:$I$55,4,0)),0,VLOOKUP(A109,'Données projet'!$A$35:$I$55,4,0))</f>
        <v>131.46</v>
      </c>
      <c r="W109" s="16">
        <f>IF(ISNA(VLOOKUP(A109,'Données projet'!$A$35:$I$55,5,0)),0%,VLOOKUP(A109,'Données projet'!$A$35:$I$55,5,0)*VLOOKUP('Données projet'!$B$9,Paramètres!$A$1:$I$89,7,0))</f>
        <v>0.19350000000000001</v>
      </c>
      <c r="X109" s="16">
        <f>IF(ISNA(VLOOKUP(A109,'Données projet'!$A$35:$I$55,6,0)),0%,VLOOKUP(A109,'Données projet'!$A$35:$I$55,6,0)*VLOOKUP('Données projet'!$B$9,Paramètres!$A$1:$I$89,7,0))</f>
        <v>2.1500000000000002E-2</v>
      </c>
      <c r="Y109" s="16">
        <f>IF(ISNA(VLOOKUP(A109,'Données projet'!$A$35:$I$55,7,0)),0%,VLOOKUP(A109,'Données projet'!$A$35:$I$55,7,0))</f>
        <v>0.05</v>
      </c>
      <c r="Z109" s="21">
        <f>EXP(-LN(2)/35)*Z108+(1-EXP(-LN(2)/35))/(LN(2)/35)*V109*W109*VLOOKUP('Données projet'!$B$9,Paramètres!$A$1:$I$89,3,0)*0.475*44/12</f>
        <v>122.34155909294726</v>
      </c>
      <c r="AA109" s="21">
        <f>EXP(-LN(2)/25)*AA108+(1-EXP(-LN(2)/25))/(LN(2)/25)*Calculateur!V109*Calculateur!X109*VLOOKUP('Données projet'!$B$9,Paramètres!$A$1:$I$89,3,0)*0.475*44/12</f>
        <v>27.979819266328533</v>
      </c>
      <c r="AB109" s="21">
        <f>EXP(-LN(2)/2)*AB108+(1-EXP(-LN(2)/2))/(LN(2)/2)*V109*Y109*VLOOKUP('Données projet'!$B$9,Paramètres!$A$1:$I$89,3,0)*0.475*44/12</f>
        <v>7.423023524961283</v>
      </c>
      <c r="AC109" s="22">
        <f t="shared" si="57"/>
        <v>157.74440188423708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408.246209980743</v>
      </c>
      <c r="AO109" s="59">
        <f t="shared" si="90"/>
        <v>394.10236303013903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34.10745300041777</v>
      </c>
      <c r="AV109" s="21">
        <f>EXP(-LN(2)/25)*AV108+(1-EXP(-LN(2)/25))/(LN(2)/25)*Calculateur!AQ109*Calculateur!AS109*VLOOKUP('Données projet'!$B$10,Paramètres!$A$1:$I$89,3,0)*0.475*44/12</f>
        <v>27.407221491108057</v>
      </c>
      <c r="AW109" s="21">
        <f>EXP(-LN(2)/2)*AW108+(1-EXP(-LN(2)/2))/(LN(2)/2)*AQ109*AT109*VLOOKUP('Données projet'!$B$10,Paramètres!$A$1:$I$89,3,0)*0.475*44/12</f>
        <v>8.3668284396217797E-3</v>
      </c>
      <c r="AX109" s="21">
        <f t="shared" si="60"/>
        <v>61.523041319965444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6.8811111111111085</v>
      </c>
      <c r="BD109" s="12">
        <f>IF('Données projet'!$A$88&gt;35,BD108+BC109-BL108,IF(A109&lt;'Données projet'!$A$88,$BA$205^A109,IF(A109='Données projet'!$A$88,'Données projet'!$B$88,BD108+BC109-BL108)))</f>
        <v>245.73222222222205</v>
      </c>
      <c r="BE109" s="13">
        <f>BD109*VLOOKUP('Données projet'!$B$11,Paramètres!$A$1:$I$89,3,0)*VLOOKUP('Données projet'!$B$11,Paramètres!$A$1:$I$89,5,0)</f>
        <v>249.17247333333319</v>
      </c>
      <c r="BF109" s="13">
        <f t="shared" si="91"/>
        <v>60.408704291647716</v>
      </c>
      <c r="BG109" s="20">
        <f t="shared" si="61"/>
        <v>539.18721769684169</v>
      </c>
      <c r="BH109" s="59">
        <f t="shared" si="62"/>
        <v>818.17903128497073</v>
      </c>
      <c r="BI109" s="59">
        <f ca="1">AVERAGE(OFFSET($BH$3,0,0,'Données projet'!$E$11+1,1))-AVERAGE(OFFSET($H$3,0,0,'Données projet'!$E$11+1,1))</f>
        <v>580.02848304986492</v>
      </c>
      <c r="BJ109" s="59">
        <f t="shared" si="92"/>
        <v>281.68891895586728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16.376255127651255</v>
      </c>
      <c r="BQ109" s="21">
        <f>EXP(-LN(2)/25)*BQ108+(1-EXP(-LN(2)/25))/(LN(2)/25)*Calculateur!BL109*Calculateur!BN109*VLOOKUP('Données projet'!$B$11,Paramètres!$A$1:$I$89,3,0)*0.475*44/12</f>
        <v>28.103040047836476</v>
      </c>
      <c r="BR109" s="21">
        <f>EXP(-LN(2)/2)*BR108+(1-EXP(-LN(2)/2))/(LN(2)/2)*BL109*BO109*VLOOKUP('Données projet'!$B$11,Paramètres!$A$1:$I$89,3,0)*0.475*44/12</f>
        <v>1.9777971036358777</v>
      </c>
      <c r="BS109" s="22">
        <f t="shared" si="63"/>
        <v>46.457092279123614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4.4337866711430253E-14</v>
      </c>
      <c r="CA109" s="13">
        <f t="shared" si="93"/>
        <v>7.3222115536967035E-13</v>
      </c>
      <c r="CB109" s="20">
        <f t="shared" si="64"/>
        <v>1.3525069634579169E-12</v>
      </c>
      <c r="CC109" s="59">
        <f t="shared" si="65"/>
        <v>278.99181358813047</v>
      </c>
      <c r="CD109" s="59">
        <f ca="1">AVERAGE(OFFSET($CC$3,0,0,'Données projet'!$E$12+1,1))-AVERAGE(OFFSET($H$3,0,0,'Données projet'!$E$12+1,1))</f>
        <v>308.85018589589453</v>
      </c>
      <c r="CE109" s="59">
        <f t="shared" si="94"/>
        <v>302.59481222418219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20.664381208066189</v>
      </c>
      <c r="CL109" s="21">
        <f>EXP(-LN(2)/25)*CL108+(1-EXP(-LN(2)/25))/(LN(2)/25)*Calculateur!CG109*Calculateur!CI109*VLOOKUP('Données projet'!$B$12,Paramètres!$A$1:$I$89,3,0)*0.475*44/12</f>
        <v>15.176689072493549</v>
      </c>
      <c r="CM109" s="21">
        <f>EXP(-LN(2)/2)*CM108+(1-EXP(-LN(2)/2))/(LN(2)/2)*CG109*CJ109*VLOOKUP('Données projet'!$B$12,Paramètres!$A$1:$I$89,3,0)*0.475*44/12</f>
        <v>1.6388318980771433E-4</v>
      </c>
      <c r="CN109" s="22">
        <f t="shared" si="66"/>
        <v>35.84123416374954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3.333333333333337</v>
      </c>
      <c r="CT109" s="12">
        <f>IF('Données projet'!$A$140&gt;35,CT108+CS109-DB108,IF(A109&lt;'Données projet'!$A$140,$CQ$205^A109,IF(A109='Données projet'!$A$140,'Données projet'!$B$140,CT108+CS109-DB108)))</f>
        <v>293.71794871794901</v>
      </c>
      <c r="CU109" s="17">
        <f>CT109*VLOOKUP('Données projet'!$B$13,Paramètres!$A$1:$I$89,3,0)*VLOOKUP('Données projet'!$B$13,Paramètres!$A$1:$I$89,5,0)</f>
        <v>197.02600000000021</v>
      </c>
      <c r="CV109" s="13">
        <f t="shared" si="95"/>
        <v>49.090003740998405</v>
      </c>
      <c r="CW109" s="20">
        <f t="shared" si="67"/>
        <v>428.65203984890587</v>
      </c>
      <c r="CX109" s="59">
        <f t="shared" si="68"/>
        <v>707.64385343703498</v>
      </c>
      <c r="CY109" s="59">
        <f ca="1">AVERAGE(OFFSET($CX$3,0,0,'Données projet'!$E$13+1,1))-AVERAGE(OFFSET($H$3,0,0,'Données projet'!$E$13+1,1))</f>
        <v>335.73816489539837</v>
      </c>
      <c r="CZ109" s="59">
        <f t="shared" si="96"/>
        <v>254.09787950201044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7.8911246313293386</v>
      </c>
      <c r="DG109" s="21">
        <f>EXP(-LN(2)/25)*DG108+(1-EXP(-LN(2)/25))/(LN(2)/25)*Calculateur!DB109*Calculateur!DD109*VLOOKUP('Données projet'!$B$13,Paramètres!$A$1:$I$89,3,0)*0.475*44/12</f>
        <v>8.7851274711108314</v>
      </c>
      <c r="DH109" s="21">
        <f>EXP(-LN(2)/2)*DH108+(1-EXP(-LN(2)/2))/(LN(2)/2)*DB109*DE109*VLOOKUP('Données projet'!$B$13,Paramètres!$A$1:$I$89,3,0)*0.475*44/12</f>
        <v>1.4843037127670502</v>
      </c>
      <c r="DI109" s="22">
        <f t="shared" si="69"/>
        <v>18.160555815207221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8.7540000000000013</v>
      </c>
      <c r="DO109" s="12">
        <f>IF('Données projet'!$A$166&gt;35,DO108+DN109-DW108,IF(A109&lt;'Données projet'!$A$166,$DL$205^A109,IF(A109='Données projet'!$A$166,'Données projet'!$B$166,DO108+DN109-DW108)))</f>
        <v>329.90200000000016</v>
      </c>
      <c r="DP109" s="17">
        <f>DO109*VLOOKUP('Données projet'!$B$14,Paramètres!$A$1:$I$89,3,0)*VLOOKUP('Données projet'!$B$14,Paramètres!$A$1:$I$89,5,0)</f>
        <v>319.08121440000014</v>
      </c>
      <c r="DQ109" s="13">
        <f t="shared" si="97"/>
        <v>75.162150470705058</v>
      </c>
      <c r="DR109" s="20">
        <f t="shared" si="70"/>
        <v>686.64052714981153</v>
      </c>
      <c r="DS109" s="59">
        <f t="shared" si="71"/>
        <v>965.63234073794069</v>
      </c>
      <c r="DT109" s="59">
        <f ca="1">AVERAGE(OFFSET($DS$3,0,0,'Données projet'!$E$14+1,1))-AVERAGE(OFFSET($H$3,0,0,'Données projet'!$E$14+1,1))</f>
        <v>493.03862850474161</v>
      </c>
      <c r="DU109" s="59">
        <f t="shared" si="98"/>
        <v>312.51819065560528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43.823457445001239</v>
      </c>
      <c r="EB109" s="21">
        <f>EXP(-LN(2)/25)*EB108+(1-EXP(-LN(2)/25))/(LN(2)/25)*Calculateur!DW109*Calculateur!DY109*VLOOKUP('Données projet'!$B$14,Paramètres!$A$1:$I$89,3,0)*0.475*44/12</f>
        <v>24.192839014521258</v>
      </c>
      <c r="EC109" s="21">
        <f>EXP(-LN(2)/2)*EC108+(1-EXP(-LN(2)/2))/(LN(2)/2)*DW109*DZ109*VLOOKUP('Données projet'!$B$14,Paramètres!$A$1:$I$89,3,0)*0.475*44/12</f>
        <v>1.6660845436892008E-3</v>
      </c>
      <c r="ED109" s="22">
        <f t="shared" si="72"/>
        <v>68.017962544066179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8.7540000000000013</v>
      </c>
      <c r="EJ109" s="12">
        <f>IF('Données projet'!$A$192&gt;35,EJ108+EI109-ER108,IF(A109&lt;'Données projet'!$A$192,$EG$205^A109,IF(A109='Données projet'!$A$192,'Données projet'!$B$192,EJ108+EI109-ER108)))</f>
        <v>329.90200000000016</v>
      </c>
      <c r="EK109" s="17">
        <f>EJ109*VLOOKUP('Données projet'!$B$15,Paramètres!$A$1:$I$89,3,0)*VLOOKUP('Données projet'!$B$15,Paramètres!$A$1:$I$89,5,0)</f>
        <v>355.10651280000019</v>
      </c>
      <c r="EL109" s="13">
        <f t="shared" si="99"/>
        <v>82.613107210689279</v>
      </c>
      <c r="EM109" s="20">
        <f t="shared" si="73"/>
        <v>762.36167151861753</v>
      </c>
      <c r="EN109" s="59">
        <f t="shared" si="74"/>
        <v>1041.3534851067466</v>
      </c>
      <c r="EO109" s="59">
        <f ca="1">AVERAGE(OFFSET($EN$3,0,0,'Données projet'!$E$15+1,1))-AVERAGE(OFFSET($H$3,0,0,'Données projet'!$E$15+1,1))</f>
        <v>539.72194201710272</v>
      </c>
      <c r="EP109" s="59">
        <f t="shared" si="100"/>
        <v>340.76505385159362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48.771267156533625</v>
      </c>
      <c r="EW109" s="21">
        <f>EXP(-LN(2)/25)*EW108+(1-EXP(-LN(2)/25))/(LN(2)/25)*Calculateur!ER109*Calculateur!ET109*VLOOKUP('Données projet'!$B$15,Paramètres!$A$1:$I$89,3,0)*0.475*44/12</f>
        <v>26.92428858067688</v>
      </c>
      <c r="EX109" s="21">
        <f>EXP(-LN(2)/2)*EX108+(1-EXP(-LN(2)/2))/(LN(2)/2)*ER109*EU109*VLOOKUP('Données projet'!$B$15,Paramètres!$A$1:$I$89,3,0)*0.475*44/12</f>
        <v>1.854190863137984E-3</v>
      </c>
      <c r="EY109" s="22">
        <f t="shared" si="75"/>
        <v>75.69740992807364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>
        <f>FE109*VLOOKUP('Données projet'!$B$16,Paramètres!$A$1:$I$89,3,0)*VLOOKUP('Données projet'!$B$16,Paramètres!$A$1:$I$89,5,0)</f>
        <v>0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383.47860767209028</v>
      </c>
      <c r="FK109" s="59">
        <f t="shared" si="102"/>
        <v>370.49129421395628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31.671206357530775</v>
      </c>
      <c r="FR109" s="21">
        <f>EXP(-LN(2)/25)*FR108+(1-EXP(-LN(2)/25))/(LN(2)/25)*Calculateur!FM109*Calculateur!FO109*VLOOKUP('Données projet'!$B$16,Paramètres!$A$1:$I$89,3,0)*0.475*44/12</f>
        <v>25.449562813171767</v>
      </c>
      <c r="FS109" s="21">
        <f>EXP(-LN(2)/2)*FS108+(1-EXP(-LN(2)/2))/(LN(2)/2)*FM109*FP109*VLOOKUP('Données projet'!$B$16,Paramètres!$A$1:$I$89,3,0)*0.475*44/12</f>
        <v>7.7691978367916649E-3</v>
      </c>
      <c r="FT109" s="22">
        <f t="shared" si="78"/>
        <v>57.128538368539338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6.8811111111111085</v>
      </c>
      <c r="FZ109" s="12">
        <f>IF('Données projet'!$A$244&gt;35,FZ108+FY109-GH108,IF(A109&lt;'Données projet'!$A$244,$FW$205^A109,IF(A109='Données projet'!$A$244,'Données projet'!$B$244,FZ108+FY109-GH108)))</f>
        <v>245.73222222222205</v>
      </c>
      <c r="GA109" s="17">
        <f>FZ109*VLOOKUP('Données projet'!$B$17,Paramètres!$A$1:$I$89,3,0)*VLOOKUP('Données projet'!$B$17,Paramètres!$A$1:$I$89,5,0)</f>
        <v>279.8398546666665</v>
      </c>
      <c r="GB109" s="13">
        <f t="shared" si="103"/>
        <v>66.933164441747081</v>
      </c>
      <c r="GC109" s="20">
        <f t="shared" si="79"/>
        <v>603.96300828048697</v>
      </c>
      <c r="GD109" s="59">
        <f t="shared" si="80"/>
        <v>882.95482186861614</v>
      </c>
      <c r="GE109" s="59">
        <f ca="1">AVERAGE(OFFSET($GD$3,0,0,'Données projet'!$E$17+1,1))-AVERAGE(OFFSET($H$3,0,0,'Données projet'!$E$17+1,1))</f>
        <v>640.05156427113661</v>
      </c>
      <c r="GF109" s="59">
        <f t="shared" si="104"/>
        <v>308.77220155372902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18.391794220285256</v>
      </c>
      <c r="GM109" s="21">
        <f>EXP(-LN(2)/25)*GM108+(1-EXP(-LN(2)/25))/(LN(2)/25)*Calculateur!GH109*Calculateur!GJ109*VLOOKUP('Données projet'!$B$17,Paramètres!$A$1:$I$89,3,0)*0.475*44/12</f>
        <v>31.561875746031745</v>
      </c>
      <c r="GN109" s="21">
        <f>EXP(-LN(2)/2)*GN108+(1-EXP(-LN(2)/2))/(LN(2)/2)*GH109*GK109*VLOOKUP('Données projet'!$B$17,Paramètres!$A$1:$I$89,3,0)*0.475*44/12</f>
        <v>2.2212182856218319</v>
      </c>
      <c r="GO109" s="21">
        <f t="shared" si="81"/>
        <v>52.174888251938832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4.7884896048344674E-14</v>
      </c>
      <c r="P110" s="13">
        <f t="shared" si="87"/>
        <v>7.8374629847779921E-13</v>
      </c>
      <c r="Q110" s="20">
        <f t="shared" si="107"/>
        <v>1.4484243304663672E-12</v>
      </c>
      <c r="R110" s="59">
        <f t="shared" si="55"/>
        <v>279.24060689287506</v>
      </c>
      <c r="S110" s="59">
        <f ca="1">AVERAGE(OFFSET($R$3,0,0,'Données projet'!$E$9+1,1))-AVERAGE(OFFSET($H$3,0,0,'Données projet'!$E$9+1,1))</f>
        <v>456.35333554128226</v>
      </c>
      <c r="T110" s="59">
        <f t="shared" si="88"/>
        <v>296.4517290984877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119.9425157401174</v>
      </c>
      <c r="AA110" s="21">
        <f>EXP(-LN(2)/25)*AA109+(1-EXP(-LN(2)/25))/(LN(2)/25)*Calculateur!V110*Calculateur!X110*VLOOKUP('Données projet'!$B$9,Paramètres!$A$1:$I$89,3,0)*0.475*44/12</f>
        <v>27.214709637096032</v>
      </c>
      <c r="AB110" s="21">
        <f>EXP(-LN(2)/2)*AB109+(1-EXP(-LN(2)/2))/(LN(2)/2)*V110*Y110*VLOOKUP('Données projet'!$B$9,Paramètres!$A$1:$I$89,3,0)*0.475*44/12</f>
        <v>5.2488702714073927</v>
      </c>
      <c r="AC110" s="22">
        <f t="shared" si="57"/>
        <v>152.40609564862081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408.246209980743</v>
      </c>
      <c r="AO110" s="59">
        <f t="shared" si="90"/>
        <v>394.10236303013903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33.438626650571734</v>
      </c>
      <c r="AV110" s="21">
        <f>EXP(-LN(2)/25)*AV109+(1-EXP(-LN(2)/25))/(LN(2)/25)*Calculateur!AQ110*Calculateur!AS110*VLOOKUP('Données projet'!$B$10,Paramètres!$A$1:$I$89,3,0)*0.475*44/12</f>
        <v>26.657769578150567</v>
      </c>
      <c r="AW110" s="21">
        <f>EXP(-LN(2)/2)*AW109+(1-EXP(-LN(2)/2))/(LN(2)/2)*AQ110*AT110*VLOOKUP('Données projet'!$B$10,Paramètres!$A$1:$I$89,3,0)*0.475*44/12</f>
        <v>5.9162411266810207E-3</v>
      </c>
      <c r="AX110" s="21">
        <f t="shared" si="60"/>
        <v>60.102312469848982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6.8811111111111085</v>
      </c>
      <c r="BD110" s="12">
        <f>IF('Données projet'!$A$88&gt;35,BD109+BC110-BL109,IF(A110&lt;'Données projet'!$A$88,$BA$205^A110,IF(A110='Données projet'!$A$88,'Données projet'!$B$88,BD109+BC110-BL109)))</f>
        <v>252.61333333333314</v>
      </c>
      <c r="BE110" s="13">
        <f>BD110*VLOOKUP('Données projet'!$B$11,Paramètres!$A$1:$I$89,3,0)*VLOOKUP('Données projet'!$B$11,Paramètres!$A$1:$I$89,5,0)</f>
        <v>256.14991999999984</v>
      </c>
      <c r="BF110" s="13">
        <f t="shared" si="91"/>
        <v>61.900985272770555</v>
      </c>
      <c r="BG110" s="20">
        <f t="shared" si="61"/>
        <v>553.93866001674166</v>
      </c>
      <c r="BH110" s="59">
        <f t="shared" si="62"/>
        <v>833.17926690961531</v>
      </c>
      <c r="BI110" s="59">
        <f ca="1">AVERAGE(OFFSET($BH$3,0,0,'Données projet'!$E$11+1,1))-AVERAGE(OFFSET($H$3,0,0,'Données projet'!$E$11+1,1))</f>
        <v>580.02848304986492</v>
      </c>
      <c r="BJ110" s="59">
        <f t="shared" si="92"/>
        <v>281.68891895586728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16.055126753127357</v>
      </c>
      <c r="BQ110" s="21">
        <f>EXP(-LN(2)/25)*BQ109+(1-EXP(-LN(2)/25))/(LN(2)/25)*Calculateur!BL110*Calculateur!BN110*VLOOKUP('Données projet'!$B$11,Paramètres!$A$1:$I$89,3,0)*0.475*44/12</f>
        <v>27.334560939853741</v>
      </c>
      <c r="BR110" s="21">
        <f>EXP(-LN(2)/2)*BR109+(1-EXP(-LN(2)/2))/(LN(2)/2)*BL110*BO110*VLOOKUP('Données projet'!$B$11,Paramètres!$A$1:$I$89,3,0)*0.475*44/12</f>
        <v>1.3985137437920421</v>
      </c>
      <c r="BS110" s="22">
        <f t="shared" si="63"/>
        <v>44.788201436773143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4.4337866711430253E-14</v>
      </c>
      <c r="CA110" s="13">
        <f t="shared" si="93"/>
        <v>7.3222115536967035E-13</v>
      </c>
      <c r="CB110" s="20">
        <f t="shared" si="64"/>
        <v>1.3525069634579169E-12</v>
      </c>
      <c r="CC110" s="59">
        <f t="shared" si="65"/>
        <v>279.24060689287501</v>
      </c>
      <c r="CD110" s="59">
        <f ca="1">AVERAGE(OFFSET($CC$3,0,0,'Données projet'!$E$12+1,1))-AVERAGE(OFFSET($H$3,0,0,'Données projet'!$E$12+1,1))</f>
        <v>308.85018589589453</v>
      </c>
      <c r="CE110" s="59">
        <f t="shared" si="94"/>
        <v>302.59481222418219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20.259165296604003</v>
      </c>
      <c r="CL110" s="21">
        <f>EXP(-LN(2)/25)*CL109+(1-EXP(-LN(2)/25))/(LN(2)/25)*Calculateur!CG110*Calculateur!CI110*VLOOKUP('Données projet'!$B$12,Paramètres!$A$1:$I$89,3,0)*0.475*44/12</f>
        <v>14.76168171169882</v>
      </c>
      <c r="CM110" s="21">
        <f>EXP(-LN(2)/2)*CM109+(1-EXP(-LN(2)/2))/(LN(2)/2)*CG110*CJ110*VLOOKUP('Données projet'!$B$12,Paramètres!$A$1:$I$89,3,0)*0.475*44/12</f>
        <v>1.158829148355169E-4</v>
      </c>
      <c r="CN110" s="22">
        <f t="shared" si="66"/>
        <v>35.020962891217657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3.333333333333337</v>
      </c>
      <c r="CT110" s="12">
        <f>IF('Données projet'!$A$140&gt;35,CT109+CS110-DB109,IF(A110&lt;'Données projet'!$A$140,$CQ$205^A110,IF(A110='Données projet'!$A$140,'Données projet'!$B$140,CT109+CS110-DB109)))</f>
        <v>297.05128205128233</v>
      </c>
      <c r="CU110" s="17">
        <f>CT110*VLOOKUP('Données projet'!$B$13,Paramètres!$A$1:$I$89,3,0)*VLOOKUP('Données projet'!$B$13,Paramètres!$A$1:$I$89,5,0)</f>
        <v>199.2620000000002</v>
      </c>
      <c r="CV110" s="13">
        <f t="shared" si="95"/>
        <v>49.581942782884362</v>
      </c>
      <c r="CW110" s="20">
        <f t="shared" si="67"/>
        <v>433.40320034685732</v>
      </c>
      <c r="CX110" s="59">
        <f t="shared" si="68"/>
        <v>712.6438072397309</v>
      </c>
      <c r="CY110" s="59">
        <f ca="1">AVERAGE(OFFSET($CX$3,0,0,'Données projet'!$E$13+1,1))-AVERAGE(OFFSET($H$3,0,0,'Données projet'!$E$13+1,1))</f>
        <v>335.73816489539837</v>
      </c>
      <c r="CZ110" s="59">
        <f t="shared" si="96"/>
        <v>254.09787950201044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7.7363844904197405</v>
      </c>
      <c r="DG110" s="21">
        <f>EXP(-LN(2)/25)*DG109+(1-EXP(-LN(2)/25))/(LN(2)/25)*Calculateur!DB110*Calculateur!DD110*VLOOKUP('Données projet'!$B$13,Paramètres!$A$1:$I$89,3,0)*0.475*44/12</f>
        <v>8.5448976984235312</v>
      </c>
      <c r="DH110" s="21">
        <f>EXP(-LN(2)/2)*DH109+(1-EXP(-LN(2)/2))/(LN(2)/2)*DB110*DE110*VLOOKUP('Données projet'!$B$13,Paramètres!$A$1:$I$89,3,0)*0.475*44/12</f>
        <v>1.0495612206379508</v>
      </c>
      <c r="DI110" s="22">
        <f t="shared" si="69"/>
        <v>17.330843409481222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8.7540000000000013</v>
      </c>
      <c r="DO110" s="12">
        <f>IF('Données projet'!$A$166&gt;35,DO109+DN110-DW109,IF(A110&lt;'Données projet'!$A$166,$DL$205^A110,IF(A110='Données projet'!$A$166,'Données projet'!$B$166,DO109+DN110-DW109)))</f>
        <v>338.65600000000018</v>
      </c>
      <c r="DP110" s="17">
        <f>DO110*VLOOKUP('Données projet'!$B$14,Paramètres!$A$1:$I$89,3,0)*VLOOKUP('Données projet'!$B$14,Paramètres!$A$1:$I$89,5,0)</f>
        <v>327.54808320000018</v>
      </c>
      <c r="DQ110" s="13">
        <f t="shared" si="97"/>
        <v>76.921741829218234</v>
      </c>
      <c r="DR110" s="20">
        <f t="shared" si="70"/>
        <v>704.45161192588876</v>
      </c>
      <c r="DS110" s="59">
        <f t="shared" si="71"/>
        <v>983.6922188187624</v>
      </c>
      <c r="DT110" s="59">
        <f ca="1">AVERAGE(OFFSET($DS$3,0,0,'Données projet'!$E$14+1,1))-AVERAGE(OFFSET($H$3,0,0,'Données projet'!$E$14+1,1))</f>
        <v>493.03862850474161</v>
      </c>
      <c r="DU110" s="59">
        <f t="shared" si="98"/>
        <v>312.51819065560528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42.964106174174468</v>
      </c>
      <c r="EB110" s="21">
        <f>EXP(-LN(2)/25)*EB109+(1-EXP(-LN(2)/25))/(LN(2)/25)*Calculateur!DW110*Calculateur!DY110*VLOOKUP('Données projet'!$B$14,Paramètres!$A$1:$I$89,3,0)*0.475*44/12</f>
        <v>23.531284559423064</v>
      </c>
      <c r="EC110" s="21">
        <f>EXP(-LN(2)/2)*EC109+(1-EXP(-LN(2)/2))/(LN(2)/2)*DW110*DZ110*VLOOKUP('Données projet'!$B$14,Paramètres!$A$1:$I$89,3,0)*0.475*44/12</f>
        <v>1.1780996788727286E-3</v>
      </c>
      <c r="ED110" s="22">
        <f t="shared" si="72"/>
        <v>66.496568833276399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8.7540000000000013</v>
      </c>
      <c r="EJ110" s="12">
        <f>IF('Données projet'!$A$192&gt;35,EJ109+EI110-ER109,IF(A110&lt;'Données projet'!$A$192,$EG$205^A110,IF(A110='Données projet'!$A$192,'Données projet'!$B$192,EJ109+EI110-ER109)))</f>
        <v>338.65600000000018</v>
      </c>
      <c r="EK110" s="17">
        <f>EJ110*VLOOKUP('Données projet'!$B$15,Paramètres!$A$1:$I$89,3,0)*VLOOKUP('Données projet'!$B$15,Paramètres!$A$1:$I$89,5,0)</f>
        <v>364.52931840000019</v>
      </c>
      <c r="EL110" s="13">
        <f t="shared" si="99"/>
        <v>84.54712996865311</v>
      </c>
      <c r="EM110" s="20">
        <f t="shared" si="73"/>
        <v>782.14148090873778</v>
      </c>
      <c r="EN110" s="59">
        <f t="shared" si="74"/>
        <v>1061.3820878016113</v>
      </c>
      <c r="EO110" s="59">
        <f ca="1">AVERAGE(OFFSET($EN$3,0,0,'Données projet'!$E$15+1,1))-AVERAGE(OFFSET($H$3,0,0,'Données projet'!$E$15+1,1))</f>
        <v>539.72194201710272</v>
      </c>
      <c r="EP110" s="59">
        <f t="shared" si="100"/>
        <v>340.76505385159362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47.814892355129643</v>
      </c>
      <c r="EW110" s="21">
        <f>EXP(-LN(2)/25)*EW109+(1-EXP(-LN(2)/25))/(LN(2)/25)*Calculateur!ER110*Calculateur!ET110*VLOOKUP('Données projet'!$B$15,Paramètres!$A$1:$I$89,3,0)*0.475*44/12</f>
        <v>26.188042493551471</v>
      </c>
      <c r="EX110" s="21">
        <f>EXP(-LN(2)/2)*EX109+(1-EXP(-LN(2)/2))/(LN(2)/2)*ER110*EU110*VLOOKUP('Données projet'!$B$15,Paramètres!$A$1:$I$89,3,0)*0.475*44/12</f>
        <v>1.3111109329390063E-3</v>
      </c>
      <c r="EY110" s="22">
        <f t="shared" si="75"/>
        <v>74.004245959614067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>
        <f>FE110*VLOOKUP('Données projet'!$B$16,Paramètres!$A$1:$I$89,3,0)*VLOOKUP('Données projet'!$B$16,Paramètres!$A$1:$I$89,5,0)</f>
        <v>0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383.47860767209028</v>
      </c>
      <c r="FK110" s="59">
        <f t="shared" si="102"/>
        <v>370.49129421395628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31.050153318388027</v>
      </c>
      <c r="FR110" s="21">
        <f>EXP(-LN(2)/25)*FR109+(1-EXP(-LN(2)/25))/(LN(2)/25)*Calculateur!FM110*Calculateur!FO110*VLOOKUP('Données projet'!$B$16,Paramètres!$A$1:$I$89,3,0)*0.475*44/12</f>
        <v>24.753643179711244</v>
      </c>
      <c r="FS110" s="21">
        <f>EXP(-LN(2)/2)*FS109+(1-EXP(-LN(2)/2))/(LN(2)/2)*FM110*FP110*VLOOKUP('Données projet'!$B$16,Paramètres!$A$1:$I$89,3,0)*0.475*44/12</f>
        <v>5.4936524747752425E-3</v>
      </c>
      <c r="FT110" s="22">
        <f t="shared" si="78"/>
        <v>55.80929015057405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6.8811111111111085</v>
      </c>
      <c r="FZ110" s="12">
        <f>IF('Données projet'!$A$244&gt;35,FZ109+FY110-GH109,IF(A110&lt;'Données projet'!$A$244,$FW$205^A110,IF(A110='Données projet'!$A$244,'Données projet'!$B$244,FZ109+FY110-GH109)))</f>
        <v>252.61333333333314</v>
      </c>
      <c r="GA110" s="17">
        <f>FZ110*VLOOKUP('Données projet'!$B$17,Paramètres!$A$1:$I$89,3,0)*VLOOKUP('Données projet'!$B$17,Paramètres!$A$1:$I$89,5,0)</f>
        <v>287.67606399999983</v>
      </c>
      <c r="GB110" s="13">
        <f t="shared" si="103"/>
        <v>68.586619675955717</v>
      </c>
      <c r="GC110" s="20">
        <f t="shared" si="79"/>
        <v>620.49084073562256</v>
      </c>
      <c r="GD110" s="59">
        <f t="shared" si="80"/>
        <v>899.7314476284962</v>
      </c>
      <c r="GE110" s="59">
        <f ca="1">AVERAGE(OFFSET($GD$3,0,0,'Données projet'!$E$17+1,1))-AVERAGE(OFFSET($H$3,0,0,'Données projet'!$E$17+1,1))</f>
        <v>640.05156427113661</v>
      </c>
      <c r="GF110" s="59">
        <f t="shared" si="104"/>
        <v>308.77220155372902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18.031142353512262</v>
      </c>
      <c r="GM110" s="21">
        <f>EXP(-LN(2)/25)*GM109+(1-EXP(-LN(2)/25))/(LN(2)/25)*Calculateur!GH110*Calculateur!GJ110*VLOOKUP('Données projet'!$B$17,Paramètres!$A$1:$I$89,3,0)*0.475*44/12</f>
        <v>30.698814593989596</v>
      </c>
      <c r="GN110" s="21">
        <f>EXP(-LN(2)/2)*GN109+(1-EXP(-LN(2)/2))/(LN(2)/2)*GH110*GK110*VLOOKUP('Données projet'!$B$17,Paramètres!$A$1:$I$89,3,0)*0.475*44/12</f>
        <v>1.5706385122587549</v>
      </c>
      <c r="GO110" s="21">
        <f t="shared" si="81"/>
        <v>50.300595459760615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4.7884896048344674E-14</v>
      </c>
      <c r="P111" s="13">
        <f t="shared" si="87"/>
        <v>7.8374629847779921E-13</v>
      </c>
      <c r="Q111" s="20">
        <f t="shared" si="107"/>
        <v>1.4484243304663672E-12</v>
      </c>
      <c r="R111" s="59">
        <f t="shared" si="55"/>
        <v>279.48508419000075</v>
      </c>
      <c r="S111" s="59">
        <f ca="1">AVERAGE(OFFSET($R$3,0,0,'Données projet'!$E$9+1,1))-AVERAGE(OFFSET($H$3,0,0,'Données projet'!$E$9+1,1))</f>
        <v>456.35333554128226</v>
      </c>
      <c r="T111" s="59">
        <f t="shared" si="88"/>
        <v>296.4517290984877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117.59051616416457</v>
      </c>
      <c r="AA111" s="21">
        <f>EXP(-LN(2)/25)*AA110+(1-EXP(-LN(2)/25))/(LN(2)/25)*Calculateur!V111*Calculateur!X111*VLOOKUP('Données projet'!$B$9,Paramètres!$A$1:$I$89,3,0)*0.475*44/12</f>
        <v>26.470521970910262</v>
      </c>
      <c r="AB111" s="21">
        <f>EXP(-LN(2)/2)*AB110+(1-EXP(-LN(2)/2))/(LN(2)/2)*V111*Y111*VLOOKUP('Données projet'!$B$9,Paramètres!$A$1:$I$89,3,0)*0.475*44/12</f>
        <v>3.711511762480642</v>
      </c>
      <c r="AC111" s="22">
        <f t="shared" si="57"/>
        <v>147.77254989755548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408.246209980743</v>
      </c>
      <c r="AO111" s="59">
        <f t="shared" si="90"/>
        <v>394.10236303013903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32.782915577502386</v>
      </c>
      <c r="AV111" s="21">
        <f>EXP(-LN(2)/25)*AV110+(1-EXP(-LN(2)/25))/(LN(2)/25)*Calculateur!AQ111*Calculateur!AS111*VLOOKUP('Données projet'!$B$10,Paramètres!$A$1:$I$89,3,0)*0.475*44/12</f>
        <v>25.928811467164866</v>
      </c>
      <c r="AW111" s="21">
        <f>EXP(-LN(2)/2)*AW110+(1-EXP(-LN(2)/2))/(LN(2)/2)*AQ111*AT111*VLOOKUP('Données projet'!$B$10,Paramètres!$A$1:$I$89,3,0)*0.475*44/12</f>
        <v>4.1834142198108899E-3</v>
      </c>
      <c r="AX111" s="21">
        <f t="shared" si="60"/>
        <v>58.715910458887066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6.8811111111111085</v>
      </c>
      <c r="BD111" s="12">
        <f>IF('Données projet'!$A$88&gt;35,BD110+BC111-BL110,IF(A111&lt;'Données projet'!$A$88,$BA$205^A111,IF(A111='Données projet'!$A$88,'Données projet'!$B$88,BD110+BC111-BL110)))</f>
        <v>259.49444444444424</v>
      </c>
      <c r="BE111" s="13">
        <f>BD111*VLOOKUP('Données projet'!$B$11,Paramètres!$A$1:$I$89,3,0)*VLOOKUP('Données projet'!$B$11,Paramètres!$A$1:$I$89,5,0)</f>
        <v>263.12736666666649</v>
      </c>
      <c r="BF111" s="13">
        <f t="shared" si="91"/>
        <v>63.388541553044227</v>
      </c>
      <c r="BG111" s="20">
        <f t="shared" si="61"/>
        <v>568.68187348266281</v>
      </c>
      <c r="BH111" s="59">
        <f t="shared" si="62"/>
        <v>848.16695767266219</v>
      </c>
      <c r="BI111" s="59">
        <f ca="1">AVERAGE(OFFSET($BH$3,0,0,'Données projet'!$E$11+1,1))-AVERAGE(OFFSET($H$3,0,0,'Données projet'!$E$11+1,1))</f>
        <v>580.02848304986492</v>
      </c>
      <c r="BJ111" s="59">
        <f t="shared" si="92"/>
        <v>281.68891895586728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15.740295510158905</v>
      </c>
      <c r="BQ111" s="21">
        <f>EXP(-LN(2)/25)*BQ110+(1-EXP(-LN(2)/25))/(LN(2)/25)*Calculateur!BL111*Calculateur!BN111*VLOOKUP('Données projet'!$B$11,Paramètres!$A$1:$I$89,3,0)*0.475*44/12</f>
        <v>26.587095933491355</v>
      </c>
      <c r="BR111" s="21">
        <f>EXP(-LN(2)/2)*BR110+(1-EXP(-LN(2)/2))/(LN(2)/2)*BL111*BO111*VLOOKUP('Données projet'!$B$11,Paramètres!$A$1:$I$89,3,0)*0.475*44/12</f>
        <v>0.98889855181793895</v>
      </c>
      <c r="BS111" s="22">
        <f t="shared" si="63"/>
        <v>43.316289995468196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4.4337866711430253E-14</v>
      </c>
      <c r="CA111" s="13">
        <f t="shared" si="93"/>
        <v>7.3222115536967035E-13</v>
      </c>
      <c r="CB111" s="20">
        <f t="shared" si="64"/>
        <v>1.3525069634579169E-12</v>
      </c>
      <c r="CC111" s="59">
        <f t="shared" si="65"/>
        <v>279.48508419000069</v>
      </c>
      <c r="CD111" s="59">
        <f ca="1">AVERAGE(OFFSET($CC$3,0,0,'Données projet'!$E$12+1,1))-AVERAGE(OFFSET($H$3,0,0,'Données projet'!$E$12+1,1))</f>
        <v>308.85018589589453</v>
      </c>
      <c r="CE111" s="59">
        <f t="shared" si="94"/>
        <v>302.59481222418219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19.861895422008288</v>
      </c>
      <c r="CL111" s="21">
        <f>EXP(-LN(2)/25)*CL110+(1-EXP(-LN(2)/25))/(LN(2)/25)*Calculateur!CG111*Calculateur!CI111*VLOOKUP('Données projet'!$B$12,Paramètres!$A$1:$I$89,3,0)*0.475*44/12</f>
        <v>14.358022749009313</v>
      </c>
      <c r="CM111" s="21">
        <f>EXP(-LN(2)/2)*CM110+(1-EXP(-LN(2)/2))/(LN(2)/2)*CG111*CJ111*VLOOKUP('Données projet'!$B$12,Paramètres!$A$1:$I$89,3,0)*0.475*44/12</f>
        <v>8.1941594903857167E-5</v>
      </c>
      <c r="CN111" s="22">
        <f t="shared" si="66"/>
        <v>34.22000011261251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3.333333333333337</v>
      </c>
      <c r="CT111" s="12">
        <f>IF('Données projet'!$A$140&gt;35,CT110+CS111-DB110,IF(A111&lt;'Données projet'!$A$140,$CQ$205^A111,IF(A111='Données projet'!$A$140,'Données projet'!$B$140,CT110+CS111-DB110)))</f>
        <v>300.38461538461564</v>
      </c>
      <c r="CU111" s="17">
        <f>CT111*VLOOKUP('Données projet'!$B$13,Paramètres!$A$1:$I$89,3,0)*VLOOKUP('Données projet'!$B$13,Paramètres!$A$1:$I$89,5,0)</f>
        <v>201.49800000000019</v>
      </c>
      <c r="CV111" s="13">
        <f t="shared" si="95"/>
        <v>50.073239673089446</v>
      </c>
      <c r="CW111" s="20">
        <f t="shared" si="67"/>
        <v>438.15324243063105</v>
      </c>
      <c r="CX111" s="59">
        <f t="shared" si="68"/>
        <v>717.63832662063032</v>
      </c>
      <c r="CY111" s="59">
        <f ca="1">AVERAGE(OFFSET($CX$3,0,0,'Données projet'!$E$13+1,1))-AVERAGE(OFFSET($H$3,0,0,'Données projet'!$E$13+1,1))</f>
        <v>335.73816489539837</v>
      </c>
      <c r="CZ111" s="59">
        <f t="shared" si="96"/>
        <v>254.09787950201044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7.5846787092912127</v>
      </c>
      <c r="DG111" s="21">
        <f>EXP(-LN(2)/25)*DG110+(1-EXP(-LN(2)/25))/(LN(2)/25)*Calculateur!DB111*Calculateur!DD111*VLOOKUP('Données projet'!$B$13,Paramètres!$A$1:$I$89,3,0)*0.475*44/12</f>
        <v>8.3112370215034996</v>
      </c>
      <c r="DH111" s="21">
        <f>EXP(-LN(2)/2)*DH110+(1-EXP(-LN(2)/2))/(LN(2)/2)*DB111*DE111*VLOOKUP('Données projet'!$B$13,Paramètres!$A$1:$I$89,3,0)*0.475*44/12</f>
        <v>0.74215185638352521</v>
      </c>
      <c r="DI111" s="22">
        <f t="shared" si="69"/>
        <v>16.638067587178238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8.7540000000000013</v>
      </c>
      <c r="DO111" s="12">
        <f>IF('Données projet'!$A$166&gt;35,DO110+DN111-DW110,IF(A111&lt;'Données projet'!$A$166,$DL$205^A111,IF(A111='Données projet'!$A$166,'Données projet'!$B$166,DO110+DN111-DW110)))</f>
        <v>347.4100000000002</v>
      </c>
      <c r="DP111" s="17">
        <f>DO111*VLOOKUP('Données projet'!$B$14,Paramètres!$A$1:$I$89,3,0)*VLOOKUP('Données projet'!$B$14,Paramètres!$A$1:$I$89,5,0)</f>
        <v>336.01495200000022</v>
      </c>
      <c r="DQ111" s="13">
        <f t="shared" si="97"/>
        <v>78.676046173462595</v>
      </c>
      <c r="DR111" s="20">
        <f t="shared" si="70"/>
        <v>722.25348848544775</v>
      </c>
      <c r="DS111" s="59">
        <f t="shared" si="71"/>
        <v>1001.7385726754471</v>
      </c>
      <c r="DT111" s="59">
        <f ca="1">AVERAGE(OFFSET($DS$3,0,0,'Données projet'!$E$14+1,1))-AVERAGE(OFFSET($H$3,0,0,'Données projet'!$E$14+1,1))</f>
        <v>493.03862850474161</v>
      </c>
      <c r="DU111" s="59">
        <f t="shared" si="98"/>
        <v>312.51819065560528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42.121606257616094</v>
      </c>
      <c r="EB111" s="21">
        <f>EXP(-LN(2)/25)*EB110+(1-EXP(-LN(2)/25))/(LN(2)/25)*Calculateur!DW111*Calculateur!DY111*VLOOKUP('Données projet'!$B$14,Paramètres!$A$1:$I$89,3,0)*0.475*44/12</f>
        <v>22.887820345689168</v>
      </c>
      <c r="EC111" s="21">
        <f>EXP(-LN(2)/2)*EC110+(1-EXP(-LN(2)/2))/(LN(2)/2)*DW111*DZ111*VLOOKUP('Données projet'!$B$14,Paramètres!$A$1:$I$89,3,0)*0.475*44/12</f>
        <v>8.3304227184460042E-4</v>
      </c>
      <c r="ED111" s="22">
        <f t="shared" si="72"/>
        <v>65.010259645577108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8.7540000000000013</v>
      </c>
      <c r="EJ111" s="12">
        <f>IF('Données projet'!$A$192&gt;35,EJ110+EI111-ER110,IF(A111&lt;'Données projet'!$A$192,$EG$205^A111,IF(A111='Données projet'!$A$192,'Données projet'!$B$192,EJ110+EI111-ER110)))</f>
        <v>347.4100000000002</v>
      </c>
      <c r="EK111" s="17">
        <f>EJ111*VLOOKUP('Données projet'!$B$15,Paramètres!$A$1:$I$89,3,0)*VLOOKUP('Données projet'!$B$15,Paramètres!$A$1:$I$89,5,0)</f>
        <v>373.9521240000002</v>
      </c>
      <c r="EL111" s="13">
        <f t="shared" si="99"/>
        <v>86.475341601284939</v>
      </c>
      <c r="EM111" s="20">
        <f t="shared" si="73"/>
        <v>801.91116925557162</v>
      </c>
      <c r="EN111" s="59">
        <f t="shared" si="74"/>
        <v>1081.3962534455709</v>
      </c>
      <c r="EO111" s="59">
        <f ca="1">AVERAGE(OFFSET($EN$3,0,0,'Données projet'!$E$15+1,1))-AVERAGE(OFFSET($H$3,0,0,'Données projet'!$E$15+1,1))</f>
        <v>539.72194201710272</v>
      </c>
      <c r="EP111" s="59">
        <f t="shared" si="100"/>
        <v>340.76505385159362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46.877271480250158</v>
      </c>
      <c r="EW111" s="21">
        <f>EXP(-LN(2)/25)*EW110+(1-EXP(-LN(2)/25))/(LN(2)/25)*Calculateur!ER111*Calculateur!ET111*VLOOKUP('Données projet'!$B$15,Paramètres!$A$1:$I$89,3,0)*0.475*44/12</f>
        <v>25.471929094396003</v>
      </c>
      <c r="EX111" s="21">
        <f>EXP(-LN(2)/2)*EX110+(1-EXP(-LN(2)/2))/(LN(2)/2)*ER111*EU111*VLOOKUP('Données projet'!$B$15,Paramètres!$A$1:$I$89,3,0)*0.475*44/12</f>
        <v>9.270954315689922E-4</v>
      </c>
      <c r="EY111" s="22">
        <f t="shared" si="75"/>
        <v>72.350127670077725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>
        <f>FE111*VLOOKUP('Données projet'!$B$16,Paramètres!$A$1:$I$89,3,0)*VLOOKUP('Données projet'!$B$16,Paramètres!$A$1:$I$89,5,0)</f>
        <v>0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383.47860767209028</v>
      </c>
      <c r="FK111" s="59">
        <f t="shared" si="102"/>
        <v>370.49129421395628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30.441278750537919</v>
      </c>
      <c r="FR111" s="21">
        <f>EXP(-LN(2)/25)*FR110+(1-EXP(-LN(2)/25))/(LN(2)/25)*Calculateur!FM111*Calculateur!FO111*VLOOKUP('Données projet'!$B$16,Paramètres!$A$1:$I$89,3,0)*0.475*44/12</f>
        <v>24.07675350522452</v>
      </c>
      <c r="FS111" s="21">
        <f>EXP(-LN(2)/2)*FS110+(1-EXP(-LN(2)/2))/(LN(2)/2)*FM111*FP111*VLOOKUP('Données projet'!$B$16,Paramètres!$A$1:$I$89,3,0)*0.475*44/12</f>
        <v>3.8845989183958329E-3</v>
      </c>
      <c r="FT111" s="22">
        <f t="shared" si="78"/>
        <v>54.521916854680832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6.8811111111111085</v>
      </c>
      <c r="FZ111" s="12">
        <f>IF('Données projet'!$A$244&gt;35,FZ110+FY111-GH110,IF(A111&lt;'Données projet'!$A$244,$FW$205^A111,IF(A111='Données projet'!$A$244,'Données projet'!$B$244,FZ110+FY111-GH110)))</f>
        <v>259.49444444444424</v>
      </c>
      <c r="GA111" s="17">
        <f>FZ111*VLOOKUP('Données projet'!$B$17,Paramètres!$A$1:$I$89,3,0)*VLOOKUP('Données projet'!$B$17,Paramètres!$A$1:$I$89,5,0)</f>
        <v>295.5122733333331</v>
      </c>
      <c r="GB111" s="13">
        <f t="shared" si="103"/>
        <v>70.234839916588783</v>
      </c>
      <c r="GC111" s="20">
        <f t="shared" si="79"/>
        <v>637.00955557694726</v>
      </c>
      <c r="GD111" s="59">
        <f t="shared" si="80"/>
        <v>916.49463976694665</v>
      </c>
      <c r="GE111" s="59">
        <f ca="1">AVERAGE(OFFSET($GD$3,0,0,'Données projet'!$E$17+1,1))-AVERAGE(OFFSET($H$3,0,0,'Données projet'!$E$17+1,1))</f>
        <v>640.05156427113661</v>
      </c>
      <c r="GF111" s="59">
        <f t="shared" si="104"/>
        <v>308.77220155372902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17.677562649870769</v>
      </c>
      <c r="GM111" s="21">
        <f>EXP(-LN(2)/25)*GM110+(1-EXP(-LN(2)/25))/(LN(2)/25)*Calculateur!GH111*Calculateur!GJ111*VLOOKUP('Données projet'!$B$17,Paramètres!$A$1:$I$89,3,0)*0.475*44/12</f>
        <v>29.859353894536454</v>
      </c>
      <c r="GN111" s="21">
        <f>EXP(-LN(2)/2)*GN110+(1-EXP(-LN(2)/2))/(LN(2)/2)*GH111*GK111*VLOOKUP('Données projet'!$B$17,Paramètres!$A$1:$I$89,3,0)*0.475*44/12</f>
        <v>1.1106091428109162</v>
      </c>
      <c r="GO111" s="21">
        <f t="shared" si="81"/>
        <v>48.647525687218135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4.7884896048344674E-14</v>
      </c>
      <c r="P112" s="13">
        <f t="shared" si="87"/>
        <v>7.8374629847779921E-13</v>
      </c>
      <c r="Q112" s="20">
        <f t="shared" si="107"/>
        <v>1.4484243304663672E-12</v>
      </c>
      <c r="R112" s="59">
        <f t="shared" si="55"/>
        <v>279.7253203525907</v>
      </c>
      <c r="S112" s="59">
        <f ca="1">AVERAGE(OFFSET($R$3,0,0,'Données projet'!$E$9+1,1))-AVERAGE(OFFSET($H$3,0,0,'Données projet'!$E$9+1,1))</f>
        <v>456.35333554128226</v>
      </c>
      <c r="T112" s="59">
        <f t="shared" si="88"/>
        <v>296.4517290984877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115.28463786531809</v>
      </c>
      <c r="AA112" s="21">
        <f>EXP(-LN(2)/25)*AA111+(1-EXP(-LN(2)/25))/(LN(2)/25)*Calculateur!V112*Calculateur!X112*VLOOKUP('Données projet'!$B$9,Paramètres!$A$1:$I$89,3,0)*0.475*44/12</f>
        <v>25.74668415559147</v>
      </c>
      <c r="AB112" s="21">
        <f>EXP(-LN(2)/2)*AB111+(1-EXP(-LN(2)/2))/(LN(2)/2)*V112*Y112*VLOOKUP('Données projet'!$B$9,Paramètres!$A$1:$I$89,3,0)*0.475*44/12</f>
        <v>2.6244351357036968</v>
      </c>
      <c r="AC112" s="22">
        <f t="shared" si="57"/>
        <v>143.65575715661325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408.246209980743</v>
      </c>
      <c r="AO112" s="59">
        <f t="shared" si="90"/>
        <v>394.10236303013903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32.140062598631665</v>
      </c>
      <c r="AV112" s="21">
        <f>EXP(-LN(2)/25)*AV111+(1-EXP(-LN(2)/25))/(LN(2)/25)*Calculateur!AQ112*Calculateur!AS112*VLOOKUP('Données projet'!$B$10,Paramètres!$A$1:$I$89,3,0)*0.475*44/12</f>
        <v>25.219786754058308</v>
      </c>
      <c r="AW112" s="21">
        <f>EXP(-LN(2)/2)*AW111+(1-EXP(-LN(2)/2))/(LN(2)/2)*AQ112*AT112*VLOOKUP('Données projet'!$B$10,Paramètres!$A$1:$I$89,3,0)*0.475*44/12</f>
        <v>2.9581205633405104E-3</v>
      </c>
      <c r="AX112" s="21">
        <f t="shared" si="60"/>
        <v>57.362807473253319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6.8811111111111085</v>
      </c>
      <c r="BD112" s="12">
        <f>IF('Données projet'!$A$88&gt;35,BD111+BC112-BL111,IF(A112&lt;'Données projet'!$A$88,$BA$205^A112,IF(A112='Données projet'!$A$88,'Données projet'!$B$88,BD111+BC112-BL111)))</f>
        <v>266.37555555555537</v>
      </c>
      <c r="BE112" s="13">
        <f>BD112*VLOOKUP('Données projet'!$B$11,Paramètres!$A$1:$I$89,3,0)*VLOOKUP('Données projet'!$B$11,Paramètres!$A$1:$I$89,5,0)</f>
        <v>270.10481333333314</v>
      </c>
      <c r="BF112" s="13">
        <f t="shared" si="91"/>
        <v>64.87151281999401</v>
      </c>
      <c r="BG112" s="20">
        <f t="shared" si="61"/>
        <v>583.41710138371138</v>
      </c>
      <c r="BH112" s="59">
        <f t="shared" si="62"/>
        <v>863.14242173630066</v>
      </c>
      <c r="BI112" s="59">
        <f ca="1">AVERAGE(OFFSET($BH$3,0,0,'Données projet'!$E$11+1,1))-AVERAGE(OFFSET($H$3,0,0,'Données projet'!$E$11+1,1))</f>
        <v>580.02848304986492</v>
      </c>
      <c r="BJ112" s="59">
        <f t="shared" si="92"/>
        <v>281.68891895586728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15.431637915836966</v>
      </c>
      <c r="BQ112" s="21">
        <f>EXP(-LN(2)/25)*BQ111+(1-EXP(-LN(2)/25))/(LN(2)/25)*Calculateur!BL112*Calculateur!BN112*VLOOKUP('Données projet'!$B$11,Paramètres!$A$1:$I$89,3,0)*0.475*44/12</f>
        <v>25.860070397035425</v>
      </c>
      <c r="BR112" s="21">
        <f>EXP(-LN(2)/2)*BR111+(1-EXP(-LN(2)/2))/(LN(2)/2)*BL112*BO112*VLOOKUP('Données projet'!$B$11,Paramètres!$A$1:$I$89,3,0)*0.475*44/12</f>
        <v>0.69925687189602115</v>
      </c>
      <c r="BS112" s="22">
        <f t="shared" si="63"/>
        <v>41.990965184768406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4.4337866711430253E-14</v>
      </c>
      <c r="CA112" s="13">
        <f t="shared" si="93"/>
        <v>7.3222115536967035E-13</v>
      </c>
      <c r="CB112" s="20">
        <f t="shared" si="64"/>
        <v>1.3525069634579169E-12</v>
      </c>
      <c r="CC112" s="59">
        <f t="shared" si="65"/>
        <v>279.72532035259064</v>
      </c>
      <c r="CD112" s="59">
        <f ca="1">AVERAGE(OFFSET($CC$3,0,0,'Données projet'!$E$12+1,1))-AVERAGE(OFFSET($H$3,0,0,'Données projet'!$E$12+1,1))</f>
        <v>308.85018589589453</v>
      </c>
      <c r="CE112" s="59">
        <f t="shared" si="94"/>
        <v>302.59481222418219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19.472415767342699</v>
      </c>
      <c r="CL112" s="21">
        <f>EXP(-LN(2)/25)*CL111+(1-EXP(-LN(2)/25))/(LN(2)/25)*Calculateur!CG112*Calculateur!CI112*VLOOKUP('Données projet'!$B$12,Paramètres!$A$1:$I$89,3,0)*0.475*44/12</f>
        <v>13.965401861882054</v>
      </c>
      <c r="CM112" s="21">
        <f>EXP(-LN(2)/2)*CM111+(1-EXP(-LN(2)/2))/(LN(2)/2)*CG112*CJ112*VLOOKUP('Données projet'!$B$12,Paramètres!$A$1:$I$89,3,0)*0.475*44/12</f>
        <v>5.7941457417758449E-5</v>
      </c>
      <c r="CN112" s="22">
        <f t="shared" si="66"/>
        <v>33.437875570682174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3.333333333333337</v>
      </c>
      <c r="CT112" s="12">
        <f>IF('Données projet'!$A$140&gt;35,CT111+CS112-DB111,IF(A112&lt;'Données projet'!$A$140,$CQ$205^A112,IF(A112='Données projet'!$A$140,'Données projet'!$B$140,CT111+CS112-DB111)))</f>
        <v>303.71794871794896</v>
      </c>
      <c r="CU112" s="17">
        <f>CT112*VLOOKUP('Données projet'!$B$13,Paramètres!$A$1:$I$89,3,0)*VLOOKUP('Données projet'!$B$13,Paramètres!$A$1:$I$89,5,0)</f>
        <v>203.73400000000015</v>
      </c>
      <c r="CV112" s="13">
        <f t="shared" si="95"/>
        <v>50.563902362141675</v>
      </c>
      <c r="CW112" s="20">
        <f t="shared" si="67"/>
        <v>442.90217994739697</v>
      </c>
      <c r="CX112" s="59">
        <f t="shared" si="68"/>
        <v>722.6275002999862</v>
      </c>
      <c r="CY112" s="59">
        <f ca="1">AVERAGE(OFFSET($CX$3,0,0,'Données projet'!$E$13+1,1))-AVERAGE(OFFSET($H$3,0,0,'Données projet'!$E$13+1,1))</f>
        <v>335.73816489539837</v>
      </c>
      <c r="CZ112" s="59">
        <f t="shared" si="96"/>
        <v>254.09787950201044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7.4359477859992253</v>
      </c>
      <c r="DG112" s="21">
        <f>EXP(-LN(2)/25)*DG111+(1-EXP(-LN(2)/25))/(LN(2)/25)*Calculateur!DB112*Calculateur!DD112*VLOOKUP('Données projet'!$B$13,Paramètres!$A$1:$I$89,3,0)*0.475*44/12</f>
        <v>8.0839658080815262</v>
      </c>
      <c r="DH112" s="21">
        <f>EXP(-LN(2)/2)*DH111+(1-EXP(-LN(2)/2))/(LN(2)/2)*DB112*DE112*VLOOKUP('Données projet'!$B$13,Paramètres!$A$1:$I$89,3,0)*0.475*44/12</f>
        <v>0.52478061031897549</v>
      </c>
      <c r="DI112" s="22">
        <f t="shared" si="69"/>
        <v>16.044694204399725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8.7540000000000013</v>
      </c>
      <c r="DO112" s="12">
        <f>IF('Données projet'!$A$166&gt;35,DO111+DN112-DW111,IF(A112&lt;'Données projet'!$A$166,$DL$205^A112,IF(A112='Données projet'!$A$166,'Données projet'!$B$166,DO111+DN112-DW111)))</f>
        <v>356.16400000000021</v>
      </c>
      <c r="DP112" s="17">
        <f>DO112*VLOOKUP('Données projet'!$B$14,Paramètres!$A$1:$I$89,3,0)*VLOOKUP('Données projet'!$B$14,Paramètres!$A$1:$I$89,5,0)</f>
        <v>344.48182080000021</v>
      </c>
      <c r="DQ112" s="13">
        <f t="shared" si="97"/>
        <v>80.425212045957352</v>
      </c>
      <c r="DR112" s="20">
        <f t="shared" si="70"/>
        <v>740.04641554004274</v>
      </c>
      <c r="DS112" s="59">
        <f t="shared" si="71"/>
        <v>1019.771735892632</v>
      </c>
      <c r="DT112" s="59">
        <f ca="1">AVERAGE(OFFSET($DS$3,0,0,'Données projet'!$E$14+1,1))-AVERAGE(OFFSET($H$3,0,0,'Données projet'!$E$14+1,1))</f>
        <v>493.03862850474161</v>
      </c>
      <c r="DU112" s="59">
        <f t="shared" si="98"/>
        <v>312.51819065560528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41.29562725054722</v>
      </c>
      <c r="EB112" s="21">
        <f>EXP(-LN(2)/25)*EB111+(1-EXP(-LN(2)/25))/(LN(2)/25)*Calculateur!DW112*Calculateur!DY112*VLOOKUP('Données projet'!$B$14,Paramètres!$A$1:$I$89,3,0)*0.475*44/12</f>
        <v>22.261951694718135</v>
      </c>
      <c r="EC112" s="21">
        <f>EXP(-LN(2)/2)*EC111+(1-EXP(-LN(2)/2))/(LN(2)/2)*DW112*DZ112*VLOOKUP('Données projet'!$B$14,Paramètres!$A$1:$I$89,3,0)*0.475*44/12</f>
        <v>5.890498394363643E-4</v>
      </c>
      <c r="ED112" s="22">
        <f t="shared" si="72"/>
        <v>63.558167995104789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8.7540000000000013</v>
      </c>
      <c r="EJ112" s="12">
        <f>IF('Données projet'!$A$192&gt;35,EJ111+EI112-ER111,IF(A112&lt;'Données projet'!$A$192,$EG$205^A112,IF(A112='Données projet'!$A$192,'Données projet'!$B$192,EJ111+EI112-ER111)))</f>
        <v>356.16400000000021</v>
      </c>
      <c r="EK112" s="17">
        <f>EJ112*VLOOKUP('Données projet'!$B$15,Paramètres!$A$1:$I$89,3,0)*VLOOKUP('Données projet'!$B$15,Paramètres!$A$1:$I$89,5,0)</f>
        <v>383.3749296000002</v>
      </c>
      <c r="EL112" s="13">
        <f t="shared" si="99"/>
        <v>88.397905376386277</v>
      </c>
      <c r="EM112" s="20">
        <f t="shared" si="73"/>
        <v>821.67102091720653</v>
      </c>
      <c r="EN112" s="59">
        <f t="shared" si="74"/>
        <v>1101.3963412697958</v>
      </c>
      <c r="EO112" s="59">
        <f ca="1">AVERAGE(OFFSET($EN$3,0,0,'Données projet'!$E$15+1,1))-AVERAGE(OFFSET($H$3,0,0,'Données projet'!$E$15+1,1))</f>
        <v>539.72194201710272</v>
      </c>
      <c r="EP112" s="59">
        <f t="shared" si="100"/>
        <v>340.76505385159362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45.958036778834803</v>
      </c>
      <c r="EW112" s="21">
        <f>EXP(-LN(2)/25)*EW111+(1-EXP(-LN(2)/25))/(LN(2)/25)*Calculateur!ER112*Calculateur!ET112*VLOOKUP('Données projet'!$B$15,Paramètres!$A$1:$I$89,3,0)*0.475*44/12</f>
        <v>24.775397853799209</v>
      </c>
      <c r="EX112" s="21">
        <f>EXP(-LN(2)/2)*EX111+(1-EXP(-LN(2)/2))/(LN(2)/2)*ER112*EU112*VLOOKUP('Données projet'!$B$15,Paramètres!$A$1:$I$89,3,0)*0.475*44/12</f>
        <v>6.5555546646950326E-4</v>
      </c>
      <c r="EY112" s="22">
        <f t="shared" si="75"/>
        <v>70.734090188100481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>
        <f>FE112*VLOOKUP('Données projet'!$B$16,Paramètres!$A$1:$I$89,3,0)*VLOOKUP('Données projet'!$B$16,Paramètres!$A$1:$I$89,5,0)</f>
        <v>0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383.47860767209028</v>
      </c>
      <c r="FK112" s="59">
        <f t="shared" si="102"/>
        <v>370.49129421395628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29.844343841586536</v>
      </c>
      <c r="FR112" s="21">
        <f>EXP(-LN(2)/25)*FR111+(1-EXP(-LN(2)/25))/(LN(2)/25)*Calculateur!FM112*Calculateur!FO112*VLOOKUP('Données projet'!$B$16,Paramètres!$A$1:$I$89,3,0)*0.475*44/12</f>
        <v>23.418373414482716</v>
      </c>
      <c r="FS112" s="21">
        <f>EXP(-LN(2)/2)*FS111+(1-EXP(-LN(2)/2))/(LN(2)/2)*FM112*FP112*VLOOKUP('Données projet'!$B$16,Paramètres!$A$1:$I$89,3,0)*0.475*44/12</f>
        <v>2.7468262373876217E-3</v>
      </c>
      <c r="FT112" s="22">
        <f t="shared" si="78"/>
        <v>53.265464082306636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6.8811111111111085</v>
      </c>
      <c r="FZ112" s="12">
        <f>IF('Données projet'!$A$244&gt;35,FZ111+FY112-GH111,IF(A112&lt;'Données projet'!$A$244,$FW$205^A112,IF(A112='Données projet'!$A$244,'Données projet'!$B$244,FZ111+FY112-GH111)))</f>
        <v>266.37555555555537</v>
      </c>
      <c r="GA112" s="17">
        <f>FZ112*VLOOKUP('Données projet'!$B$17,Paramètres!$A$1:$I$89,3,0)*VLOOKUP('Données projet'!$B$17,Paramètres!$A$1:$I$89,5,0)</f>
        <v>303.34848266666648</v>
      </c>
      <c r="GB112" s="13">
        <f t="shared" si="103"/>
        <v>71.877979938164458</v>
      </c>
      <c r="GC112" s="20">
        <f t="shared" si="79"/>
        <v>653.51942237008052</v>
      </c>
      <c r="GD112" s="59">
        <f t="shared" si="80"/>
        <v>933.2447427226698</v>
      </c>
      <c r="GE112" s="59">
        <f ca="1">AVERAGE(OFFSET($GD$3,0,0,'Données projet'!$E$17+1,1))-AVERAGE(OFFSET($H$3,0,0,'Données projet'!$E$17+1,1))</f>
        <v>640.05156427113661</v>
      </c>
      <c r="GF112" s="59">
        <f t="shared" si="104"/>
        <v>308.77220155372902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17.330916428555362</v>
      </c>
      <c r="GM112" s="21">
        <f>EXP(-LN(2)/25)*GM111+(1-EXP(-LN(2)/25))/(LN(2)/25)*Calculateur!GH112*Calculateur!GJ112*VLOOKUP('Données projet'!$B$17,Paramètres!$A$1:$I$89,3,0)*0.475*44/12</f>
        <v>29.042848292055179</v>
      </c>
      <c r="GN112" s="21">
        <f>EXP(-LN(2)/2)*GN111+(1-EXP(-LN(2)/2))/(LN(2)/2)*GH112*GK112*VLOOKUP('Données projet'!$B$17,Paramètres!$A$1:$I$89,3,0)*0.475*44/12</f>
        <v>0.7853192561293777</v>
      </c>
      <c r="GO112" s="21">
        <f t="shared" si="81"/>
        <v>47.159083976739915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4.7884896048344674E-14</v>
      </c>
      <c r="P113" s="13">
        <f t="shared" si="87"/>
        <v>7.8374629847779921E-13</v>
      </c>
      <c r="Q113" s="20">
        <f t="shared" si="107"/>
        <v>1.4484243304663672E-12</v>
      </c>
      <c r="R113" s="59">
        <f t="shared" si="55"/>
        <v>279.96138895484728</v>
      </c>
      <c r="S113" s="59">
        <f ca="1">AVERAGE(OFFSET($R$3,0,0,'Données projet'!$E$9+1,1))-AVERAGE(OFFSET($H$3,0,0,'Données projet'!$E$9+1,1))</f>
        <v>456.35333554128226</v>
      </c>
      <c r="T113" s="59">
        <f t="shared" si="88"/>
        <v>296.4517290984877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113.02397643346511</v>
      </c>
      <c r="AA113" s="21">
        <f>EXP(-LN(2)/25)*AA112+(1-EXP(-LN(2)/25))/(LN(2)/25)*Calculateur!V113*Calculateur!X113*VLOOKUP('Données projet'!$B$9,Paramètres!$A$1:$I$89,3,0)*0.475*44/12</f>
        <v>25.042639723397546</v>
      </c>
      <c r="AB113" s="21">
        <f>EXP(-LN(2)/2)*AB112+(1-EXP(-LN(2)/2))/(LN(2)/2)*V113*Y113*VLOOKUP('Données projet'!$B$9,Paramètres!$A$1:$I$89,3,0)*0.475*44/12</f>
        <v>1.8557558812403212</v>
      </c>
      <c r="AC113" s="22">
        <f t="shared" si="57"/>
        <v>139.92237203810299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408.246209980743</v>
      </c>
      <c r="AO113" s="59">
        <f t="shared" si="90"/>
        <v>394.10236303013903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31.509815574574997</v>
      </c>
      <c r="AV113" s="21">
        <f>EXP(-LN(2)/25)*AV112+(1-EXP(-LN(2)/25))/(LN(2)/25)*Calculateur!AQ113*Calculateur!AS113*VLOOKUP('Données projet'!$B$10,Paramètres!$A$1:$I$89,3,0)*0.475*44/12</f>
        <v>24.53015035901764</v>
      </c>
      <c r="AW113" s="21">
        <f>EXP(-LN(2)/2)*AW112+(1-EXP(-LN(2)/2))/(LN(2)/2)*AQ113*AT113*VLOOKUP('Données projet'!$B$10,Paramètres!$A$1:$I$89,3,0)*0.475*44/12</f>
        <v>2.0917071099054449E-3</v>
      </c>
      <c r="AX113" s="21">
        <f t="shared" si="60"/>
        <v>56.042057640702545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6.8811111111111085</v>
      </c>
      <c r="BD113" s="12">
        <f>IF('Données projet'!$A$88&gt;35,BD112+BC113-BL112,IF(A113&lt;'Données projet'!$A$88,$BA$205^A113,IF(A113='Données projet'!$A$88,'Données projet'!$B$88,BD112+BC113-BL112)))</f>
        <v>273.25666666666649</v>
      </c>
      <c r="BE113" s="13">
        <f>BD113*VLOOKUP('Données projet'!$B$11,Paramètres!$A$1:$I$89,3,0)*VLOOKUP('Données projet'!$B$11,Paramètres!$A$1:$I$89,5,0)</f>
        <v>277.08225999999985</v>
      </c>
      <c r="BF113" s="13">
        <f t="shared" si="91"/>
        <v>66.350031133112068</v>
      </c>
      <c r="BG113" s="20">
        <f t="shared" si="61"/>
        <v>598.14457372350319</v>
      </c>
      <c r="BH113" s="59">
        <f t="shared" si="62"/>
        <v>878.10596267834899</v>
      </c>
      <c r="BI113" s="59">
        <f ca="1">AVERAGE(OFFSET($BH$3,0,0,'Données projet'!$E$11+1,1))-AVERAGE(OFFSET($H$3,0,0,'Données projet'!$E$11+1,1))</f>
        <v>580.02848304986492</v>
      </c>
      <c r="BJ113" s="59">
        <f t="shared" si="92"/>
        <v>281.68891895586728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15.129032908677138</v>
      </c>
      <c r="BQ113" s="21">
        <f>EXP(-LN(2)/25)*BQ112+(1-EXP(-LN(2)/25))/(LN(2)/25)*Calculateur!BL113*Calculateur!BN113*VLOOKUP('Données projet'!$B$11,Paramètres!$A$1:$I$89,3,0)*0.475*44/12</f>
        <v>25.152925412106494</v>
      </c>
      <c r="BR113" s="21">
        <f>EXP(-LN(2)/2)*BR112+(1-EXP(-LN(2)/2))/(LN(2)/2)*BL113*BO113*VLOOKUP('Données projet'!$B$11,Paramètres!$A$1:$I$89,3,0)*0.475*44/12</f>
        <v>0.49444927590896953</v>
      </c>
      <c r="BS113" s="22">
        <f t="shared" si="63"/>
        <v>40.7764075966926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4.4337866711430253E-14</v>
      </c>
      <c r="CA113" s="13">
        <f t="shared" si="93"/>
        <v>7.3222115536967035E-13</v>
      </c>
      <c r="CB113" s="20">
        <f t="shared" si="64"/>
        <v>1.3525069634579169E-12</v>
      </c>
      <c r="CC113" s="59">
        <f t="shared" si="65"/>
        <v>279.96138895484722</v>
      </c>
      <c r="CD113" s="59">
        <f ca="1">AVERAGE(OFFSET($CC$3,0,0,'Données projet'!$E$12+1,1))-AVERAGE(OFFSET($H$3,0,0,'Données projet'!$E$12+1,1))</f>
        <v>308.85018589589453</v>
      </c>
      <c r="CE113" s="59">
        <f t="shared" si="94"/>
        <v>302.59481222418219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19.090573571145971</v>
      </c>
      <c r="CL113" s="21">
        <f>EXP(-LN(2)/25)*CL112+(1-EXP(-LN(2)/25))/(LN(2)/25)*Calculateur!CG113*Calculateur!CI113*VLOOKUP('Données projet'!$B$12,Paramètres!$A$1:$I$89,3,0)*0.475*44/12</f>
        <v>13.583517213560324</v>
      </c>
      <c r="CM113" s="21">
        <f>EXP(-LN(2)/2)*CM112+(1-EXP(-LN(2)/2))/(LN(2)/2)*CG113*CJ113*VLOOKUP('Données projet'!$B$12,Paramètres!$A$1:$I$89,3,0)*0.475*44/12</f>
        <v>4.0970797451928584E-5</v>
      </c>
      <c r="CN113" s="22">
        <f t="shared" si="66"/>
        <v>32.674131755503744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307.05128205128204</v>
      </c>
      <c r="CR113" s="12">
        <f>VLOOKUP(A113,'Données projet'!$A$139:$I$159,9,0)</f>
        <v>3.333333333333337</v>
      </c>
      <c r="CS113" s="12">
        <f t="array" ref="CS113">INDEX(CR:CR,MIN(IF(ISNUMBER(CR113:CR309),ROW(CR113:CR309),"")))</f>
        <v>3.333333333333337</v>
      </c>
      <c r="CT113" s="12">
        <f>IF('Données projet'!$A$140&gt;35,CT112+CS113-DB112,IF(A113&lt;'Données projet'!$A$140,$CQ$205^A113,IF(A113='Données projet'!$A$140,'Données projet'!$B$140,CT112+CS113-DB112)))</f>
        <v>307.05128205128227</v>
      </c>
      <c r="CU113" s="17">
        <f>CT113*VLOOKUP('Données projet'!$B$13,Paramètres!$A$1:$I$89,3,0)*VLOOKUP('Données projet'!$B$13,Paramètres!$A$1:$I$89,5,0)</f>
        <v>205.97000000000017</v>
      </c>
      <c r="CV113" s="13">
        <f t="shared" si="95"/>
        <v>51.053938616003585</v>
      </c>
      <c r="CW113" s="20">
        <f t="shared" si="67"/>
        <v>447.65002642287322</v>
      </c>
      <c r="CX113" s="59">
        <f t="shared" si="68"/>
        <v>727.61141537771914</v>
      </c>
      <c r="CY113" s="59">
        <f ca="1">AVERAGE(OFFSET($CX$3,0,0,'Données projet'!$E$13+1,1))-AVERAGE(OFFSET($H$3,0,0,'Données projet'!$E$13+1,1))</f>
        <v>335.73816489539837</v>
      </c>
      <c r="CZ113" s="59">
        <f t="shared" si="96"/>
        <v>254.09787950201044</v>
      </c>
      <c r="DA113" s="15">
        <f>IF(ISNA(VLOOKUP(A113,'Données projet'!$A$139:$I$159,3,0)),0,VLOOKUP(A113,'Données projet'!$A$139:$I$159,3,0))</f>
        <v>20</v>
      </c>
      <c r="DB113" s="15">
        <f>IF(ISNA(VLOOKUP(A113,'Données projet'!$A$139:$I$159,4,0)),0,VLOOKUP(A113,'Données projet'!$A$139:$I$159,4,0))</f>
        <v>307.05128205128204</v>
      </c>
      <c r="DC113" s="16">
        <f>IF(ISNA(VLOOKUP(A113,'Données projet'!$A$139:$I$159,5,0)),0%,VLOOKUP(A113,'Données projet'!$A$139:$I$159,5,0)*VLOOKUP('Données projet'!$B$13,Paramètres!$A$1:$I$89,7,0))</f>
        <v>0.13250000000000001</v>
      </c>
      <c r="DD113" s="16">
        <f>IF(ISNA(VLOOKUP(A113,'Données projet'!$A$139:$I$159,6,0)),0%,VLOOKUP(A113,'Données projet'!$A$139:$I$159,6,0)*VLOOKUP('Données projet'!$B$13,Paramètres!$A$1:$I$89,7,0))</f>
        <v>0.13250000000000001</v>
      </c>
      <c r="DE113" s="16">
        <f>IF(ISNA(VLOOKUP(A113,'Données projet'!$A$139:$I$159,7,0)),0%,VLOOKUP(A113,'Données projet'!$A$139:$I$159,7,0))</f>
        <v>0.25</v>
      </c>
      <c r="DF113" s="21">
        <f>EXP(-LN(2)/35)*DF112+(1-EXP(-LN(2)/35))/(LN(2)/35)*DB113*DC113*VLOOKUP('Données projet'!$B$13,Paramètres!$A$1:$I$89,3,0)*0.475*44/12</f>
        <v>37.459553149989318</v>
      </c>
      <c r="DG113" s="21">
        <f>EXP(-LN(2)/25)*DG112+(1-EXP(-LN(2)/25))/(LN(2)/25)*Calculateur!DB113*Calculateur!DD113*VLOOKUP('Données projet'!$B$13,Paramètres!$A$1:$I$89,3,0)*0.475*44/12</f>
        <v>37.913540601472121</v>
      </c>
      <c r="DH113" s="21">
        <f>EXP(-LN(2)/2)*DH112+(1-EXP(-LN(2)/2))/(LN(2)/2)*DB113*DE113*VLOOKUP('Données projet'!$B$13,Paramètres!$A$1:$I$89,3,0)*0.475*44/12</f>
        <v>48.955635578509714</v>
      </c>
      <c r="DI113" s="22">
        <f t="shared" si="69"/>
        <v>124.32872932997115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8.7540000000000013</v>
      </c>
      <c r="DO113" s="12">
        <f>IF('Données projet'!$A$166&gt;35,DO112+DN113-DW112,IF(A113&lt;'Données projet'!$A$166,$DL$205^A113,IF(A113='Données projet'!$A$166,'Données projet'!$B$166,DO112+DN113-DW112)))</f>
        <v>364.91800000000023</v>
      </c>
      <c r="DP113" s="17">
        <f>DO113*VLOOKUP('Données projet'!$B$14,Paramètres!$A$1:$I$89,3,0)*VLOOKUP('Données projet'!$B$14,Paramètres!$A$1:$I$89,5,0)</f>
        <v>352.94868960000019</v>
      </c>
      <c r="DQ113" s="13">
        <f t="shared" si="97"/>
        <v>82.169380271026938</v>
      </c>
      <c r="DR113" s="20">
        <f t="shared" si="70"/>
        <v>757.83063835870553</v>
      </c>
      <c r="DS113" s="59">
        <f t="shared" si="71"/>
        <v>1037.7920273135514</v>
      </c>
      <c r="DT113" s="59">
        <f ca="1">AVERAGE(OFFSET($DS$3,0,0,'Données projet'!$E$14+1,1))-AVERAGE(OFFSET($H$3,0,0,'Données projet'!$E$14+1,1))</f>
        <v>493.03862850474161</v>
      </c>
      <c r="DU113" s="59">
        <f t="shared" si="98"/>
        <v>312.51819065560528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40.48584518800952</v>
      </c>
      <c r="EB113" s="21">
        <f>EXP(-LN(2)/25)*EB112+(1-EXP(-LN(2)/25))/(LN(2)/25)*Calculateur!DW113*Calculateur!DY113*VLOOKUP('Données projet'!$B$14,Paramètres!$A$1:$I$89,3,0)*0.475*44/12</f>
        <v>21.65319745492091</v>
      </c>
      <c r="EC113" s="21">
        <f>EXP(-LN(2)/2)*EC112+(1-EXP(-LN(2)/2))/(LN(2)/2)*DW113*DZ113*VLOOKUP('Données projet'!$B$14,Paramètres!$A$1:$I$89,3,0)*0.475*44/12</f>
        <v>4.1652113592230021E-4</v>
      </c>
      <c r="ED113" s="22">
        <f t="shared" si="72"/>
        <v>62.139459164066359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8.7540000000000013</v>
      </c>
      <c r="EJ113" s="12">
        <f>IF('Données projet'!$A$192&gt;35,EJ112+EI113-ER112,IF(A113&lt;'Données projet'!$A$192,$EG$205^A113,IF(A113='Données projet'!$A$192,'Données projet'!$B$192,EJ112+EI113-ER112)))</f>
        <v>364.91800000000023</v>
      </c>
      <c r="EK113" s="17">
        <f>EJ113*VLOOKUP('Données projet'!$B$15,Paramètres!$A$1:$I$89,3,0)*VLOOKUP('Données projet'!$B$15,Paramètres!$A$1:$I$89,5,0)</f>
        <v>392.7977352000002</v>
      </c>
      <c r="EL113" s="13">
        <f t="shared" si="99"/>
        <v>90.314976078445369</v>
      </c>
      <c r="EM113" s="20">
        <f t="shared" si="73"/>
        <v>841.42130547662589</v>
      </c>
      <c r="EN113" s="59">
        <f t="shared" si="74"/>
        <v>1121.3826944314717</v>
      </c>
      <c r="EO113" s="59">
        <f ca="1">AVERAGE(OFFSET($EN$3,0,0,'Données projet'!$E$15+1,1))-AVERAGE(OFFSET($H$3,0,0,'Données projet'!$E$15+1,1))</f>
        <v>539.72194201710272</v>
      </c>
      <c r="EP113" s="59">
        <f t="shared" si="100"/>
        <v>340.76505385159362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45.056827709236394</v>
      </c>
      <c r="EW113" s="21">
        <f>EXP(-LN(2)/25)*EW112+(1-EXP(-LN(2)/25))/(LN(2)/25)*Calculateur!ER113*Calculateur!ET113*VLOOKUP('Données projet'!$B$15,Paramètres!$A$1:$I$89,3,0)*0.475*44/12</f>
        <v>24.097913296605523</v>
      </c>
      <c r="EX113" s="21">
        <f>EXP(-LN(2)/2)*EX112+(1-EXP(-LN(2)/2))/(LN(2)/2)*ER113*EU113*VLOOKUP('Données projet'!$B$15,Paramètres!$A$1:$I$89,3,0)*0.475*44/12</f>
        <v>4.6354771578449615E-4</v>
      </c>
      <c r="EY113" s="22">
        <f t="shared" si="75"/>
        <v>69.155204553557695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>
        <f>FE113*VLOOKUP('Données projet'!$B$16,Paramètres!$A$1:$I$89,3,0)*VLOOKUP('Données projet'!$B$16,Paramètres!$A$1:$I$89,5,0)</f>
        <v>0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383.47860767209028</v>
      </c>
      <c r="FK113" s="59">
        <f t="shared" si="102"/>
        <v>370.49129421395628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29.259114462105345</v>
      </c>
      <c r="FR113" s="21">
        <f>EXP(-LN(2)/25)*FR112+(1-EXP(-LN(2)/25))/(LN(2)/25)*Calculateur!FM113*Calculateur!FO113*VLOOKUP('Données projet'!$B$16,Paramètres!$A$1:$I$89,3,0)*0.475*44/12</f>
        <v>22.777996761944951</v>
      </c>
      <c r="FS113" s="21">
        <f>EXP(-LN(2)/2)*FS112+(1-EXP(-LN(2)/2))/(LN(2)/2)*FM113*FP113*VLOOKUP('Données projet'!$B$16,Paramètres!$A$1:$I$89,3,0)*0.475*44/12</f>
        <v>1.9422994591979169E-3</v>
      </c>
      <c r="FT113" s="22">
        <f t="shared" si="78"/>
        <v>52.039053523509487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6.8811111111111085</v>
      </c>
      <c r="FZ113" s="12">
        <f>IF('Données projet'!$A$244&gt;35,FZ112+FY113-GH112,IF(A113&lt;'Données projet'!$A$244,$FW$205^A113,IF(A113='Données projet'!$A$244,'Données projet'!$B$244,FZ112+FY113-GH112)))</f>
        <v>273.25666666666649</v>
      </c>
      <c r="GA113" s="17">
        <f>FZ113*VLOOKUP('Données projet'!$B$17,Paramètres!$A$1:$I$89,3,0)*VLOOKUP('Données projet'!$B$17,Paramètres!$A$1:$I$89,5,0)</f>
        <v>311.18469199999981</v>
      </c>
      <c r="GB113" s="13">
        <f t="shared" si="103"/>
        <v>73.51618606329977</v>
      </c>
      <c r="GC113" s="20">
        <f t="shared" si="79"/>
        <v>670.02069596024683</v>
      </c>
      <c r="GD113" s="59">
        <f t="shared" si="80"/>
        <v>949.98208491509263</v>
      </c>
      <c r="GE113" s="59">
        <f ca="1">AVERAGE(OFFSET($GD$3,0,0,'Données projet'!$E$17+1,1))-AVERAGE(OFFSET($H$3,0,0,'Données projet'!$E$17+1,1))</f>
        <v>640.05156427113661</v>
      </c>
      <c r="GF113" s="59">
        <f t="shared" si="104"/>
        <v>308.77220155372902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16.99106772820663</v>
      </c>
      <c r="GM113" s="21">
        <f>EXP(-LN(2)/25)*GM112+(1-EXP(-LN(2)/25))/(LN(2)/25)*Calculateur!GH113*Calculateur!GJ113*VLOOKUP('Données projet'!$B$17,Paramètres!$A$1:$I$89,3,0)*0.475*44/12</f>
        <v>28.248670078211916</v>
      </c>
      <c r="GN113" s="21">
        <f>EXP(-LN(2)/2)*GN112+(1-EXP(-LN(2)/2))/(LN(2)/2)*GH113*GK113*VLOOKUP('Données projet'!$B$17,Paramètres!$A$1:$I$89,3,0)*0.475*44/12</f>
        <v>0.55530457140545819</v>
      </c>
      <c r="GO113" s="21">
        <f t="shared" si="81"/>
        <v>45.795042377824004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4.7884896048344674E-14</v>
      </c>
      <c r="P114" s="13">
        <f t="shared" si="87"/>
        <v>7.8374629847779921E-13</v>
      </c>
      <c r="Q114" s="20">
        <f t="shared" si="107"/>
        <v>1.4484243304663672E-12</v>
      </c>
      <c r="R114" s="59">
        <f t="shared" si="55"/>
        <v>280.19336229462499</v>
      </c>
      <c r="S114" s="59">
        <f ca="1">AVERAGE(OFFSET($R$3,0,0,'Données projet'!$E$9+1,1))-AVERAGE(OFFSET($H$3,0,0,'Données projet'!$E$9+1,1))</f>
        <v>456.35333554128226</v>
      </c>
      <c r="T114" s="59">
        <f t="shared" si="88"/>
        <v>296.4517290984877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110.80764519342344</v>
      </c>
      <c r="AA114" s="21">
        <f>EXP(-LN(2)/25)*AA113+(1-EXP(-LN(2)/25))/(LN(2)/25)*Calculateur!V114*Calculateur!X114*VLOOKUP('Données projet'!$B$9,Paramètres!$A$1:$I$89,3,0)*0.475*44/12</f>
        <v>24.357847423226051</v>
      </c>
      <c r="AB114" s="21">
        <f>EXP(-LN(2)/2)*AB113+(1-EXP(-LN(2)/2))/(LN(2)/2)*V114*Y114*VLOOKUP('Données projet'!$B$9,Paramètres!$A$1:$I$89,3,0)*0.475*44/12</f>
        <v>1.3122175678518486</v>
      </c>
      <c r="AC114" s="22">
        <f t="shared" si="57"/>
        <v>136.47771018450135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408.246209980743</v>
      </c>
      <c r="AO114" s="59">
        <f t="shared" si="90"/>
        <v>394.10236303013903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30.891927310247354</v>
      </c>
      <c r="AV114" s="21">
        <f>EXP(-LN(2)/25)*AV113+(1-EXP(-LN(2)/25))/(LN(2)/25)*Calculateur!AQ114*Calculateur!AS114*VLOOKUP('Données projet'!$B$10,Paramètres!$A$1:$I$89,3,0)*0.475*44/12</f>
        <v>23.859372107465759</v>
      </c>
      <c r="AW114" s="21">
        <f>EXP(-LN(2)/2)*AW113+(1-EXP(-LN(2)/2))/(LN(2)/2)*AQ114*AT114*VLOOKUP('Données projet'!$B$10,Paramètres!$A$1:$I$89,3,0)*0.475*44/12</f>
        <v>1.4790602816702552E-3</v>
      </c>
      <c r="AX114" s="21">
        <f t="shared" si="60"/>
        <v>54.752778477994781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6.8811111111111085</v>
      </c>
      <c r="BD114" s="12">
        <f>IF('Données projet'!$A$88&gt;35,BD113+BC114-BL113,IF(A114&lt;'Données projet'!$A$88,$BA$205^A114,IF(A114='Données projet'!$A$88,'Données projet'!$B$88,BD113+BC114-BL113)))</f>
        <v>280.13777777777761</v>
      </c>
      <c r="BE114" s="13">
        <f>BD114*VLOOKUP('Données projet'!$B$11,Paramètres!$A$1:$I$89,3,0)*VLOOKUP('Données projet'!$B$11,Paramètres!$A$1:$I$89,5,0)</f>
        <v>284.0597066666665</v>
      </c>
      <c r="BF114" s="13">
        <f t="shared" si="91"/>
        <v>67.824221521859315</v>
      </c>
      <c r="BG114" s="20">
        <f t="shared" si="61"/>
        <v>612.86450826168243</v>
      </c>
      <c r="BH114" s="59">
        <f t="shared" si="62"/>
        <v>893.05787055630594</v>
      </c>
      <c r="BI114" s="59">
        <f ca="1">AVERAGE(OFFSET($BH$3,0,0,'Données projet'!$E$11+1,1))-AVERAGE(OFFSET($H$3,0,0,'Données projet'!$E$11+1,1))</f>
        <v>580.02848304986492</v>
      </c>
      <c r="BJ114" s="59">
        <f t="shared" si="92"/>
        <v>281.68891895586728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14.832361801136884</v>
      </c>
      <c r="BQ114" s="21">
        <f>EXP(-LN(2)/25)*BQ113+(1-EXP(-LN(2)/25))/(LN(2)/25)*Calculateur!BL114*Calculateur!BN114*VLOOKUP('Données projet'!$B$11,Paramètres!$A$1:$I$89,3,0)*0.475*44/12</f>
        <v>24.465117343977582</v>
      </c>
      <c r="BR114" s="21">
        <f>EXP(-LN(2)/2)*BR113+(1-EXP(-LN(2)/2))/(LN(2)/2)*BL114*BO114*VLOOKUP('Données projet'!$B$11,Paramètres!$A$1:$I$89,3,0)*0.475*44/12</f>
        <v>0.34962843594801063</v>
      </c>
      <c r="BS114" s="22">
        <f t="shared" si="63"/>
        <v>39.647107581062478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4.4337866711430253E-14</v>
      </c>
      <c r="CA114" s="13">
        <f t="shared" si="93"/>
        <v>7.3222115536967035E-13</v>
      </c>
      <c r="CB114" s="20">
        <f t="shared" si="64"/>
        <v>1.3525069634579169E-12</v>
      </c>
      <c r="CC114" s="59">
        <f t="shared" si="65"/>
        <v>280.19336229462493</v>
      </c>
      <c r="CD114" s="59">
        <f ca="1">AVERAGE(OFFSET($CC$3,0,0,'Données projet'!$E$12+1,1))-AVERAGE(OFFSET($H$3,0,0,'Données projet'!$E$12+1,1))</f>
        <v>308.85018589589453</v>
      </c>
      <c r="CE114" s="59">
        <f t="shared" si="94"/>
        <v>302.59481222418219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18.716219067515919</v>
      </c>
      <c r="CL114" s="21">
        <f>EXP(-LN(2)/25)*CL113+(1-EXP(-LN(2)/25))/(LN(2)/25)*Calculateur!CG114*Calculateur!CI114*VLOOKUP('Données projet'!$B$12,Paramètres!$A$1:$I$89,3,0)*0.475*44/12</f>
        <v>13.212075221029393</v>
      </c>
      <c r="CM114" s="21">
        <f>EXP(-LN(2)/2)*CM113+(1-EXP(-LN(2)/2))/(LN(2)/2)*CG114*CJ114*VLOOKUP('Données projet'!$B$12,Paramètres!$A$1:$I$89,3,0)*0.475*44/12</f>
        <v>2.8970728708879224E-5</v>
      </c>
      <c r="CN114" s="22">
        <f t="shared" si="66"/>
        <v>31.92832325927402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2.2737367544323206E-13</v>
      </c>
      <c r="CU114" s="17">
        <f>CT114*VLOOKUP('Données projet'!$B$13,Paramètres!$A$1:$I$89,3,0)*VLOOKUP('Données projet'!$B$13,Paramètres!$A$1:$I$89,5,0)</f>
        <v>1.5252226148732008E-13</v>
      </c>
      <c r="CV114" s="13">
        <f t="shared" si="95"/>
        <v>2.1814502464536512E-12</v>
      </c>
      <c r="CW114" s="20">
        <f t="shared" si="67"/>
        <v>4.0650021179971913E-12</v>
      </c>
      <c r="CX114" s="59">
        <f t="shared" si="68"/>
        <v>280.19336229462766</v>
      </c>
      <c r="CY114" s="59">
        <f ca="1">AVERAGE(OFFSET($CX$3,0,0,'Données projet'!$E$13+1,1))-AVERAGE(OFFSET($H$3,0,0,'Données projet'!$E$13+1,1))</f>
        <v>335.73816489539837</v>
      </c>
      <c r="CZ114" s="59">
        <f t="shared" si="96"/>
        <v>254.09787950201044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36.724994160789393</v>
      </c>
      <c r="DG114" s="21">
        <f>EXP(-LN(2)/25)*DG113+(1-EXP(-LN(2)/25))/(LN(2)/25)*Calculateur!DB114*Calculateur!DD114*VLOOKUP('Données projet'!$B$13,Paramètres!$A$1:$I$89,3,0)*0.475*44/12</f>
        <v>36.876792839938418</v>
      </c>
      <c r="DH114" s="21">
        <f>EXP(-LN(2)/2)*DH113+(1-EXP(-LN(2)/2))/(LN(2)/2)*DB114*DE114*VLOOKUP('Données projet'!$B$13,Paramètres!$A$1:$I$89,3,0)*0.475*44/12</f>
        <v>34.616861894861628</v>
      </c>
      <c r="DI114" s="22">
        <f t="shared" si="69"/>
        <v>108.21864889558944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8.7540000000000013</v>
      </c>
      <c r="DO114" s="12">
        <f>IF('Données projet'!$A$166&gt;35,DO113+DN114-DW113,IF(A114&lt;'Données projet'!$A$166,$DL$205^A114,IF(A114='Données projet'!$A$166,'Données projet'!$B$166,DO113+DN114-DW113)))</f>
        <v>373.67200000000025</v>
      </c>
      <c r="DP114" s="17">
        <f>DO114*VLOOKUP('Données projet'!$B$14,Paramètres!$A$1:$I$89,3,0)*VLOOKUP('Données projet'!$B$14,Paramètres!$A$1:$I$89,5,0)</f>
        <v>361.41555840000029</v>
      </c>
      <c r="DQ114" s="13">
        <f t="shared" si="97"/>
        <v>83.908684531224125</v>
      </c>
      <c r="DR114" s="20">
        <f t="shared" si="70"/>
        <v>775.60638977188239</v>
      </c>
      <c r="DS114" s="59">
        <f t="shared" si="71"/>
        <v>1055.799752066506</v>
      </c>
      <c r="DT114" s="59">
        <f ca="1">AVERAGE(OFFSET($DS$3,0,0,'Données projet'!$E$14+1,1))-AVERAGE(OFFSET($H$3,0,0,'Données projet'!$E$14+1,1))</f>
        <v>493.03862850474161</v>
      </c>
      <c r="DU114" s="59">
        <f t="shared" si="98"/>
        <v>312.51819065560528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39.691942457799897</v>
      </c>
      <c r="EB114" s="21">
        <f>EXP(-LN(2)/25)*EB113+(1-EXP(-LN(2)/25))/(LN(2)/25)*Calculateur!DW114*Calculateur!DY114*VLOOKUP('Données projet'!$B$14,Paramètres!$A$1:$I$89,3,0)*0.475*44/12</f>
        <v>21.061089631823933</v>
      </c>
      <c r="EC114" s="21">
        <f>EXP(-LN(2)/2)*EC113+(1-EXP(-LN(2)/2))/(LN(2)/2)*DW114*DZ114*VLOOKUP('Données projet'!$B$14,Paramètres!$A$1:$I$89,3,0)*0.475*44/12</f>
        <v>2.9452491971818215E-4</v>
      </c>
      <c r="ED114" s="22">
        <f t="shared" si="72"/>
        <v>60.753326614543546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8.7540000000000013</v>
      </c>
      <c r="EJ114" s="12">
        <f>IF('Données projet'!$A$192&gt;35,EJ113+EI114-ER113,IF(A114&lt;'Données projet'!$A$192,$EG$205^A114,IF(A114='Données projet'!$A$192,'Données projet'!$B$192,EJ113+EI114-ER113)))</f>
        <v>373.67200000000025</v>
      </c>
      <c r="EK114" s="17">
        <f>EJ114*VLOOKUP('Données projet'!$B$15,Paramètres!$A$1:$I$89,3,0)*VLOOKUP('Données projet'!$B$15,Paramètres!$A$1:$I$89,5,0)</f>
        <v>402.22054080000021</v>
      </c>
      <c r="EL114" s="13">
        <f t="shared" si="99"/>
        <v>92.2267006422028</v>
      </c>
      <c r="EM114" s="20">
        <f t="shared" si="73"/>
        <v>861.16227884517014</v>
      </c>
      <c r="EN114" s="59">
        <f t="shared" si="74"/>
        <v>1141.3556411397938</v>
      </c>
      <c r="EO114" s="59">
        <f ca="1">AVERAGE(OFFSET($EN$3,0,0,'Données projet'!$E$15+1,1))-AVERAGE(OFFSET($H$3,0,0,'Données projet'!$E$15+1,1))</f>
        <v>539.72194201710272</v>
      </c>
      <c r="EP114" s="59">
        <f t="shared" si="100"/>
        <v>340.76505385159362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44.173290799809557</v>
      </c>
      <c r="EW114" s="21">
        <f>EXP(-LN(2)/25)*EW113+(1-EXP(-LN(2)/25))/(LN(2)/25)*Calculateur!ER114*Calculateur!ET114*VLOOKUP('Données projet'!$B$15,Paramètres!$A$1:$I$89,3,0)*0.475*44/12</f>
        <v>23.438954590255662</v>
      </c>
      <c r="EX114" s="21">
        <f>EXP(-LN(2)/2)*EX113+(1-EXP(-LN(2)/2))/(LN(2)/2)*ER114*EU114*VLOOKUP('Données projet'!$B$15,Paramètres!$A$1:$I$89,3,0)*0.475*44/12</f>
        <v>3.2777773323475169E-4</v>
      </c>
      <c r="EY114" s="22">
        <f t="shared" si="75"/>
        <v>67.612573167798459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>
        <f>FE114*VLOOKUP('Données projet'!$B$16,Paramètres!$A$1:$I$89,3,0)*VLOOKUP('Données projet'!$B$16,Paramètres!$A$1:$I$89,5,0)</f>
        <v>0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383.47860767209028</v>
      </c>
      <c r="FK114" s="59">
        <f t="shared" si="102"/>
        <v>370.49129421395628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28.685361073801104</v>
      </c>
      <c r="FR114" s="21">
        <f>EXP(-LN(2)/25)*FR113+(1-EXP(-LN(2)/25))/(LN(2)/25)*Calculateur!FM114*Calculateur!FO114*VLOOKUP('Données projet'!$B$16,Paramètres!$A$1:$I$89,3,0)*0.475*44/12</f>
        <v>22.155131242646778</v>
      </c>
      <c r="FS114" s="21">
        <f>EXP(-LN(2)/2)*FS113+(1-EXP(-LN(2)/2))/(LN(2)/2)*FM114*FP114*VLOOKUP('Données projet'!$B$16,Paramètres!$A$1:$I$89,3,0)*0.475*44/12</f>
        <v>1.3734131186938111E-3</v>
      </c>
      <c r="FT114" s="22">
        <f t="shared" si="78"/>
        <v>50.841865729566571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6.8811111111111085</v>
      </c>
      <c r="FZ114" s="12">
        <f>IF('Données projet'!$A$244&gt;35,FZ113+FY114-GH113,IF(A114&lt;'Données projet'!$A$244,$FW$205^A114,IF(A114='Données projet'!$A$244,'Données projet'!$B$244,FZ113+FY114-GH113)))</f>
        <v>280.13777777777761</v>
      </c>
      <c r="GA114" s="17">
        <f>FZ114*VLOOKUP('Données projet'!$B$17,Paramètres!$A$1:$I$89,3,0)*VLOOKUP('Données projet'!$B$17,Paramètres!$A$1:$I$89,5,0)</f>
        <v>319.02090133333314</v>
      </c>
      <c r="GB114" s="13">
        <f t="shared" si="103"/>
        <v>75.149596825299852</v>
      </c>
      <c r="GC114" s="20">
        <f t="shared" si="79"/>
        <v>686.51361762628574</v>
      </c>
      <c r="GD114" s="59">
        <f t="shared" si="80"/>
        <v>966.70697992090936</v>
      </c>
      <c r="GE114" s="59">
        <f ca="1">AVERAGE(OFFSET($GD$3,0,0,'Données projet'!$E$17+1,1))-AVERAGE(OFFSET($H$3,0,0,'Données projet'!$E$17+1,1))</f>
        <v>640.05156427113661</v>
      </c>
      <c r="GF114" s="59">
        <f t="shared" si="104"/>
        <v>308.77220155372902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16.657883253584497</v>
      </c>
      <c r="GM114" s="21">
        <f>EXP(-LN(2)/25)*GM113+(1-EXP(-LN(2)/25))/(LN(2)/25)*Calculateur!GH114*Calculateur!GJ114*VLOOKUP('Données projet'!$B$17,Paramètres!$A$1:$I$89,3,0)*0.475*44/12</f>
        <v>27.476208709390214</v>
      </c>
      <c r="GN114" s="21">
        <f>EXP(-LN(2)/2)*GN113+(1-EXP(-LN(2)/2))/(LN(2)/2)*GH114*GK114*VLOOKUP('Données projet'!$B$17,Paramètres!$A$1:$I$89,3,0)*0.475*44/12</f>
        <v>0.3926596280646889</v>
      </c>
      <c r="GO114" s="21">
        <f t="shared" si="81"/>
        <v>44.5267515910394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4.7884896048344674E-14</v>
      </c>
      <c r="P115" s="13">
        <f t="shared" si="87"/>
        <v>7.8374629847779921E-13</v>
      </c>
      <c r="Q115" s="20">
        <f t="shared" si="107"/>
        <v>1.4484243304663672E-12</v>
      </c>
      <c r="R115" s="59">
        <f t="shared" si="55"/>
        <v>280.42131141557229</v>
      </c>
      <c r="S115" s="59">
        <f ca="1">AVERAGE(OFFSET($R$3,0,0,'Données projet'!$E$9+1,1))-AVERAGE(OFFSET($H$3,0,0,'Données projet'!$E$9+1,1))</f>
        <v>456.35333554128226</v>
      </c>
      <c r="T115" s="59">
        <f t="shared" si="88"/>
        <v>296.4517290984877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108.63477485717041</v>
      </c>
      <c r="AA115" s="21">
        <f>EXP(-LN(2)/25)*AA114+(1-EXP(-LN(2)/25))/(LN(2)/25)*Calculateur!V115*Calculateur!X115*VLOOKUP('Données projet'!$B$9,Paramètres!$A$1:$I$89,3,0)*0.475*44/12</f>
        <v>23.691780804514408</v>
      </c>
      <c r="AB115" s="21">
        <f>EXP(-LN(2)/2)*AB114+(1-EXP(-LN(2)/2))/(LN(2)/2)*V115*Y115*VLOOKUP('Données projet'!$B$9,Paramètres!$A$1:$I$89,3,0)*0.475*44/12</f>
        <v>0.92787794062016071</v>
      </c>
      <c r="AC115" s="22">
        <f t="shared" si="57"/>
        <v>133.254433602305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408.246209980743</v>
      </c>
      <c r="AO115" s="59">
        <f t="shared" si="90"/>
        <v>394.10236303013903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30.286155457908549</v>
      </c>
      <c r="AV115" s="21">
        <f>EXP(-LN(2)/25)*AV114+(1-EXP(-LN(2)/25))/(LN(2)/25)*Calculateur!AQ115*Calculateur!AS115*VLOOKUP('Données projet'!$B$10,Paramètres!$A$1:$I$89,3,0)*0.475*44/12</f>
        <v>23.206936322477262</v>
      </c>
      <c r="AW115" s="21">
        <f>EXP(-LN(2)/2)*AW114+(1-EXP(-LN(2)/2))/(LN(2)/2)*AQ115*AT115*VLOOKUP('Données projet'!$B$10,Paramètres!$A$1:$I$89,3,0)*0.475*44/12</f>
        <v>1.0458535549527225E-3</v>
      </c>
      <c r="AX115" s="21">
        <f t="shared" si="60"/>
        <v>53.494137633940767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6.8811111111111085</v>
      </c>
      <c r="BD115" s="12">
        <f>IF('Données projet'!$A$88&gt;35,BD114+BC115-BL114,IF(A115&lt;'Données projet'!$A$88,$BA$205^A115,IF(A115='Données projet'!$A$88,'Données projet'!$B$88,BD114+BC115-BL114)))</f>
        <v>287.01888888888874</v>
      </c>
      <c r="BE115" s="13">
        <f>BD115*VLOOKUP('Données projet'!$B$11,Paramètres!$A$1:$I$89,3,0)*VLOOKUP('Données projet'!$B$11,Paramètres!$A$1:$I$89,5,0)</f>
        <v>291.03715333333321</v>
      </c>
      <c r="BF115" s="13">
        <f t="shared" si="91"/>
        <v>69.294202523257042</v>
      </c>
      <c r="BG115" s="20">
        <f t="shared" si="61"/>
        <v>627.57711145022802</v>
      </c>
      <c r="BH115" s="59">
        <f t="shared" si="62"/>
        <v>907.99842286579883</v>
      </c>
      <c r="BI115" s="59">
        <f ca="1">AVERAGE(OFFSET($BH$3,0,0,'Données projet'!$E$11+1,1))-AVERAGE(OFFSET($H$3,0,0,'Données projet'!$E$11+1,1))</f>
        <v>580.02848304986492</v>
      </c>
      <c r="BJ115" s="59">
        <f t="shared" si="92"/>
        <v>281.68891895586728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14.541508233063986</v>
      </c>
      <c r="BQ115" s="21">
        <f>EXP(-LN(2)/25)*BQ114+(1-EXP(-LN(2)/25))/(LN(2)/25)*Calculateur!BL115*Calculateur!BN115*VLOOKUP('Données projet'!$B$11,Paramètres!$A$1:$I$89,3,0)*0.475*44/12</f>
        <v>23.79611742364191</v>
      </c>
      <c r="BR115" s="21">
        <f>EXP(-LN(2)/2)*BR114+(1-EXP(-LN(2)/2))/(LN(2)/2)*BL115*BO115*VLOOKUP('Données projet'!$B$11,Paramètres!$A$1:$I$89,3,0)*0.475*44/12</f>
        <v>0.24722463795448482</v>
      </c>
      <c r="BS115" s="22">
        <f t="shared" si="63"/>
        <v>38.584850294660377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4.4337866711430253E-14</v>
      </c>
      <c r="CA115" s="13">
        <f t="shared" si="93"/>
        <v>7.3222115536967035E-13</v>
      </c>
      <c r="CB115" s="20">
        <f t="shared" si="64"/>
        <v>1.3525069634579169E-12</v>
      </c>
      <c r="CC115" s="59">
        <f t="shared" si="65"/>
        <v>280.42131141557223</v>
      </c>
      <c r="CD115" s="59">
        <f ca="1">AVERAGE(OFFSET($CC$3,0,0,'Données projet'!$E$12+1,1))-AVERAGE(OFFSET($H$3,0,0,'Données projet'!$E$12+1,1))</f>
        <v>308.85018589589453</v>
      </c>
      <c r="CE115" s="59">
        <f t="shared" si="94"/>
        <v>302.59481222418219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18.34920542736835</v>
      </c>
      <c r="CL115" s="21">
        <f>EXP(-LN(2)/25)*CL114+(1-EXP(-LN(2)/25))/(LN(2)/25)*Calculateur!CG115*Calculateur!CI115*VLOOKUP('Données projet'!$B$12,Paramètres!$A$1:$I$89,3,0)*0.475*44/12</f>
        <v>12.850790329317505</v>
      </c>
      <c r="CM115" s="21">
        <f>EXP(-LN(2)/2)*CM114+(1-EXP(-LN(2)/2))/(LN(2)/2)*CG115*CJ115*VLOOKUP('Données projet'!$B$12,Paramètres!$A$1:$I$89,3,0)*0.475*44/12</f>
        <v>2.0485398725964292E-5</v>
      </c>
      <c r="CN115" s="22">
        <f t="shared" si="66"/>
        <v>31.20001624208458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2.2737367544323206E-13</v>
      </c>
      <c r="CU115" s="17">
        <f>CT115*VLOOKUP('Données projet'!$B$13,Paramètres!$A$1:$I$89,3,0)*VLOOKUP('Données projet'!$B$13,Paramètres!$A$1:$I$89,5,0)</f>
        <v>1.5252226148732008E-13</v>
      </c>
      <c r="CV115" s="13">
        <f t="shared" si="95"/>
        <v>2.1814502464536512E-12</v>
      </c>
      <c r="CW115" s="20">
        <f t="shared" si="67"/>
        <v>4.0650021179971913E-12</v>
      </c>
      <c r="CX115" s="59">
        <f t="shared" si="68"/>
        <v>280.42131141557496</v>
      </c>
      <c r="CY115" s="59">
        <f ca="1">AVERAGE(OFFSET($CX$3,0,0,'Données projet'!$E$13+1,1))-AVERAGE(OFFSET($H$3,0,0,'Données projet'!$E$13+1,1))</f>
        <v>335.73816489539837</v>
      </c>
      <c r="CZ115" s="59">
        <f t="shared" si="96"/>
        <v>254.09787950201044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36.004839425330928</v>
      </c>
      <c r="DG115" s="21">
        <f>EXP(-LN(2)/25)*DG114+(1-EXP(-LN(2)/25))/(LN(2)/25)*Calculateur!DB115*Calculateur!DD115*VLOOKUP('Données projet'!$B$13,Paramètres!$A$1:$I$89,3,0)*0.475*44/12</f>
        <v>35.868395000464048</v>
      </c>
      <c r="DH115" s="21">
        <f>EXP(-LN(2)/2)*DH114+(1-EXP(-LN(2)/2))/(LN(2)/2)*DB115*DE115*VLOOKUP('Données projet'!$B$13,Paramètres!$A$1:$I$89,3,0)*0.475*44/12</f>
        <v>24.477817789254857</v>
      </c>
      <c r="DI115" s="22">
        <f t="shared" si="69"/>
        <v>96.351052215049833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8.7540000000000013</v>
      </c>
      <c r="DO115" s="12">
        <f>IF('Données projet'!$A$166&gt;35,DO114+DN115-DW114,IF(A115&lt;'Données projet'!$A$166,$DL$205^A115,IF(A115='Données projet'!$A$166,'Données projet'!$B$166,DO114+DN115-DW114)))</f>
        <v>382.42600000000027</v>
      </c>
      <c r="DP115" s="17">
        <f>DO115*VLOOKUP('Données projet'!$B$14,Paramètres!$A$1:$I$89,3,0)*VLOOKUP('Données projet'!$B$14,Paramètres!$A$1:$I$89,5,0)</f>
        <v>369.88242720000028</v>
      </c>
      <c r="DQ115" s="13">
        <f t="shared" si="97"/>
        <v>85.643251888216696</v>
      </c>
      <c r="DR115" s="20">
        <f t="shared" si="70"/>
        <v>793.37389107864453</v>
      </c>
      <c r="DS115" s="59">
        <f t="shared" si="71"/>
        <v>1073.7952024942153</v>
      </c>
      <c r="DT115" s="59">
        <f ca="1">AVERAGE(OFFSET($DS$3,0,0,'Données projet'!$E$14+1,1))-AVERAGE(OFFSET($H$3,0,0,'Données projet'!$E$14+1,1))</f>
        <v>493.03862850474161</v>
      </c>
      <c r="DU115" s="59">
        <f t="shared" si="98"/>
        <v>312.51819065560528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38.913607675896834</v>
      </c>
      <c r="EB115" s="21">
        <f>EXP(-LN(2)/25)*EB114+(1-EXP(-LN(2)/25))/(LN(2)/25)*Calculateur!DW115*Calculateur!DY115*VLOOKUP('Données projet'!$B$14,Paramètres!$A$1:$I$89,3,0)*0.475*44/12</f>
        <v>20.485173028287139</v>
      </c>
      <c r="EC115" s="21">
        <f>EXP(-LN(2)/2)*EC114+(1-EXP(-LN(2)/2))/(LN(2)/2)*DW115*DZ115*VLOOKUP('Données projet'!$B$14,Paramètres!$A$1:$I$89,3,0)*0.475*44/12</f>
        <v>2.082605679611501E-4</v>
      </c>
      <c r="ED115" s="22">
        <f t="shared" si="72"/>
        <v>59.398988964751936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8.7540000000000013</v>
      </c>
      <c r="EJ115" s="12">
        <f>IF('Données projet'!$A$192&gt;35,EJ114+EI115-ER114,IF(A115&lt;'Données projet'!$A$192,$EG$205^A115,IF(A115='Données projet'!$A$192,'Données projet'!$B$192,EJ114+EI115-ER114)))</f>
        <v>382.42600000000027</v>
      </c>
      <c r="EK115" s="17">
        <f>EJ115*VLOOKUP('Données projet'!$B$15,Paramètres!$A$1:$I$89,3,0)*VLOOKUP('Données projet'!$B$15,Paramètres!$A$1:$I$89,5,0)</f>
        <v>411.64334640000027</v>
      </c>
      <c r="EL115" s="13">
        <f t="shared" si="99"/>
        <v>94.133218725173833</v>
      </c>
      <c r="EM115" s="20">
        <f t="shared" si="73"/>
        <v>880.89418425967813</v>
      </c>
      <c r="EN115" s="59">
        <f t="shared" si="74"/>
        <v>1161.3154956752489</v>
      </c>
      <c r="EO115" s="59">
        <f ca="1">AVERAGE(OFFSET($EN$3,0,0,'Données projet'!$E$15+1,1))-AVERAGE(OFFSET($H$3,0,0,'Données projet'!$E$15+1,1))</f>
        <v>539.72194201710272</v>
      </c>
      <c r="EP115" s="59">
        <f t="shared" si="100"/>
        <v>340.76505385159362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43.307079510272274</v>
      </c>
      <c r="EW115" s="21">
        <f>EXP(-LN(2)/25)*EW114+(1-EXP(-LN(2)/25))/(LN(2)/25)*Calculateur!ER115*Calculateur!ET115*VLOOKUP('Données projet'!$B$15,Paramètres!$A$1:$I$89,3,0)*0.475*44/12</f>
        <v>22.79801514438407</v>
      </c>
      <c r="EX115" s="21">
        <f>EXP(-LN(2)/2)*EX114+(1-EXP(-LN(2)/2))/(LN(2)/2)*ER115*EU115*VLOOKUP('Données projet'!$B$15,Paramètres!$A$1:$I$89,3,0)*0.475*44/12</f>
        <v>2.3177385789224813E-4</v>
      </c>
      <c r="EY115" s="22">
        <f t="shared" si="75"/>
        <v>66.105326428514232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>
        <f>FE115*VLOOKUP('Données projet'!$B$16,Paramètres!$A$1:$I$89,3,0)*VLOOKUP('Données projet'!$B$16,Paramètres!$A$1:$I$89,5,0)</f>
        <v>0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383.47860767209028</v>
      </c>
      <c r="FK115" s="59">
        <f t="shared" si="102"/>
        <v>370.49129421395628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28.122858639486498</v>
      </c>
      <c r="FR115" s="21">
        <f>EXP(-LN(2)/25)*FR114+(1-EXP(-LN(2)/25))/(LN(2)/25)*Calculateur!FM115*Calculateur!FO115*VLOOKUP('Données projet'!$B$16,Paramètres!$A$1:$I$89,3,0)*0.475*44/12</f>
        <v>21.549298013728887</v>
      </c>
      <c r="FS115" s="21">
        <f>EXP(-LN(2)/2)*FS114+(1-EXP(-LN(2)/2))/(LN(2)/2)*FM115*FP115*VLOOKUP('Données projet'!$B$16,Paramètres!$A$1:$I$89,3,0)*0.475*44/12</f>
        <v>9.7114972959895854E-4</v>
      </c>
      <c r="FT115" s="22">
        <f t="shared" si="78"/>
        <v>49.673127802944983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6.8811111111111085</v>
      </c>
      <c r="FZ115" s="12">
        <f>IF('Données projet'!$A$244&gt;35,FZ114+FY115-GH114,IF(A115&lt;'Données projet'!$A$244,$FW$205^A115,IF(A115='Données projet'!$A$244,'Données projet'!$B$244,FZ114+FY115-GH114)))</f>
        <v>287.01888888888874</v>
      </c>
      <c r="GA115" s="17">
        <f>FZ115*VLOOKUP('Données projet'!$B$17,Paramètres!$A$1:$I$89,3,0)*VLOOKUP('Données projet'!$B$17,Paramètres!$A$1:$I$89,5,0)</f>
        <v>326.85711066666653</v>
      </c>
      <c r="GB115" s="13">
        <f t="shared" si="103"/>
        <v>76.778343563812527</v>
      </c>
      <c r="GC115" s="20">
        <f t="shared" si="79"/>
        <v>702.99841611808426</v>
      </c>
      <c r="GD115" s="59">
        <f t="shared" si="80"/>
        <v>983.41972753365508</v>
      </c>
      <c r="GE115" s="59">
        <f ca="1">AVERAGE(OFFSET($GD$3,0,0,'Données projet'!$E$17+1,1))-AVERAGE(OFFSET($H$3,0,0,'Données projet'!$E$17+1,1))</f>
        <v>640.05156427113661</v>
      </c>
      <c r="GF115" s="59">
        <f t="shared" si="104"/>
        <v>308.77220155372902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16.331232323287242</v>
      </c>
      <c r="GM115" s="21">
        <f>EXP(-LN(2)/25)*GM114+(1-EXP(-LN(2)/25))/(LN(2)/25)*Calculateur!GH115*Calculateur!GJ115*VLOOKUP('Données projet'!$B$17,Paramètres!$A$1:$I$89,3,0)*0.475*44/12</f>
        <v>26.724870337320919</v>
      </c>
      <c r="GN115" s="21">
        <f>EXP(-LN(2)/2)*GN114+(1-EXP(-LN(2)/2))/(LN(2)/2)*GH115*GK115*VLOOKUP('Données projet'!$B$17,Paramètres!$A$1:$I$89,3,0)*0.475*44/12</f>
        <v>0.27765228570272915</v>
      </c>
      <c r="GO115" s="21">
        <f t="shared" si="81"/>
        <v>43.33375494631089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4.7884896048344674E-14</v>
      </c>
      <c r="P116" s="13">
        <f t="shared" si="87"/>
        <v>7.8374629847779921E-13</v>
      </c>
      <c r="Q116" s="20">
        <f t="shared" si="107"/>
        <v>1.4484243304663672E-12</v>
      </c>
      <c r="R116" s="59">
        <f t="shared" si="55"/>
        <v>280.64530612888905</v>
      </c>
      <c r="S116" s="59">
        <f ca="1">AVERAGE(OFFSET($R$3,0,0,'Données projet'!$E$9+1,1))-AVERAGE(OFFSET($H$3,0,0,'Données projet'!$E$9+1,1))</f>
        <v>456.35333554128226</v>
      </c>
      <c r="T116" s="59">
        <f t="shared" si="88"/>
        <v>296.4517290984877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106.50451318289127</v>
      </c>
      <c r="AA116" s="21">
        <f>EXP(-LN(2)/25)*AA115+(1-EXP(-LN(2)/25))/(LN(2)/25)*Calculateur!V116*Calculateur!X116*VLOOKUP('Données projet'!$B$9,Paramètres!$A$1:$I$89,3,0)*0.475*44/12</f>
        <v>23.043927812518358</v>
      </c>
      <c r="AB116" s="21">
        <f>EXP(-LN(2)/2)*AB115+(1-EXP(-LN(2)/2))/(LN(2)/2)*V116*Y116*VLOOKUP('Données projet'!$B$9,Paramètres!$A$1:$I$89,3,0)*0.475*44/12</f>
        <v>0.65610878392592431</v>
      </c>
      <c r="AC116" s="22">
        <f t="shared" si="57"/>
        <v>130.20454977933557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408.246209980743</v>
      </c>
      <c r="AO116" s="59">
        <f t="shared" si="90"/>
        <v>394.10236303013903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29.69226242210976</v>
      </c>
      <c r="AV116" s="21">
        <f>EXP(-LN(2)/25)*AV115+(1-EXP(-LN(2)/25))/(LN(2)/25)*Calculateur!AQ116*Calculateur!AS116*VLOOKUP('Données projet'!$B$10,Paramètres!$A$1:$I$89,3,0)*0.475*44/12</f>
        <v>22.572341428339382</v>
      </c>
      <c r="AW116" s="21">
        <f>EXP(-LN(2)/2)*AW115+(1-EXP(-LN(2)/2))/(LN(2)/2)*AQ116*AT116*VLOOKUP('Données projet'!$B$10,Paramètres!$A$1:$I$89,3,0)*0.475*44/12</f>
        <v>7.3953014083512759E-4</v>
      </c>
      <c r="AX116" s="21">
        <f t="shared" si="60"/>
        <v>52.265343380589975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293.89999999999998</v>
      </c>
      <c r="BB116" s="12">
        <f>VLOOKUP(A116,'Données projet'!$A$87:$I$107,9,0)</f>
        <v>6.8811111111111085</v>
      </c>
      <c r="BC116" s="12">
        <f t="array" ref="BC116">INDEX(BB:BB,MIN(IF(ISNUMBER(BB116:BB312),ROW(BB116:BB312),"")))</f>
        <v>6.8811111111111085</v>
      </c>
      <c r="BD116" s="12">
        <f>IF('Données projet'!$A$88&gt;35,BD115+BC116-BL115,IF(A116&lt;'Données projet'!$A$88,$BA$205^A116,IF(A116='Données projet'!$A$88,'Données projet'!$B$88,BD115+BC116-BL115)))</f>
        <v>293.89999999999986</v>
      </c>
      <c r="BE116" s="13">
        <f>BD116*VLOOKUP('Données projet'!$B$11,Paramètres!$A$1:$I$89,3,0)*VLOOKUP('Données projet'!$B$11,Paramètres!$A$1:$I$89,5,0)</f>
        <v>298.01459999999986</v>
      </c>
      <c r="BF116" s="13">
        <f t="shared" si="91"/>
        <v>70.760086666473185</v>
      </c>
      <c r="BG116" s="20">
        <f t="shared" si="61"/>
        <v>642.2825792774405</v>
      </c>
      <c r="BH116" s="59">
        <f t="shared" si="62"/>
        <v>922.92788540632819</v>
      </c>
      <c r="BI116" s="59">
        <f ca="1">AVERAGE(OFFSET($BH$3,0,0,'Données projet'!$E$11+1,1))-AVERAGE(OFFSET($H$3,0,0,'Données projet'!$E$11+1,1))</f>
        <v>580.02848304986492</v>
      </c>
      <c r="BJ116" s="59">
        <f t="shared" si="92"/>
        <v>281.68891895586728</v>
      </c>
      <c r="BK116" s="15">
        <f>IF(ISNA(VLOOKUP(A116,'Données projet'!$A$87:$I$107,3,0)),0,VLOOKUP(A116,'Données projet'!$A$87:$I$107,3,0))</f>
        <v>7</v>
      </c>
      <c r="BL116" s="15">
        <f>IF(ISNA(VLOOKUP(A116,'Données projet'!$A$87:$I$107,4,0)),0,VLOOKUP(A116,'Données projet'!$A$87:$I$107,4,0))</f>
        <v>41.639999999999986</v>
      </c>
      <c r="BM116" s="16">
        <f>IF(ISNA(VLOOKUP(A116,'Données projet'!$A$87:$I$107,5,0)),0%,VLOOKUP(A116,'Données projet'!$A$87:$I$107,5,0)*VLOOKUP('Données projet'!$B$11,Paramètres!$A$1:$I$89,7,0))</f>
        <v>0.15049999999999999</v>
      </c>
      <c r="BN116" s="16">
        <f>IF(ISNA(VLOOKUP(A116,'Données projet'!$A$87:$I$107,6,0)),0%,VLOOKUP(A116,'Données projet'!$A$87:$I$107,6,0)*VLOOKUP('Données projet'!$B$11,Paramètres!$A$1:$I$89,7,0))</f>
        <v>8.6000000000000007E-2</v>
      </c>
      <c r="BO116" s="16">
        <f>IF(ISNA(VLOOKUP(A116,'Données projet'!$A$87:$I$107,7,0)),0%,VLOOKUP(A116,'Données projet'!$A$87:$I$107,7,0))</f>
        <v>0.1</v>
      </c>
      <c r="BP116" s="21">
        <f>EXP(-LN(2)/35)*BP115+(1-EXP(-LN(2)/35))/(LN(2)/35)*BL116*BM116*VLOOKUP('Données projet'!$B$11,Paramètres!$A$1:$I$89,3,0)*0.475*44/12</f>
        <v>21.281130984296624</v>
      </c>
      <c r="BQ116" s="21">
        <f>EXP(-LN(2)/25)*BQ115+(1-EXP(-LN(2)/25))/(LN(2)/25)*Calculateur!BL116*Calculateur!BN116*VLOOKUP('Données projet'!$B$11,Paramètres!$A$1:$I$89,3,0)*0.475*44/12</f>
        <v>27.143761998936192</v>
      </c>
      <c r="BR116" s="21">
        <f>EXP(-LN(2)/2)*BR115+(1-EXP(-LN(2)/2))/(LN(2)/2)*BL116*BO116*VLOOKUP('Données projet'!$B$11,Paramètres!$A$1:$I$89,3,0)*0.475*44/12</f>
        <v>4.1586641354046767</v>
      </c>
      <c r="BS116" s="22">
        <f t="shared" si="63"/>
        <v>52.583557118637493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4.4337866711430253E-14</v>
      </c>
      <c r="CA116" s="13">
        <f t="shared" si="93"/>
        <v>7.3222115536967035E-13</v>
      </c>
      <c r="CB116" s="20">
        <f t="shared" si="64"/>
        <v>1.3525069634579169E-12</v>
      </c>
      <c r="CC116" s="59">
        <f t="shared" si="65"/>
        <v>280.64530612888899</v>
      </c>
      <c r="CD116" s="59">
        <f ca="1">AVERAGE(OFFSET($CC$3,0,0,'Données projet'!$E$12+1,1))-AVERAGE(OFFSET($H$3,0,0,'Données projet'!$E$12+1,1))</f>
        <v>308.85018589589453</v>
      </c>
      <c r="CE116" s="59">
        <f t="shared" si="94"/>
        <v>302.59481222418219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17.989388700847858</v>
      </c>
      <c r="CL116" s="21">
        <f>EXP(-LN(2)/25)*CL115+(1-EXP(-LN(2)/25))/(LN(2)/25)*Calculateur!CG116*Calculateur!CI116*VLOOKUP('Données projet'!$B$12,Paramètres!$A$1:$I$89,3,0)*0.475*44/12</f>
        <v>12.499384791968625</v>
      </c>
      <c r="CM116" s="21">
        <f>EXP(-LN(2)/2)*CM115+(1-EXP(-LN(2)/2))/(LN(2)/2)*CG116*CJ116*VLOOKUP('Données projet'!$B$12,Paramètres!$A$1:$I$89,3,0)*0.475*44/12</f>
        <v>1.4485364354439612E-5</v>
      </c>
      <c r="CN116" s="22">
        <f t="shared" si="66"/>
        <v>30.488787978180838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2.2737367544323206E-13</v>
      </c>
      <c r="CU116" s="17">
        <f>CT116*VLOOKUP('Données projet'!$B$13,Paramètres!$A$1:$I$89,3,0)*VLOOKUP('Données projet'!$B$13,Paramètres!$A$1:$I$89,5,0)</f>
        <v>1.5252226148732008E-13</v>
      </c>
      <c r="CV116" s="13">
        <f t="shared" si="95"/>
        <v>2.1814502464536512E-12</v>
      </c>
      <c r="CW116" s="20">
        <f t="shared" si="67"/>
        <v>4.0650021179971913E-12</v>
      </c>
      <c r="CX116" s="59">
        <f t="shared" si="68"/>
        <v>280.64530612889172</v>
      </c>
      <c r="CY116" s="59">
        <f ca="1">AVERAGE(OFFSET($CX$3,0,0,'Données projet'!$E$13+1,1))-AVERAGE(OFFSET($H$3,0,0,'Données projet'!$E$13+1,1))</f>
        <v>335.73816489539837</v>
      </c>
      <c r="CZ116" s="59">
        <f t="shared" si="96"/>
        <v>254.09787950201044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35.298806484983793</v>
      </c>
      <c r="DG116" s="21">
        <f>EXP(-LN(2)/25)*DG115+(1-EXP(-LN(2)/25))/(LN(2)/25)*Calculateur!DB116*Calculateur!DD116*VLOOKUP('Données projet'!$B$13,Paramètres!$A$1:$I$89,3,0)*0.475*44/12</f>
        <v>34.887571852939445</v>
      </c>
      <c r="DH116" s="21">
        <f>EXP(-LN(2)/2)*DH115+(1-EXP(-LN(2)/2))/(LN(2)/2)*DB116*DE116*VLOOKUP('Données projet'!$B$13,Paramètres!$A$1:$I$89,3,0)*0.475*44/12</f>
        <v>17.308430947430814</v>
      </c>
      <c r="DI116" s="22">
        <f t="shared" si="69"/>
        <v>87.494809285354052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>
        <f>VLOOKUP(A116,'Données projet'!$A$165:$I$185,2,0)</f>
        <v>391.18</v>
      </c>
      <c r="DM116" s="12">
        <f>VLOOKUP(A116,'Données projet'!$A$165:$I$185,9,0)</f>
        <v>8.7540000000000013</v>
      </c>
      <c r="DN116" s="12">
        <f t="array" ref="DN116">INDEX(DM:DM,MIN(IF(ISNUMBER(DM116:DM312),ROW(DM116:DM312),"")))</f>
        <v>8.7540000000000013</v>
      </c>
      <c r="DO116" s="12">
        <f>IF('Données projet'!$A$166&gt;35,DO115+DN116-DW115,IF(A116&lt;'Données projet'!$A$166,$DL$205^A116,IF(A116='Données projet'!$A$166,'Données projet'!$B$166,DO115+DN116-DW115)))</f>
        <v>391.18000000000029</v>
      </c>
      <c r="DP116" s="17">
        <f>DO116*VLOOKUP('Données projet'!$B$14,Paramètres!$A$1:$I$89,3,0)*VLOOKUP('Données projet'!$B$14,Paramètres!$A$1:$I$89,5,0)</f>
        <v>378.34929600000027</v>
      </c>
      <c r="DQ116" s="13">
        <f t="shared" si="97"/>
        <v>87.373203254635641</v>
      </c>
      <c r="DR116" s="20">
        <f t="shared" si="70"/>
        <v>811.13335286849087</v>
      </c>
      <c r="DS116" s="59">
        <f t="shared" si="71"/>
        <v>1091.7786589973784</v>
      </c>
      <c r="DT116" s="59">
        <f ca="1">AVERAGE(OFFSET($DS$3,0,0,'Données projet'!$E$14+1,1))-AVERAGE(OFFSET($H$3,0,0,'Données projet'!$E$14+1,1))</f>
        <v>493.03862850474161</v>
      </c>
      <c r="DU116" s="59">
        <f t="shared" si="98"/>
        <v>312.51819065560528</v>
      </c>
      <c r="DV116" s="15">
        <f>IF(ISNA(VLOOKUP(A116,'Données projet'!$A$165:$I$185,3,0)),0,VLOOKUP(A116,'Données projet'!$A$165:$I$185,3,0))</f>
        <v>10</v>
      </c>
      <c r="DW116" s="15">
        <f>IF(ISNA(VLOOKUP(A116,'Données projet'!$A$165:$I$185,4,0)),0,VLOOKUP(A116,'Données projet'!$A$165:$I$185,4,0))</f>
        <v>68.670000000000016</v>
      </c>
      <c r="DX116" s="16">
        <f>IF(ISNA(VLOOKUP(A116,'Données projet'!$A$165:$I$185,5,0)),0%,VLOOKUP(A116,'Données projet'!$A$165:$I$185,5,0)*VLOOKUP('Données projet'!$B$14,Paramètres!$A$1:$I$89,7,0))</f>
        <v>0.215</v>
      </c>
      <c r="DY116" s="16">
        <f>IF(ISNA(VLOOKUP(A116,'Données projet'!$A$165:$I$185,6,0)),0%,VLOOKUP(A116,'Données projet'!$A$165:$I$185,6,0)*VLOOKUP('Données projet'!$B$14,Paramètres!$A$1:$I$89,7,0))</f>
        <v>8.6000000000000007E-2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53.936419506685255</v>
      </c>
      <c r="EB116" s="21">
        <f>EXP(-LN(2)/25)*EB115+(1-EXP(-LN(2)/25))/(LN(2)/25)*Calculateur!DW116*Calculateur!DY116*VLOOKUP('Données projet'!$B$14,Paramètres!$A$1:$I$89,3,0)*0.475*44/12</f>
        <v>26.214496455512723</v>
      </c>
      <c r="EC116" s="21">
        <f>EXP(-LN(2)/2)*EC115+(1-EXP(-LN(2)/2))/(LN(2)/2)*DW116*DZ116*VLOOKUP('Données projet'!$B$14,Paramètres!$A$1:$I$89,3,0)*0.475*44/12</f>
        <v>1.4726245985909107E-4</v>
      </c>
      <c r="ED116" s="22">
        <f t="shared" si="72"/>
        <v>80.151063224657847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391.18</v>
      </c>
      <c r="EH116" s="12">
        <f>VLOOKUP(A116,'Données projet'!$A$191:$I$211,9,0)</f>
        <v>8.7540000000000013</v>
      </c>
      <c r="EI116" s="12">
        <f t="array" ref="EI116">INDEX(EH:EH,MIN(IF(ISNUMBER(EH116:EH312),ROW(EH116:EH312),"")))</f>
        <v>8.7540000000000013</v>
      </c>
      <c r="EJ116" s="12">
        <f>IF('Données projet'!$A$192&gt;35,EJ115+EI116-ER115,IF(A116&lt;'Données projet'!$A$192,$EG$205^A116,IF(A116='Données projet'!$A$192,'Données projet'!$B$192,EJ115+EI116-ER115)))</f>
        <v>391.18000000000029</v>
      </c>
      <c r="EK116" s="17">
        <f>EJ116*VLOOKUP('Données projet'!$B$15,Paramètres!$A$1:$I$89,3,0)*VLOOKUP('Données projet'!$B$15,Paramètres!$A$1:$I$89,5,0)</f>
        <v>421.06615200000027</v>
      </c>
      <c r="EL116" s="13">
        <f t="shared" si="99"/>
        <v>96.034663226272244</v>
      </c>
      <c r="EM116" s="20">
        <f t="shared" si="73"/>
        <v>900.61725318575793</v>
      </c>
      <c r="EN116" s="59">
        <f t="shared" si="74"/>
        <v>1181.2625593146456</v>
      </c>
      <c r="EO116" s="59">
        <f ca="1">AVERAGE(OFFSET($EN$3,0,0,'Données projet'!$E$15+1,1))-AVERAGE(OFFSET($H$3,0,0,'Données projet'!$E$15+1,1))</f>
        <v>539.72194201710272</v>
      </c>
      <c r="EP116" s="59">
        <f t="shared" si="100"/>
        <v>340.76505385159362</v>
      </c>
      <c r="EQ116" s="15">
        <f>IF(ISNA(VLOOKUP(A116,'Données projet'!$A$191:$I$211,3,0)),0,VLOOKUP(A116,'Données projet'!$A$191:$I$211,3,0))</f>
        <v>10</v>
      </c>
      <c r="ER116" s="15">
        <f>IF(ISNA(VLOOKUP(A116,'Données projet'!$A$191:$I$211,4,0)),0,VLOOKUP(A116,'Données projet'!$A$191:$I$211,4,0))</f>
        <v>68.670000000000016</v>
      </c>
      <c r="ES116" s="16">
        <f>IF(ISNA(VLOOKUP(A116,'Données projet'!$A$191:$I$211,5,0)),0%,VLOOKUP(A116,'Données projet'!$A$191:$I$211,5,0)*VLOOKUP('Données projet'!$B$15,Paramètres!$A$1:$I$89,7,0))</f>
        <v>0.215</v>
      </c>
      <c r="ET116" s="16">
        <f>IF(ISNA(VLOOKUP(A116,'Données projet'!$A$191:$I$211,6,0)),0%,VLOOKUP(A116,'Données projet'!$A$191:$I$211,6,0)*VLOOKUP('Données projet'!$B$15,Paramètres!$A$1:$I$89,7,0))</f>
        <v>8.6000000000000007E-2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60.026015257440037</v>
      </c>
      <c r="EW116" s="21">
        <f>EXP(-LN(2)/25)*EW115+(1-EXP(-LN(2)/25))/(LN(2)/25)*Calculateur!ER116*Calculateur!ET116*VLOOKUP('Données projet'!$B$15,Paramètres!$A$1:$I$89,3,0)*0.475*44/12</f>
        <v>29.174197668231898</v>
      </c>
      <c r="EX116" s="21">
        <f>EXP(-LN(2)/2)*EX115+(1-EXP(-LN(2)/2))/(LN(2)/2)*ER116*EU116*VLOOKUP('Données projet'!$B$15,Paramètres!$A$1:$I$89,3,0)*0.475*44/12</f>
        <v>1.6388886661737587E-4</v>
      </c>
      <c r="EY116" s="22">
        <f t="shared" si="75"/>
        <v>89.200376814538558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>
        <f>FE116*VLOOKUP('Données projet'!$B$16,Paramètres!$A$1:$I$89,3,0)*VLOOKUP('Données projet'!$B$16,Paramètres!$A$1:$I$89,5,0)</f>
        <v>0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383.47860767209028</v>
      </c>
      <c r="FK116" s="59">
        <f t="shared" si="102"/>
        <v>370.49129421395628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27.571386534816195</v>
      </c>
      <c r="FR116" s="21">
        <f>EXP(-LN(2)/25)*FR115+(1-EXP(-LN(2)/25))/(LN(2)/25)*Calculateur!FM116*Calculateur!FO116*VLOOKUP('Données projet'!$B$16,Paramètres!$A$1:$I$89,3,0)*0.475*44/12</f>
        <v>20.960031326315139</v>
      </c>
      <c r="FS116" s="21">
        <f>EXP(-LN(2)/2)*FS115+(1-EXP(-LN(2)/2))/(LN(2)/2)*FM116*FP116*VLOOKUP('Données projet'!$B$16,Paramètres!$A$1:$I$89,3,0)*0.475*44/12</f>
        <v>6.8670655934690563E-4</v>
      </c>
      <c r="FT116" s="22">
        <f t="shared" si="78"/>
        <v>48.532104567690681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>
        <f>VLOOKUP(A116,'Données projet'!$A$243:$I$263,2,0)</f>
        <v>293.89999999999998</v>
      </c>
      <c r="FX116" s="12">
        <f>VLOOKUP(A116,'Données projet'!$A$243:$I$263,9,0)</f>
        <v>6.8811111111111085</v>
      </c>
      <c r="FY116" s="12">
        <f t="array" ref="FY116">INDEX(FX:FX,MIN(IF(ISNUMBER(FX116:FX312),ROW(FX116:FX312),"")))</f>
        <v>6.8811111111111085</v>
      </c>
      <c r="FZ116" s="12">
        <f>IF('Données projet'!$A$244&gt;35,FZ115+FY116-GH115,IF(A116&lt;'Données projet'!$A$244,$FW$205^A116,IF(A116='Données projet'!$A$244,'Données projet'!$B$244,FZ115+FY116-GH115)))</f>
        <v>293.89999999999986</v>
      </c>
      <c r="GA116" s="17">
        <f>FZ116*VLOOKUP('Données projet'!$B$17,Paramètres!$A$1:$I$89,3,0)*VLOOKUP('Données projet'!$B$17,Paramètres!$A$1:$I$89,5,0)</f>
        <v>334.69331999999986</v>
      </c>
      <c r="GB116" s="13">
        <f t="shared" si="103"/>
        <v>78.402550961752141</v>
      </c>
      <c r="GC116" s="20">
        <f t="shared" si="79"/>
        <v>719.47530859171786</v>
      </c>
      <c r="GD116" s="59">
        <f t="shared" si="80"/>
        <v>1000.1206147206055</v>
      </c>
      <c r="GE116" s="59">
        <f ca="1">AVERAGE(OFFSET($GD$3,0,0,'Données projet'!$E$17+1,1))-AVERAGE(OFFSET($H$3,0,0,'Données projet'!$E$17+1,1))</f>
        <v>640.05156427113661</v>
      </c>
      <c r="GF116" s="59">
        <f t="shared" si="104"/>
        <v>308.77220155372902</v>
      </c>
      <c r="GG116" s="15">
        <f>IF(ISNA(VLOOKUP(A116,'Données projet'!$A$243:$I$263,3,0)),0,VLOOKUP(A116,'Données projet'!$A$243:$I$263,3,0))</f>
        <v>7</v>
      </c>
      <c r="GH116" s="15">
        <f>IF(ISNA(VLOOKUP(A116,'Données projet'!$A$243:$I$263,4,0)),0,VLOOKUP(A116,'Données projet'!$A$243:$I$263,4,0))</f>
        <v>41.639999999999986</v>
      </c>
      <c r="GI116" s="16">
        <f>IF(ISNA(VLOOKUP(A116,'Données projet'!$A$243:$I$263,5,0)),0%,VLOOKUP(A116,'Données projet'!$A$243:$I$263,5,0)*VLOOKUP('Données projet'!$B$17,Paramètres!$A$1:$I$89,7,0))</f>
        <v>0.15049999999999999</v>
      </c>
      <c r="GJ116" s="16">
        <f>IF(ISNA(VLOOKUP(A116,'Données projet'!$A$243:$I$263,6,0)),0%,VLOOKUP(A116,'Données projet'!$A$243:$I$263,6,0)*VLOOKUP('Données projet'!$B$17,Paramètres!$A$1:$I$89,7,0))</f>
        <v>8.6000000000000007E-2</v>
      </c>
      <c r="GK116" s="16">
        <f>IF(ISNA(VLOOKUP(A116,'Données projet'!$A$243:$I$263,7,0)),0%,VLOOKUP(A116,'Données projet'!$A$243:$I$263,7,0))</f>
        <v>0.1</v>
      </c>
      <c r="GL116" s="21">
        <f>EXP(-LN(2)/35)*GL115+(1-EXP(-LN(2)/35))/(LN(2)/35)*GH116*GI116*VLOOKUP('Données projet'!$B$17,Paramètres!$A$1:$I$89,3,0)*0.475*44/12</f>
        <v>23.900347105440822</v>
      </c>
      <c r="GM116" s="21">
        <f>EXP(-LN(2)/25)*GM115+(1-EXP(-LN(2)/25))/(LN(2)/25)*Calculateur!GH116*Calculateur!GJ116*VLOOKUP('Données projet'!$B$17,Paramètres!$A$1:$I$89,3,0)*0.475*44/12</f>
        <v>30.484532706497571</v>
      </c>
      <c r="GN116" s="21">
        <f>EXP(-LN(2)/2)*GN115+(1-EXP(-LN(2)/2))/(LN(2)/2)*GH116*GK116*VLOOKUP('Données projet'!$B$17,Paramètres!$A$1:$I$89,3,0)*0.475*44/12</f>
        <v>4.6704997213006356</v>
      </c>
      <c r="GO116" s="21">
        <f t="shared" si="81"/>
        <v>59.055379533239027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4.7884896048344674E-14</v>
      </c>
      <c r="P117" s="13">
        <f t="shared" si="87"/>
        <v>7.8374629847779921E-13</v>
      </c>
      <c r="Q117" s="20">
        <f t="shared" si="107"/>
        <v>1.4484243304663672E-12</v>
      </c>
      <c r="R117" s="59">
        <f t="shared" si="55"/>
        <v>280.86541503470687</v>
      </c>
      <c r="S117" s="59">
        <f ca="1">AVERAGE(OFFSET($R$3,0,0,'Données projet'!$E$9+1,1))-AVERAGE(OFFSET($H$3,0,0,'Données projet'!$E$9+1,1))</f>
        <v>456.35333554128226</v>
      </c>
      <c r="T117" s="59">
        <f t="shared" si="88"/>
        <v>296.4517290984877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104.41602464071342</v>
      </c>
      <c r="AA117" s="21">
        <f>EXP(-LN(2)/25)*AA116+(1-EXP(-LN(2)/25))/(LN(2)/25)*Calculateur!V117*Calculateur!X117*VLOOKUP('Données projet'!$B$9,Paramètres!$A$1:$I$89,3,0)*0.475*44/12</f>
        <v>22.413790394657546</v>
      </c>
      <c r="AB117" s="21">
        <f>EXP(-LN(2)/2)*AB116+(1-EXP(-LN(2)/2))/(LN(2)/2)*V117*Y117*VLOOKUP('Données projet'!$B$9,Paramètres!$A$1:$I$89,3,0)*0.475*44/12</f>
        <v>0.46393897031008036</v>
      </c>
      <c r="AC117" s="22">
        <f t="shared" si="57"/>
        <v>127.29375400568104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408.246209980743</v>
      </c>
      <c r="AO117" s="59">
        <f t="shared" si="90"/>
        <v>394.10236303013903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29.110015266504004</v>
      </c>
      <c r="AV117" s="21">
        <f>EXP(-LN(2)/25)*AV116+(1-EXP(-LN(2)/25))/(LN(2)/25)*Calculateur!AQ117*Calculateur!AS117*VLOOKUP('Données projet'!$B$10,Paramètres!$A$1:$I$89,3,0)*0.475*44/12</f>
        <v>21.955099564953596</v>
      </c>
      <c r="AW117" s="21">
        <f>EXP(-LN(2)/2)*AW116+(1-EXP(-LN(2)/2))/(LN(2)/2)*AQ117*AT117*VLOOKUP('Données projet'!$B$10,Paramètres!$A$1:$I$89,3,0)*0.475*44/12</f>
        <v>5.2292677747636123E-4</v>
      </c>
      <c r="AX117" s="21">
        <f t="shared" si="60"/>
        <v>51.065637758235077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7.0011111111111104</v>
      </c>
      <c r="BD117" s="12">
        <f>IF('Données projet'!$A$88&gt;35,BD116+BC117-BL116,IF(A117&lt;'Données projet'!$A$88,$BA$205^A117,IF(A117='Données projet'!$A$88,'Données projet'!$B$88,BD116+BC117-BL116)))</f>
        <v>259.26111111111101</v>
      </c>
      <c r="BE117" s="13">
        <f>BD117*VLOOKUP('Données projet'!$B$11,Paramètres!$A$1:$I$89,3,0)*VLOOKUP('Données projet'!$B$11,Paramètres!$A$1:$I$89,5,0)</f>
        <v>262.89076666666659</v>
      </c>
      <c r="BF117" s="13">
        <f t="shared" si="91"/>
        <v>63.338175499546331</v>
      </c>
      <c r="BG117" s="20">
        <f t="shared" si="61"/>
        <v>568.18207427282073</v>
      </c>
      <c r="BH117" s="59">
        <f t="shared" si="62"/>
        <v>849.04748930752612</v>
      </c>
      <c r="BI117" s="59">
        <f ca="1">AVERAGE(OFFSET($BH$3,0,0,'Données projet'!$E$11+1,1))-AVERAGE(OFFSET($H$3,0,0,'Données projet'!$E$11+1,1))</f>
        <v>580.02848304986492</v>
      </c>
      <c r="BJ117" s="59">
        <f t="shared" si="92"/>
        <v>281.68891895586728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20.863820985902777</v>
      </c>
      <c r="BQ117" s="21">
        <f>EXP(-LN(2)/25)*BQ116+(1-EXP(-LN(2)/25))/(LN(2)/25)*Calculateur!BL117*Calculateur!BN117*VLOOKUP('Données projet'!$B$11,Paramètres!$A$1:$I$89,3,0)*0.475*44/12</f>
        <v>26.401514399646878</v>
      </c>
      <c r="BR117" s="21">
        <f>EXP(-LN(2)/2)*BR116+(1-EXP(-LN(2)/2))/(LN(2)/2)*BL117*BO117*VLOOKUP('Données projet'!$B$11,Paramètres!$A$1:$I$89,3,0)*0.475*44/12</f>
        <v>2.9406196108219378</v>
      </c>
      <c r="BS117" s="22">
        <f t="shared" si="63"/>
        <v>50.205954996371595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4.4337866711430253E-14</v>
      </c>
      <c r="CA117" s="13">
        <f t="shared" si="93"/>
        <v>7.3222115536967035E-13</v>
      </c>
      <c r="CB117" s="20">
        <f t="shared" si="64"/>
        <v>1.3525069634579169E-12</v>
      </c>
      <c r="CC117" s="59">
        <f t="shared" si="65"/>
        <v>280.86541503470681</v>
      </c>
      <c r="CD117" s="59">
        <f ca="1">AVERAGE(OFFSET($CC$3,0,0,'Données projet'!$E$12+1,1))-AVERAGE(OFFSET($H$3,0,0,'Données projet'!$E$12+1,1))</f>
        <v>308.85018589589453</v>
      </c>
      <c r="CE117" s="59">
        <f t="shared" si="94"/>
        <v>302.59481222418219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17.636627760867899</v>
      </c>
      <c r="CL117" s="21">
        <f>EXP(-LN(2)/25)*CL116+(1-EXP(-LN(2)/25))/(LN(2)/25)*Calculateur!CG117*Calculateur!CI117*VLOOKUP('Données projet'!$B$12,Paramètres!$A$1:$I$89,3,0)*0.475*44/12</f>
        <v>12.157588457518164</v>
      </c>
      <c r="CM117" s="21">
        <f>EXP(-LN(2)/2)*CM116+(1-EXP(-LN(2)/2))/(LN(2)/2)*CG117*CJ117*VLOOKUP('Données projet'!$B$12,Paramètres!$A$1:$I$89,3,0)*0.475*44/12</f>
        <v>1.0242699362982146E-5</v>
      </c>
      <c r="CN117" s="22">
        <f t="shared" si="66"/>
        <v>29.794226461085426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2.2737367544323206E-13</v>
      </c>
      <c r="CU117" s="17">
        <f>CT117*VLOOKUP('Données projet'!$B$13,Paramètres!$A$1:$I$89,3,0)*VLOOKUP('Données projet'!$B$13,Paramètres!$A$1:$I$89,5,0)</f>
        <v>1.5252226148732008E-13</v>
      </c>
      <c r="CV117" s="13">
        <f t="shared" si="95"/>
        <v>2.1814502464536512E-12</v>
      </c>
      <c r="CW117" s="20">
        <f t="shared" si="67"/>
        <v>4.0650021179971913E-12</v>
      </c>
      <c r="CX117" s="59">
        <f t="shared" si="68"/>
        <v>280.86541503470954</v>
      </c>
      <c r="CY117" s="59">
        <f ca="1">AVERAGE(OFFSET($CX$3,0,0,'Données projet'!$E$13+1,1))-AVERAGE(OFFSET($H$3,0,0,'Données projet'!$E$13+1,1))</f>
        <v>335.73816489539837</v>
      </c>
      <c r="CZ117" s="59">
        <f t="shared" si="96"/>
        <v>254.09787950201044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34.60661841995929</v>
      </c>
      <c r="DG117" s="21">
        <f>EXP(-LN(2)/25)*DG116+(1-EXP(-LN(2)/25))/(LN(2)/25)*Calculateur!DB117*Calculateur!DD117*VLOOKUP('Données projet'!$B$13,Paramètres!$A$1:$I$89,3,0)*0.475*44/12</f>
        <v>33.933569365963152</v>
      </c>
      <c r="DH117" s="21">
        <f>EXP(-LN(2)/2)*DH116+(1-EXP(-LN(2)/2))/(LN(2)/2)*DB117*DE117*VLOOKUP('Données projet'!$B$13,Paramètres!$A$1:$I$89,3,0)*0.475*44/12</f>
        <v>12.238908894627428</v>
      </c>
      <c r="DI117" s="22">
        <f t="shared" si="69"/>
        <v>80.77909668054987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8.7019999999999982</v>
      </c>
      <c r="DO117" s="12">
        <f>IF('Données projet'!$A$166&gt;35,DO116+DN117-DW116,IF(A117&lt;'Données projet'!$A$166,$DL$205^A117,IF(A117='Données projet'!$A$166,'Données projet'!$B$166,DO116+DN117-DW116)))</f>
        <v>331.21200000000027</v>
      </c>
      <c r="DP117" s="17">
        <f>DO117*VLOOKUP('Données projet'!$B$14,Paramètres!$A$1:$I$89,3,0)*VLOOKUP('Données projet'!$B$14,Paramètres!$A$1:$I$89,5,0)</f>
        <v>320.34824640000028</v>
      </c>
      <c r="DQ117" s="13">
        <f t="shared" si="97"/>
        <v>75.425808511447514</v>
      </c>
      <c r="DR117" s="20">
        <f t="shared" si="70"/>
        <v>689.30647897077154</v>
      </c>
      <c r="DS117" s="59">
        <f t="shared" si="71"/>
        <v>970.17189400547704</v>
      </c>
      <c r="DT117" s="59">
        <f ca="1">AVERAGE(OFFSET($DS$3,0,0,'Données projet'!$E$14+1,1))-AVERAGE(OFFSET($H$3,0,0,'Données projet'!$E$14+1,1))</f>
        <v>493.03862850474161</v>
      </c>
      <c r="DU117" s="59">
        <f t="shared" si="98"/>
        <v>312.51819065560528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52.878759218126653</v>
      </c>
      <c r="EB117" s="21">
        <f>EXP(-LN(2)/25)*EB116+(1-EXP(-LN(2)/25))/(LN(2)/25)*Calculateur!DW117*Calculateur!DY117*VLOOKUP('Données projet'!$B$14,Paramètres!$A$1:$I$89,3,0)*0.475*44/12</f>
        <v>25.497659671376272</v>
      </c>
      <c r="EC117" s="21">
        <f>EXP(-LN(2)/2)*EC116+(1-EXP(-LN(2)/2))/(LN(2)/2)*DW117*DZ117*VLOOKUP('Données projet'!$B$14,Paramètres!$A$1:$I$89,3,0)*0.475*44/12</f>
        <v>1.0413028398057505E-4</v>
      </c>
      <c r="ED117" s="22">
        <f t="shared" si="72"/>
        <v>78.376523019786916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8.7019999999999982</v>
      </c>
      <c r="EJ117" s="12">
        <f>IF('Données projet'!$A$192&gt;35,EJ116+EI117-ER116,IF(A117&lt;'Données projet'!$A$192,$EG$205^A117,IF(A117='Données projet'!$A$192,'Données projet'!$B$192,EJ116+EI117-ER116)))</f>
        <v>331.21200000000027</v>
      </c>
      <c r="EK117" s="17">
        <f>EJ117*VLOOKUP('Données projet'!$B$15,Paramètres!$A$1:$I$89,3,0)*VLOOKUP('Données projet'!$B$15,Paramètres!$A$1:$I$89,5,0)</f>
        <v>356.51659680000029</v>
      </c>
      <c r="EL117" s="13">
        <f t="shared" si="99"/>
        <v>82.902902138726972</v>
      </c>
      <c r="EM117" s="20">
        <f t="shared" si="73"/>
        <v>765.32229398494985</v>
      </c>
      <c r="EN117" s="59">
        <f t="shared" si="74"/>
        <v>1046.1877090196554</v>
      </c>
      <c r="EO117" s="59">
        <f ca="1">AVERAGE(OFFSET($EN$3,0,0,'Données projet'!$E$15+1,1))-AVERAGE(OFFSET($H$3,0,0,'Données projet'!$E$15+1,1))</f>
        <v>539.72194201710272</v>
      </c>
      <c r="EP117" s="59">
        <f t="shared" si="100"/>
        <v>340.76505385159362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58.848941710495787</v>
      </c>
      <c r="EW117" s="21">
        <f>EXP(-LN(2)/25)*EW116+(1-EXP(-LN(2)/25))/(LN(2)/25)*Calculateur!ER117*Calculateur!ET117*VLOOKUP('Données projet'!$B$15,Paramètres!$A$1:$I$89,3,0)*0.475*44/12</f>
        <v>28.376427698789719</v>
      </c>
      <c r="EX117" s="21">
        <f>EXP(-LN(2)/2)*EX116+(1-EXP(-LN(2)/2))/(LN(2)/2)*ER117*EU117*VLOOKUP('Données projet'!$B$15,Paramètres!$A$1:$I$89,3,0)*0.475*44/12</f>
        <v>1.1588692894612408E-4</v>
      </c>
      <c r="EY117" s="22">
        <f t="shared" si="75"/>
        <v>87.225485296214458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>
        <f>FE117*VLOOKUP('Données projet'!$B$16,Paramètres!$A$1:$I$89,3,0)*VLOOKUP('Données projet'!$B$16,Paramètres!$A$1:$I$89,5,0)</f>
        <v>0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383.47860767209028</v>
      </c>
      <c r="FK117" s="59">
        <f t="shared" si="102"/>
        <v>370.49129421395628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27.030728461753707</v>
      </c>
      <c r="FR117" s="21">
        <f>EXP(-LN(2)/25)*FR116+(1-EXP(-LN(2)/25))/(LN(2)/25)*Calculateur!FM117*Calculateur!FO117*VLOOKUP('Données projet'!$B$16,Paramètres!$A$1:$I$89,3,0)*0.475*44/12</f>
        <v>20.38687816745691</v>
      </c>
      <c r="FS117" s="21">
        <f>EXP(-LN(2)/2)*FS116+(1-EXP(-LN(2)/2))/(LN(2)/2)*FM117*FP117*VLOOKUP('Données projet'!$B$16,Paramètres!$A$1:$I$89,3,0)*0.475*44/12</f>
        <v>4.8557486479947932E-4</v>
      </c>
      <c r="FT117" s="22">
        <f t="shared" si="78"/>
        <v>47.418092204075414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7.0011111111111104</v>
      </c>
      <c r="FZ117" s="12">
        <f>IF('Données projet'!$A$244&gt;35,FZ116+FY117-GH116,IF(A117&lt;'Données projet'!$A$244,$FW$205^A117,IF(A117='Données projet'!$A$244,'Données projet'!$B$244,FZ116+FY117-GH116)))</f>
        <v>259.26111111111101</v>
      </c>
      <c r="GA117" s="17">
        <f>FZ117*VLOOKUP('Données projet'!$B$17,Paramètres!$A$1:$I$89,3,0)*VLOOKUP('Données projet'!$B$17,Paramètres!$A$1:$I$89,5,0)</f>
        <v>295.24655333333322</v>
      </c>
      <c r="GB117" s="13">
        <f t="shared" si="103"/>
        <v>70.179034062439342</v>
      </c>
      <c r="GC117" s="20">
        <f t="shared" si="79"/>
        <v>636.44956471430385</v>
      </c>
      <c r="GD117" s="59">
        <f t="shared" si="80"/>
        <v>917.31497974900935</v>
      </c>
      <c r="GE117" s="59">
        <f ca="1">AVERAGE(OFFSET($GD$3,0,0,'Données projet'!$E$17+1,1))-AVERAGE(OFFSET($H$3,0,0,'Données projet'!$E$17+1,1))</f>
        <v>640.05156427113661</v>
      </c>
      <c r="GF117" s="59">
        <f t="shared" si="104"/>
        <v>308.77220155372902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23.431675876475428</v>
      </c>
      <c r="GM117" s="21">
        <f>EXP(-LN(2)/25)*GM116+(1-EXP(-LN(2)/25))/(LN(2)/25)*Calculateur!GH117*Calculateur!GJ117*VLOOKUP('Données projet'!$B$17,Paramètres!$A$1:$I$89,3,0)*0.475*44/12</f>
        <v>29.650931556526494</v>
      </c>
      <c r="GN117" s="21">
        <f>EXP(-LN(2)/2)*GN116+(1-EXP(-LN(2)/2))/(LN(2)/2)*GH117*GK117*VLOOKUP('Données projet'!$B$17,Paramètres!$A$1:$I$89,3,0)*0.475*44/12</f>
        <v>3.3025420244615598</v>
      </c>
      <c r="GO117" s="21">
        <f t="shared" si="81"/>
        <v>56.385149457463484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4.7884896048344674E-14</v>
      </c>
      <c r="P118" s="13">
        <f t="shared" si="87"/>
        <v>7.8374629847779921E-13</v>
      </c>
      <c r="Q118" s="20">
        <f t="shared" si="107"/>
        <v>1.4484243304663672E-12</v>
      </c>
      <c r="R118" s="59">
        <f t="shared" si="55"/>
        <v>281.08170554309868</v>
      </c>
      <c r="S118" s="59">
        <f ca="1">AVERAGE(OFFSET($R$3,0,0,'Données projet'!$E$9+1,1))-AVERAGE(OFFSET($H$3,0,0,'Données projet'!$E$9+1,1))</f>
        <v>456.35333554128226</v>
      </c>
      <c r="T118" s="59">
        <f t="shared" si="88"/>
        <v>296.4517290984877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102.36849008499544</v>
      </c>
      <c r="AA118" s="21">
        <f>EXP(-LN(2)/25)*AA117+(1-EXP(-LN(2)/25))/(LN(2)/25)*Calculateur!V118*Calculateur!X118*VLOOKUP('Données projet'!$B$9,Paramètres!$A$1:$I$89,3,0)*0.475*44/12</f>
        <v>21.800884117625625</v>
      </c>
      <c r="AB118" s="21">
        <f>EXP(-LN(2)/2)*AB117+(1-EXP(-LN(2)/2))/(LN(2)/2)*V118*Y118*VLOOKUP('Données projet'!$B$9,Paramètres!$A$1:$I$89,3,0)*0.475*44/12</f>
        <v>0.32805439196296216</v>
      </c>
      <c r="AC118" s="22">
        <f t="shared" si="57"/>
        <v>124.49742859458404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408.246209980743</v>
      </c>
      <c r="AO118" s="59">
        <f t="shared" si="90"/>
        <v>394.10236303013903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28.539185622483977</v>
      </c>
      <c r="AV118" s="21">
        <f>EXP(-LN(2)/25)*AV117+(1-EXP(-LN(2)/25))/(LN(2)/25)*Calculateur!AQ118*Calculateur!AS118*VLOOKUP('Données projet'!$B$10,Paramètres!$A$1:$I$89,3,0)*0.475*44/12</f>
        <v>21.354736212781432</v>
      </c>
      <c r="AW118" s="21">
        <f>EXP(-LN(2)/2)*AW117+(1-EXP(-LN(2)/2))/(LN(2)/2)*AQ118*AT118*VLOOKUP('Données projet'!$B$10,Paramètres!$A$1:$I$89,3,0)*0.475*44/12</f>
        <v>3.697650704175638E-4</v>
      </c>
      <c r="AX118" s="21">
        <f t="shared" si="60"/>
        <v>49.894291600335826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7.0011111111111104</v>
      </c>
      <c r="BD118" s="12">
        <f>IF('Données projet'!$A$88&gt;35,BD117+BC118-BL117,IF(A118&lt;'Données projet'!$A$88,$BA$205^A118,IF(A118='Données projet'!$A$88,'Données projet'!$B$88,BD117+BC118-BL117)))</f>
        <v>266.26222222222214</v>
      </c>
      <c r="BE118" s="13">
        <f>BD118*VLOOKUP('Données projet'!$B$11,Paramètres!$A$1:$I$89,3,0)*VLOOKUP('Données projet'!$B$11,Paramètres!$A$1:$I$89,5,0)</f>
        <v>269.98989333333327</v>
      </c>
      <c r="BF118" s="13">
        <f t="shared" si="91"/>
        <v>64.847124393424096</v>
      </c>
      <c r="BG118" s="20">
        <f t="shared" si="61"/>
        <v>583.1744725407691</v>
      </c>
      <c r="BH118" s="59">
        <f t="shared" si="62"/>
        <v>864.25617808386642</v>
      </c>
      <c r="BI118" s="59">
        <f ca="1">AVERAGE(OFFSET($BH$3,0,0,'Données projet'!$E$11+1,1))-AVERAGE(OFFSET($H$3,0,0,'Données projet'!$E$11+1,1))</f>
        <v>580.02848304986492</v>
      </c>
      <c r="BJ118" s="59">
        <f t="shared" si="92"/>
        <v>281.68891895586728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20.454694182043468</v>
      </c>
      <c r="BQ118" s="21">
        <f>EXP(-LN(2)/25)*BQ117+(1-EXP(-LN(2)/25))/(LN(2)/25)*Calculateur!BL118*Calculateur!BN118*VLOOKUP('Données projet'!$B$11,Paramètres!$A$1:$I$89,3,0)*0.475*44/12</f>
        <v>25.679563599993234</v>
      </c>
      <c r="BR118" s="21">
        <f>EXP(-LN(2)/2)*BR117+(1-EXP(-LN(2)/2))/(LN(2)/2)*BL118*BO118*VLOOKUP('Données projet'!$B$11,Paramètres!$A$1:$I$89,3,0)*0.475*44/12</f>
        <v>2.0793320677023388</v>
      </c>
      <c r="BS118" s="22">
        <f t="shared" si="63"/>
        <v>48.213589849739037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4.4337866711430253E-14</v>
      </c>
      <c r="CA118" s="13">
        <f t="shared" si="93"/>
        <v>7.3222115536967035E-13</v>
      </c>
      <c r="CB118" s="20">
        <f t="shared" si="64"/>
        <v>1.3525069634579169E-12</v>
      </c>
      <c r="CC118" s="59">
        <f t="shared" si="65"/>
        <v>281.08170554309862</v>
      </c>
      <c r="CD118" s="59">
        <f ca="1">AVERAGE(OFFSET($CC$3,0,0,'Données projet'!$E$12+1,1))-AVERAGE(OFFSET($H$3,0,0,'Données projet'!$E$12+1,1))</f>
        <v>308.85018589589453</v>
      </c>
      <c r="CE118" s="59">
        <f t="shared" si="94"/>
        <v>302.59481222418219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17.290784247758019</v>
      </c>
      <c r="CL118" s="21">
        <f>EXP(-LN(2)/25)*CL117+(1-EXP(-LN(2)/25))/(LN(2)/25)*Calculateur!CG118*Calculateur!CI118*VLOOKUP('Données projet'!$B$12,Paramètres!$A$1:$I$89,3,0)*0.475*44/12</f>
        <v>11.82513856180754</v>
      </c>
      <c r="CM118" s="21">
        <f>EXP(-LN(2)/2)*CM117+(1-EXP(-LN(2)/2))/(LN(2)/2)*CG118*CJ118*VLOOKUP('Données projet'!$B$12,Paramètres!$A$1:$I$89,3,0)*0.475*44/12</f>
        <v>7.2426821772198061E-6</v>
      </c>
      <c r="CN118" s="22">
        <f t="shared" si="66"/>
        <v>29.115930052247737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2.2737367544323206E-13</v>
      </c>
      <c r="CU118" s="17">
        <f>CT118*VLOOKUP('Données projet'!$B$13,Paramètres!$A$1:$I$89,3,0)*VLOOKUP('Données projet'!$B$13,Paramètres!$A$1:$I$89,5,0)</f>
        <v>1.5252226148732008E-13</v>
      </c>
      <c r="CV118" s="13">
        <f t="shared" si="95"/>
        <v>2.1814502464536512E-12</v>
      </c>
      <c r="CW118" s="20">
        <f t="shared" si="67"/>
        <v>4.0650021179971913E-12</v>
      </c>
      <c r="CX118" s="59">
        <f t="shared" si="68"/>
        <v>281.08170554310135</v>
      </c>
      <c r="CY118" s="59">
        <f ca="1">AVERAGE(OFFSET($CX$3,0,0,'Données projet'!$E$13+1,1))-AVERAGE(OFFSET($H$3,0,0,'Données projet'!$E$13+1,1))</f>
        <v>335.73816489539837</v>
      </c>
      <c r="CZ118" s="59">
        <f t="shared" si="96"/>
        <v>254.09787950201044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33.928003740696887</v>
      </c>
      <c r="DG118" s="21">
        <f>EXP(-LN(2)/25)*DG117+(1-EXP(-LN(2)/25))/(LN(2)/25)*Calculateur!DB118*Calculateur!DD118*VLOOKUP('Données projet'!$B$13,Paramètres!$A$1:$I$89,3,0)*0.475*44/12</f>
        <v>33.005654127162032</v>
      </c>
      <c r="DH118" s="21">
        <f>EXP(-LN(2)/2)*DH117+(1-EXP(-LN(2)/2))/(LN(2)/2)*DB118*DE118*VLOOKUP('Données projet'!$B$13,Paramètres!$A$1:$I$89,3,0)*0.475*44/12</f>
        <v>8.6542154737154071</v>
      </c>
      <c r="DI118" s="22">
        <f t="shared" si="69"/>
        <v>75.587873341574337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8.7019999999999982</v>
      </c>
      <c r="DO118" s="12">
        <f>IF('Données projet'!$A$166&gt;35,DO117+DN118-DW117,IF(A118&lt;'Données projet'!$A$166,$DL$205^A118,IF(A118='Données projet'!$A$166,'Données projet'!$B$166,DO117+DN118-DW117)))</f>
        <v>339.91400000000027</v>
      </c>
      <c r="DP118" s="17">
        <f>DO118*VLOOKUP('Données projet'!$B$14,Paramètres!$A$1:$I$89,3,0)*VLOOKUP('Données projet'!$B$14,Paramètres!$A$1:$I$89,5,0)</f>
        <v>328.76482080000028</v>
      </c>
      <c r="DQ118" s="13">
        <f t="shared" si="97"/>
        <v>77.174167146650717</v>
      </c>
      <c r="DR118" s="20">
        <f t="shared" si="70"/>
        <v>707.01040400708371</v>
      </c>
      <c r="DS118" s="59">
        <f t="shared" si="71"/>
        <v>988.09210955018102</v>
      </c>
      <c r="DT118" s="59">
        <f ca="1">AVERAGE(OFFSET($DS$3,0,0,'Données projet'!$E$14+1,1))-AVERAGE(OFFSET($H$3,0,0,'Données projet'!$E$14+1,1))</f>
        <v>493.03862850474161</v>
      </c>
      <c r="DU118" s="59">
        <f t="shared" si="98"/>
        <v>312.51819065560528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51.841839002717606</v>
      </c>
      <c r="EB118" s="21">
        <f>EXP(-LN(2)/25)*EB117+(1-EXP(-LN(2)/25))/(LN(2)/25)*Calculateur!DW118*Calculateur!DY118*VLOOKUP('Données projet'!$B$14,Paramètres!$A$1:$I$89,3,0)*0.475*44/12</f>
        <v>24.800424826798842</v>
      </c>
      <c r="EC118" s="21">
        <f>EXP(-LN(2)/2)*EC117+(1-EXP(-LN(2)/2))/(LN(2)/2)*DW118*DZ118*VLOOKUP('Données projet'!$B$14,Paramètres!$A$1:$I$89,3,0)*0.475*44/12</f>
        <v>7.3631229929545537E-5</v>
      </c>
      <c r="ED118" s="22">
        <f t="shared" si="72"/>
        <v>76.642337460746376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8.7019999999999982</v>
      </c>
      <c r="EJ118" s="12">
        <f>IF('Données projet'!$A$192&gt;35,EJ117+EI118-ER117,IF(A118&lt;'Données projet'!$A$192,$EG$205^A118,IF(A118='Données projet'!$A$192,'Données projet'!$B$192,EJ117+EI118-ER117)))</f>
        <v>339.91400000000027</v>
      </c>
      <c r="EK118" s="17">
        <f>EJ118*VLOOKUP('Données projet'!$B$15,Paramètres!$A$1:$I$89,3,0)*VLOOKUP('Données projet'!$B$15,Paramètres!$A$1:$I$89,5,0)</f>
        <v>365.88342960000028</v>
      </c>
      <c r="EL118" s="13">
        <f t="shared" si="99"/>
        <v>84.824578653678017</v>
      </c>
      <c r="EM118" s="20">
        <f t="shared" si="73"/>
        <v>784.98311437515633</v>
      </c>
      <c r="EN118" s="59">
        <f t="shared" si="74"/>
        <v>1066.0648199182535</v>
      </c>
      <c r="EO118" s="59">
        <f ca="1">AVERAGE(OFFSET($EN$3,0,0,'Données projet'!$E$15+1,1))-AVERAGE(OFFSET($H$3,0,0,'Données projet'!$E$15+1,1))</f>
        <v>539.72194201710272</v>
      </c>
      <c r="EP118" s="59">
        <f t="shared" si="100"/>
        <v>340.76505385159362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57.694949857863136</v>
      </c>
      <c r="EW118" s="21">
        <f>EXP(-LN(2)/25)*EW117+(1-EXP(-LN(2)/25))/(LN(2)/25)*Calculateur!ER118*Calculateur!ET118*VLOOKUP('Données projet'!$B$15,Paramètres!$A$1:$I$89,3,0)*0.475*44/12</f>
        <v>27.600472791114836</v>
      </c>
      <c r="EX118" s="21">
        <f>EXP(-LN(2)/2)*EX117+(1-EXP(-LN(2)/2))/(LN(2)/2)*ER118*EU118*VLOOKUP('Données projet'!$B$15,Paramètres!$A$1:$I$89,3,0)*0.475*44/12</f>
        <v>8.1944433308687949E-5</v>
      </c>
      <c r="EY118" s="22">
        <f t="shared" si="75"/>
        <v>85.29550459341128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>
        <f>FE118*VLOOKUP('Données projet'!$B$16,Paramètres!$A$1:$I$89,3,0)*VLOOKUP('Données projet'!$B$16,Paramètres!$A$1:$I$89,5,0)</f>
        <v>0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383.47860767209028</v>
      </c>
      <c r="FK118" s="59">
        <f t="shared" si="102"/>
        <v>370.49129421395628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26.500672363735109</v>
      </c>
      <c r="FR118" s="21">
        <f>EXP(-LN(2)/25)*FR117+(1-EXP(-LN(2)/25))/(LN(2)/25)*Calculateur!FM118*Calculateur!FO118*VLOOKUP('Données projet'!$B$16,Paramètres!$A$1:$I$89,3,0)*0.475*44/12</f>
        <v>19.829397911868472</v>
      </c>
      <c r="FS118" s="21">
        <f>EXP(-LN(2)/2)*FS117+(1-EXP(-LN(2)/2))/(LN(2)/2)*FM118*FP118*VLOOKUP('Données projet'!$B$16,Paramètres!$A$1:$I$89,3,0)*0.475*44/12</f>
        <v>3.4335327967345287E-4</v>
      </c>
      <c r="FT118" s="22">
        <f t="shared" si="78"/>
        <v>46.330413628883257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7.0011111111111104</v>
      </c>
      <c r="FZ118" s="12">
        <f>IF('Données projet'!$A$244&gt;35,FZ117+FY118-GH117,IF(A118&lt;'Données projet'!$A$244,$FW$205^A118,IF(A118='Données projet'!$A$244,'Données projet'!$B$244,FZ117+FY118-GH117)))</f>
        <v>266.26222222222214</v>
      </c>
      <c r="GA118" s="17">
        <f>FZ118*VLOOKUP('Données projet'!$B$17,Paramètres!$A$1:$I$89,3,0)*VLOOKUP('Données projet'!$B$17,Paramètres!$A$1:$I$89,5,0)</f>
        <v>303.21941866666657</v>
      </c>
      <c r="GB118" s="13">
        <f t="shared" si="103"/>
        <v>71.850957432298372</v>
      </c>
      <c r="GC118" s="20">
        <f t="shared" si="79"/>
        <v>653.24757170569728</v>
      </c>
      <c r="GD118" s="59">
        <f t="shared" si="80"/>
        <v>934.3292772487946</v>
      </c>
      <c r="GE118" s="59">
        <f ca="1">AVERAGE(OFFSET($GD$3,0,0,'Données projet'!$E$17+1,1))-AVERAGE(OFFSET($H$3,0,0,'Données projet'!$E$17+1,1))</f>
        <v>640.05156427113661</v>
      </c>
      <c r="GF118" s="59">
        <f t="shared" si="104"/>
        <v>308.77220155372902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22.972195004448821</v>
      </c>
      <c r="GM118" s="21">
        <f>EXP(-LN(2)/25)*GM117+(1-EXP(-LN(2)/25))/(LN(2)/25)*Calculateur!GH118*Calculateur!GJ118*VLOOKUP('Données projet'!$B$17,Paramètres!$A$1:$I$89,3,0)*0.475*44/12</f>
        <v>28.840125273838556</v>
      </c>
      <c r="GN118" s="21">
        <f>EXP(-LN(2)/2)*GN117+(1-EXP(-LN(2)/2))/(LN(2)/2)*GH118*GK118*VLOOKUP('Données projet'!$B$17,Paramètres!$A$1:$I$89,3,0)*0.475*44/12</f>
        <v>2.3352498606503178</v>
      </c>
      <c r="GO118" s="21">
        <f t="shared" si="81"/>
        <v>54.147570138937688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4.7884896048344674E-14</v>
      </c>
      <c r="P119" s="13">
        <f t="shared" si="87"/>
        <v>7.8374629847779921E-13</v>
      </c>
      <c r="Q119" s="20">
        <f t="shared" si="107"/>
        <v>1.4484243304663672E-12</v>
      </c>
      <c r="R119" s="59">
        <f t="shared" si="55"/>
        <v>281.29424389472291</v>
      </c>
      <c r="S119" s="59">
        <f ca="1">AVERAGE(OFFSET($R$3,0,0,'Données projet'!$E$9+1,1))-AVERAGE(OFFSET($H$3,0,0,'Données projet'!$E$9+1,1))</f>
        <v>456.35333554128226</v>
      </c>
      <c r="T119" s="59">
        <f t="shared" si="88"/>
        <v>296.4517290984877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100.36110643304234</v>
      </c>
      <c r="AA119" s="21">
        <f>EXP(-LN(2)/25)*AA118+(1-EXP(-LN(2)/25))/(LN(2)/25)*Calculateur!V119*Calculateur!X119*VLOOKUP('Données projet'!$B$9,Paramètres!$A$1:$I$89,3,0)*0.475*44/12</f>
        <v>21.204737794970484</v>
      </c>
      <c r="AB119" s="21">
        <f>EXP(-LN(2)/2)*AB118+(1-EXP(-LN(2)/2))/(LN(2)/2)*V119*Y119*VLOOKUP('Données projet'!$B$9,Paramètres!$A$1:$I$89,3,0)*0.475*44/12</f>
        <v>0.23196948515504018</v>
      </c>
      <c r="AC119" s="22">
        <f t="shared" si="57"/>
        <v>121.79781371316786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408.246209980743</v>
      </c>
      <c r="AO119" s="59">
        <f t="shared" si="90"/>
        <v>394.10236303013903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27.979549599611481</v>
      </c>
      <c r="AV119" s="21">
        <f>EXP(-LN(2)/25)*AV118+(1-EXP(-LN(2)/25))/(LN(2)/25)*Calculateur!AQ119*Calculateur!AS119*VLOOKUP('Données projet'!$B$10,Paramètres!$A$1:$I$89,3,0)*0.475*44/12</f>
        <v>20.770789828046155</v>
      </c>
      <c r="AW119" s="21">
        <f>EXP(-LN(2)/2)*AW118+(1-EXP(-LN(2)/2))/(LN(2)/2)*AQ119*AT119*VLOOKUP('Données projet'!$B$10,Paramètres!$A$1:$I$89,3,0)*0.475*44/12</f>
        <v>2.6146338873818062E-4</v>
      </c>
      <c r="AX119" s="21">
        <f t="shared" si="60"/>
        <v>48.750600891046375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7.0011111111111104</v>
      </c>
      <c r="BD119" s="12">
        <f>IF('Données projet'!$A$88&gt;35,BD118+BC119-BL118,IF(A119&lt;'Données projet'!$A$88,$BA$205^A119,IF(A119='Données projet'!$A$88,'Données projet'!$B$88,BD118+BC119-BL118)))</f>
        <v>273.26333333333326</v>
      </c>
      <c r="BE119" s="13">
        <f>BD119*VLOOKUP('Données projet'!$B$11,Paramètres!$A$1:$I$89,3,0)*VLOOKUP('Données projet'!$B$11,Paramètres!$A$1:$I$89,5,0)</f>
        <v>277.08901999999995</v>
      </c>
      <c r="BF119" s="13">
        <f t="shared" si="91"/>
        <v>66.351461456355509</v>
      </c>
      <c r="BG119" s="20">
        <f t="shared" si="61"/>
        <v>598.15883853648563</v>
      </c>
      <c r="BH119" s="59">
        <f t="shared" si="62"/>
        <v>879.45308243120712</v>
      </c>
      <c r="BI119" s="59">
        <f ca="1">AVERAGE(OFFSET($BH$3,0,0,'Données projet'!$E$11+1,1))-AVERAGE(OFFSET($H$3,0,0,'Données projet'!$E$11+1,1))</f>
        <v>580.02848304986492</v>
      </c>
      <c r="BJ119" s="59">
        <f t="shared" si="92"/>
        <v>281.68891895586728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20.05359010526513</v>
      </c>
      <c r="BQ119" s="21">
        <f>EXP(-LN(2)/25)*BQ118+(1-EXP(-LN(2)/25))/(LN(2)/25)*Calculateur!BL119*Calculateur!BN119*VLOOKUP('Données projet'!$B$11,Paramètres!$A$1:$I$89,3,0)*0.475*44/12</f>
        <v>24.977354582921862</v>
      </c>
      <c r="BR119" s="21">
        <f>EXP(-LN(2)/2)*BR118+(1-EXP(-LN(2)/2))/(LN(2)/2)*BL119*BO119*VLOOKUP('Données projet'!$B$11,Paramètres!$A$1:$I$89,3,0)*0.475*44/12</f>
        <v>1.4703098054109691</v>
      </c>
      <c r="BS119" s="22">
        <f t="shared" si="63"/>
        <v>46.501254493597962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4.4337866711430253E-14</v>
      </c>
      <c r="CA119" s="13">
        <f t="shared" si="93"/>
        <v>7.3222115536967035E-13</v>
      </c>
      <c r="CB119" s="20">
        <f t="shared" si="64"/>
        <v>1.3525069634579169E-12</v>
      </c>
      <c r="CC119" s="59">
        <f t="shared" si="65"/>
        <v>281.29424389472285</v>
      </c>
      <c r="CD119" s="59">
        <f ca="1">AVERAGE(OFFSET($CC$3,0,0,'Données projet'!$E$12+1,1))-AVERAGE(OFFSET($H$3,0,0,'Données projet'!$E$12+1,1))</f>
        <v>308.85018589589453</v>
      </c>
      <c r="CE119" s="59">
        <f t="shared" si="94"/>
        <v>302.59481222418219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16.951722514996511</v>
      </c>
      <c r="CL119" s="21">
        <f>EXP(-LN(2)/25)*CL118+(1-EXP(-LN(2)/25))/(LN(2)/25)*Calculateur!CG119*Calculateur!CI119*VLOOKUP('Données projet'!$B$12,Paramètres!$A$1:$I$89,3,0)*0.475*44/12</f>
        <v>11.501779525977902</v>
      </c>
      <c r="CM119" s="21">
        <f>EXP(-LN(2)/2)*CM118+(1-EXP(-LN(2)/2))/(LN(2)/2)*CG119*CJ119*VLOOKUP('Données projet'!$B$12,Paramètres!$A$1:$I$89,3,0)*0.475*44/12</f>
        <v>5.121349681491073E-6</v>
      </c>
      <c r="CN119" s="22">
        <f t="shared" si="66"/>
        <v>28.453507162324094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2.2737367544323206E-13</v>
      </c>
      <c r="CU119" s="17">
        <f>CT119*VLOOKUP('Données projet'!$B$13,Paramètres!$A$1:$I$89,3,0)*VLOOKUP('Données projet'!$B$13,Paramètres!$A$1:$I$89,5,0)</f>
        <v>1.5252226148732008E-13</v>
      </c>
      <c r="CV119" s="13">
        <f t="shared" si="95"/>
        <v>2.1814502464536512E-12</v>
      </c>
      <c r="CW119" s="20">
        <f t="shared" si="67"/>
        <v>4.0650021179971913E-12</v>
      </c>
      <c r="CX119" s="59">
        <f t="shared" si="68"/>
        <v>281.29424389472558</v>
      </c>
      <c r="CY119" s="59">
        <f ca="1">AVERAGE(OFFSET($CX$3,0,0,'Données projet'!$E$13+1,1))-AVERAGE(OFFSET($H$3,0,0,'Données projet'!$E$13+1,1))</f>
        <v>335.73816489539837</v>
      </c>
      <c r="CZ119" s="59">
        <f t="shared" si="96"/>
        <v>254.09787950201044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33.262696281380734</v>
      </c>
      <c r="DG119" s="21">
        <f>EXP(-LN(2)/25)*DG118+(1-EXP(-LN(2)/25))/(LN(2)/25)*Calculateur!DB119*Calculateur!DD119*VLOOKUP('Données projet'!$B$13,Paramètres!$A$1:$I$89,3,0)*0.475*44/12</f>
        <v>32.103112779362874</v>
      </c>
      <c r="DH119" s="21">
        <f>EXP(-LN(2)/2)*DH118+(1-EXP(-LN(2)/2))/(LN(2)/2)*DB119*DE119*VLOOKUP('Données projet'!$B$13,Paramètres!$A$1:$I$89,3,0)*0.475*44/12</f>
        <v>6.1194544473137142</v>
      </c>
      <c r="DI119" s="22">
        <f t="shared" si="69"/>
        <v>71.485263508057315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8.7019999999999982</v>
      </c>
      <c r="DO119" s="12">
        <f>IF('Données projet'!$A$166&gt;35,DO118+DN119-DW118,IF(A119&lt;'Données projet'!$A$166,$DL$205^A119,IF(A119='Données projet'!$A$166,'Données projet'!$B$166,DO118+DN119-DW118)))</f>
        <v>348.61600000000027</v>
      </c>
      <c r="DP119" s="17">
        <f>DO119*VLOOKUP('Données projet'!$B$14,Paramètres!$A$1:$I$89,3,0)*VLOOKUP('Données projet'!$B$14,Paramètres!$A$1:$I$89,5,0)</f>
        <v>337.18139520000028</v>
      </c>
      <c r="DQ119" s="13">
        <f t="shared" si="97"/>
        <v>78.917322986456426</v>
      </c>
      <c r="DR119" s="20">
        <f t="shared" si="70"/>
        <v>724.70526750807869</v>
      </c>
      <c r="DS119" s="59">
        <f t="shared" si="71"/>
        <v>1005.9995114028002</v>
      </c>
      <c r="DT119" s="59">
        <f ca="1">AVERAGE(OFFSET($DS$3,0,0,'Données projet'!$E$14+1,1))-AVERAGE(OFFSET($H$3,0,0,'Données projet'!$E$14+1,1))</f>
        <v>493.03862850474161</v>
      </c>
      <c r="DU119" s="59">
        <f t="shared" si="98"/>
        <v>312.51819065560528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50.825252160273848</v>
      </c>
      <c r="EB119" s="21">
        <f>EXP(-LN(2)/25)*EB118+(1-EXP(-LN(2)/25))/(LN(2)/25)*Calculateur!DW119*Calculateur!DY119*VLOOKUP('Données projet'!$B$14,Paramètres!$A$1:$I$89,3,0)*0.475*44/12</f>
        <v>24.122255905712368</v>
      </c>
      <c r="EC119" s="21">
        <f>EXP(-LN(2)/2)*EC118+(1-EXP(-LN(2)/2))/(LN(2)/2)*DW119*DZ119*VLOOKUP('Données projet'!$B$14,Paramètres!$A$1:$I$89,3,0)*0.475*44/12</f>
        <v>5.2065141990287526E-5</v>
      </c>
      <c r="ED119" s="22">
        <f t="shared" si="72"/>
        <v>74.947560131128199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8.7019999999999982</v>
      </c>
      <c r="EJ119" s="12">
        <f>IF('Données projet'!$A$192&gt;35,EJ118+EI119-ER118,IF(A119&lt;'Données projet'!$A$192,$EG$205^A119,IF(A119='Données projet'!$A$192,'Données projet'!$B$192,EJ118+EI119-ER118)))</f>
        <v>348.61600000000027</v>
      </c>
      <c r="EK119" s="17">
        <f>EJ119*VLOOKUP('Données projet'!$B$15,Paramètres!$A$1:$I$89,3,0)*VLOOKUP('Données projet'!$B$15,Paramètres!$A$1:$I$89,5,0)</f>
        <v>375.25026240000028</v>
      </c>
      <c r="EL119" s="13">
        <f t="shared" si="99"/>
        <v>86.740536610933873</v>
      </c>
      <c r="EM119" s="20">
        <f t="shared" si="73"/>
        <v>804.63397494404364</v>
      </c>
      <c r="EN119" s="59">
        <f t="shared" si="74"/>
        <v>1085.9282188387651</v>
      </c>
      <c r="EO119" s="59">
        <f ca="1">AVERAGE(OFFSET($EN$3,0,0,'Données projet'!$E$15+1,1))-AVERAGE(OFFSET($H$3,0,0,'Données projet'!$E$15+1,1))</f>
        <v>539.72194201710272</v>
      </c>
      <c r="EP119" s="59">
        <f t="shared" si="100"/>
        <v>340.76505385159362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56.563587081595088</v>
      </c>
      <c r="EW119" s="21">
        <f>EXP(-LN(2)/25)*EW118+(1-EXP(-LN(2)/25))/(LN(2)/25)*Calculateur!ER119*Calculateur!ET119*VLOOKUP('Données projet'!$B$15,Paramètres!$A$1:$I$89,3,0)*0.475*44/12</f>
        <v>26.845736411196018</v>
      </c>
      <c r="EX119" s="21">
        <f>EXP(-LN(2)/2)*EX118+(1-EXP(-LN(2)/2))/(LN(2)/2)*ER119*EU119*VLOOKUP('Données projet'!$B$15,Paramètres!$A$1:$I$89,3,0)*0.475*44/12</f>
        <v>5.7943464473062053E-5</v>
      </c>
      <c r="EY119" s="22">
        <f t="shared" si="75"/>
        <v>83.409381436255572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>
        <f>FE119*VLOOKUP('Données projet'!$B$16,Paramètres!$A$1:$I$89,3,0)*VLOOKUP('Données projet'!$B$16,Paramètres!$A$1:$I$89,5,0)</f>
        <v>0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383.47860767209028</v>
      </c>
      <c r="FK119" s="59">
        <f t="shared" si="102"/>
        <v>370.49129421395628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25.981010342496361</v>
      </c>
      <c r="FR119" s="21">
        <f>EXP(-LN(2)/25)*FR118+(1-EXP(-LN(2)/25))/(LN(2)/25)*Calculateur!FM119*Calculateur!FO119*VLOOKUP('Données projet'!$B$16,Paramètres!$A$1:$I$89,3,0)*0.475*44/12</f>
        <v>19.287161983185715</v>
      </c>
      <c r="FS119" s="21">
        <f>EXP(-LN(2)/2)*FS118+(1-EXP(-LN(2)/2))/(LN(2)/2)*FM119*FP119*VLOOKUP('Données projet'!$B$16,Paramètres!$A$1:$I$89,3,0)*0.475*44/12</f>
        <v>2.4278743239973972E-4</v>
      </c>
      <c r="FT119" s="22">
        <f t="shared" si="78"/>
        <v>45.268415113114472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7.0011111111111104</v>
      </c>
      <c r="FZ119" s="12">
        <f>IF('Données projet'!$A$244&gt;35,FZ118+FY119-GH118,IF(A119&lt;'Données projet'!$A$244,$FW$205^A119,IF(A119='Données projet'!$A$244,'Données projet'!$B$244,FZ118+FY119-GH118)))</f>
        <v>273.26333333333326</v>
      </c>
      <c r="GA119" s="17">
        <f>FZ119*VLOOKUP('Données projet'!$B$17,Paramètres!$A$1:$I$89,3,0)*VLOOKUP('Données projet'!$B$17,Paramètres!$A$1:$I$89,5,0)</f>
        <v>311.19228399999992</v>
      </c>
      <c r="GB119" s="13">
        <f t="shared" si="103"/>
        <v>73.517770869032404</v>
      </c>
      <c r="GC119" s="20">
        <f t="shared" si="79"/>
        <v>670.0366788968978</v>
      </c>
      <c r="GD119" s="59">
        <f t="shared" si="80"/>
        <v>951.33092279161929</v>
      </c>
      <c r="GE119" s="59">
        <f ca="1">AVERAGE(OFFSET($GD$3,0,0,'Données projet'!$E$17+1,1))-AVERAGE(OFFSET($H$3,0,0,'Données projet'!$E$17+1,1))</f>
        <v>640.05156427113661</v>
      </c>
      <c r="GF119" s="59">
        <f t="shared" si="104"/>
        <v>308.77220155372902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22.521724272066997</v>
      </c>
      <c r="GM119" s="21">
        <f>EXP(-LN(2)/25)*GM118+(1-EXP(-LN(2)/25))/(LN(2)/25)*Calculateur!GH119*Calculateur!GJ119*VLOOKUP('Données projet'!$B$17,Paramètres!$A$1:$I$89,3,0)*0.475*44/12</f>
        <v>28.051490531589167</v>
      </c>
      <c r="GN119" s="21">
        <f>EXP(-LN(2)/2)*GN118+(1-EXP(-LN(2)/2))/(LN(2)/2)*GH119*GK119*VLOOKUP('Données projet'!$B$17,Paramètres!$A$1:$I$89,3,0)*0.475*44/12</f>
        <v>1.6512710122307799</v>
      </c>
      <c r="GO119" s="21">
        <f t="shared" si="81"/>
        <v>52.224485815886943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4.7884896048344674E-14</v>
      </c>
      <c r="P120" s="13">
        <f t="shared" si="87"/>
        <v>7.8374629847779921E-13</v>
      </c>
      <c r="Q120" s="20">
        <f t="shared" si="107"/>
        <v>1.4484243304663672E-12</v>
      </c>
      <c r="R120" s="59">
        <f t="shared" si="55"/>
        <v>281.50309518111106</v>
      </c>
      <c r="S120" s="59">
        <f ca="1">AVERAGE(OFFSET($R$3,0,0,'Données projet'!$E$9+1,1))-AVERAGE(OFFSET($H$3,0,0,'Données projet'!$E$9+1,1))</f>
        <v>456.35333554128226</v>
      </c>
      <c r="T120" s="59">
        <f t="shared" si="88"/>
        <v>296.4517290984877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98.393086350120896</v>
      </c>
      <c r="AA120" s="21">
        <f>EXP(-LN(2)/25)*AA119+(1-EXP(-LN(2)/25))/(LN(2)/25)*Calculateur!V120*Calculateur!X120*VLOOKUP('Données projet'!$B$9,Paramètres!$A$1:$I$89,3,0)*0.475*44/12</f>
        <v>20.624893124858321</v>
      </c>
      <c r="AB120" s="21">
        <f>EXP(-LN(2)/2)*AB119+(1-EXP(-LN(2)/2))/(LN(2)/2)*V120*Y120*VLOOKUP('Données projet'!$B$9,Paramètres!$A$1:$I$89,3,0)*0.475*44/12</f>
        <v>0.16402719598148108</v>
      </c>
      <c r="AC120" s="22">
        <f t="shared" si="57"/>
        <v>119.18200667096069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408.246209980743</v>
      </c>
      <c r="AO120" s="59">
        <f t="shared" si="90"/>
        <v>394.10236303013903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27.430887697803243</v>
      </c>
      <c r="AV120" s="21">
        <f>EXP(-LN(2)/25)*AV119+(1-EXP(-LN(2)/25))/(LN(2)/25)*Calculateur!AQ120*Calculateur!AS120*VLOOKUP('Données projet'!$B$10,Paramètres!$A$1:$I$89,3,0)*0.475*44/12</f>
        <v>20.202811487909869</v>
      </c>
      <c r="AW120" s="21">
        <f>EXP(-LN(2)/2)*AW119+(1-EXP(-LN(2)/2))/(LN(2)/2)*AQ120*AT120*VLOOKUP('Données projet'!$B$10,Paramètres!$A$1:$I$89,3,0)*0.475*44/12</f>
        <v>1.848825352087819E-4</v>
      </c>
      <c r="AX120" s="21">
        <f t="shared" si="60"/>
        <v>47.633884068248321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7.0011111111111104</v>
      </c>
      <c r="BD120" s="12">
        <f>IF('Données projet'!$A$88&gt;35,BD119+BC120-BL119,IF(A120&lt;'Données projet'!$A$88,$BA$205^A120,IF(A120='Données projet'!$A$88,'Données projet'!$B$88,BD119+BC120-BL119)))</f>
        <v>280.26444444444439</v>
      </c>
      <c r="BE120" s="13">
        <f>BD120*VLOOKUP('Données projet'!$B$11,Paramètres!$A$1:$I$89,3,0)*VLOOKUP('Données projet'!$B$11,Paramètres!$A$1:$I$89,5,0)</f>
        <v>284.18814666666663</v>
      </c>
      <c r="BF120" s="13">
        <f t="shared" si="91"/>
        <v>67.851318431342392</v>
      </c>
      <c r="BG120" s="20">
        <f t="shared" si="61"/>
        <v>613.13540171236571</v>
      </c>
      <c r="BH120" s="59">
        <f t="shared" si="62"/>
        <v>894.63849689347535</v>
      </c>
      <c r="BI120" s="59">
        <f ca="1">AVERAGE(OFFSET($BH$3,0,0,'Données projet'!$E$11+1,1))-AVERAGE(OFFSET($H$3,0,0,'Données projet'!$E$11+1,1))</f>
        <v>580.02848304986492</v>
      </c>
      <c r="BJ120" s="59">
        <f t="shared" si="92"/>
        <v>281.68891895586728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19.660351434783085</v>
      </c>
      <c r="BQ120" s="21">
        <f>EXP(-LN(2)/25)*BQ119+(1-EXP(-LN(2)/25))/(LN(2)/25)*Calculateur!BL120*Calculateur!BN120*VLOOKUP('Données projet'!$B$11,Paramètres!$A$1:$I$89,3,0)*0.475*44/12</f>
        <v>24.294347508349873</v>
      </c>
      <c r="BR120" s="21">
        <f>EXP(-LN(2)/2)*BR119+(1-EXP(-LN(2)/2))/(LN(2)/2)*BL120*BO120*VLOOKUP('Données projet'!$B$11,Paramètres!$A$1:$I$89,3,0)*0.475*44/12</f>
        <v>1.0396660338511694</v>
      </c>
      <c r="BS120" s="22">
        <f t="shared" si="63"/>
        <v>44.994364976984123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4.4337866711430253E-14</v>
      </c>
      <c r="CA120" s="13">
        <f t="shared" si="93"/>
        <v>7.3222115536967035E-13</v>
      </c>
      <c r="CB120" s="20">
        <f t="shared" si="64"/>
        <v>1.3525069634579169E-12</v>
      </c>
      <c r="CC120" s="59">
        <f t="shared" si="65"/>
        <v>281.50309518111101</v>
      </c>
      <c r="CD120" s="59">
        <f ca="1">AVERAGE(OFFSET($CC$3,0,0,'Données projet'!$E$12+1,1))-AVERAGE(OFFSET($H$3,0,0,'Données projet'!$E$12+1,1))</f>
        <v>308.85018589589453</v>
      </c>
      <c r="CE120" s="59">
        <f t="shared" si="94"/>
        <v>302.59481222418219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16.619309576007222</v>
      </c>
      <c r="CL120" s="21">
        <f>EXP(-LN(2)/25)*CL119+(1-EXP(-LN(2)/25))/(LN(2)/25)*Calculateur!CG120*Calculateur!CI120*VLOOKUP('Données projet'!$B$12,Paramètres!$A$1:$I$89,3,0)*0.475*44/12</f>
        <v>11.187262759987739</v>
      </c>
      <c r="CM120" s="21">
        <f>EXP(-LN(2)/2)*CM119+(1-EXP(-LN(2)/2))/(LN(2)/2)*CG120*CJ120*VLOOKUP('Données projet'!$B$12,Paramètres!$A$1:$I$89,3,0)*0.475*44/12</f>
        <v>3.621341088609903E-6</v>
      </c>
      <c r="CN120" s="22">
        <f t="shared" si="66"/>
        <v>27.806575957336051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2.2737367544323206E-13</v>
      </c>
      <c r="CU120" s="17">
        <f>CT120*VLOOKUP('Données projet'!$B$13,Paramètres!$A$1:$I$89,3,0)*VLOOKUP('Données projet'!$B$13,Paramètres!$A$1:$I$89,5,0)</f>
        <v>1.5252226148732008E-13</v>
      </c>
      <c r="CV120" s="13">
        <f t="shared" si="95"/>
        <v>2.1814502464536512E-12</v>
      </c>
      <c r="CW120" s="20">
        <f t="shared" si="67"/>
        <v>4.0650021179971913E-12</v>
      </c>
      <c r="CX120" s="59">
        <f t="shared" si="68"/>
        <v>281.50309518111374</v>
      </c>
      <c r="CY120" s="59">
        <f ca="1">AVERAGE(OFFSET($CX$3,0,0,'Données projet'!$E$13+1,1))-AVERAGE(OFFSET($H$3,0,0,'Données projet'!$E$13+1,1))</f>
        <v>335.73816489539837</v>
      </c>
      <c r="CZ120" s="59">
        <f t="shared" si="96"/>
        <v>254.09787950201044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32.61043509554429</v>
      </c>
      <c r="DG120" s="21">
        <f>EXP(-LN(2)/25)*DG119+(1-EXP(-LN(2)/25))/(LN(2)/25)*Calculateur!DB120*Calculateur!DD120*VLOOKUP('Données projet'!$B$13,Paramètres!$A$1:$I$89,3,0)*0.475*44/12</f>
        <v>31.225251472181867</v>
      </c>
      <c r="DH120" s="21">
        <f>EXP(-LN(2)/2)*DH119+(1-EXP(-LN(2)/2))/(LN(2)/2)*DB120*DE120*VLOOKUP('Données projet'!$B$13,Paramètres!$A$1:$I$89,3,0)*0.475*44/12</f>
        <v>4.3271077368577036</v>
      </c>
      <c r="DI120" s="22">
        <f t="shared" si="69"/>
        <v>68.162794304583855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8.7019999999999982</v>
      </c>
      <c r="DO120" s="12">
        <f>IF('Données projet'!$A$166&gt;35,DO119+DN120-DW119,IF(A120&lt;'Données projet'!$A$166,$DL$205^A120,IF(A120='Données projet'!$A$166,'Données projet'!$B$166,DO119+DN120-DW119)))</f>
        <v>357.31800000000027</v>
      </c>
      <c r="DP120" s="17">
        <f>DO120*VLOOKUP('Données projet'!$B$14,Paramètres!$A$1:$I$89,3,0)*VLOOKUP('Données projet'!$B$14,Paramètres!$A$1:$I$89,5,0)</f>
        <v>345.59796960000028</v>
      </c>
      <c r="DQ120" s="13">
        <f t="shared" si="97"/>
        <v>80.655420837616006</v>
      </c>
      <c r="DR120" s="20">
        <f t="shared" si="70"/>
        <v>742.39132167884839</v>
      </c>
      <c r="DS120" s="59">
        <f t="shared" si="71"/>
        <v>1023.894416859958</v>
      </c>
      <c r="DT120" s="59">
        <f ca="1">AVERAGE(OFFSET($DS$3,0,0,'Données projet'!$E$14+1,1))-AVERAGE(OFFSET($H$3,0,0,'Données projet'!$E$14+1,1))</f>
        <v>493.03862850474161</v>
      </c>
      <c r="DU120" s="59">
        <f t="shared" si="98"/>
        <v>312.51819065560528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49.828599965753668</v>
      </c>
      <c r="EB120" s="21">
        <f>EXP(-LN(2)/25)*EB119+(1-EXP(-LN(2)/25))/(LN(2)/25)*Calculateur!DW120*Calculateur!DY120*VLOOKUP('Données projet'!$B$14,Paramètres!$A$1:$I$89,3,0)*0.475*44/12</f>
        <v>23.462631549436356</v>
      </c>
      <c r="EC120" s="21">
        <f>EXP(-LN(2)/2)*EC119+(1-EXP(-LN(2)/2))/(LN(2)/2)*DW120*DZ120*VLOOKUP('Données projet'!$B$14,Paramètres!$A$1:$I$89,3,0)*0.475*44/12</f>
        <v>3.6815614964772768E-5</v>
      </c>
      <c r="ED120" s="22">
        <f t="shared" si="72"/>
        <v>73.291268330804982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8.7019999999999982</v>
      </c>
      <c r="EJ120" s="12">
        <f>IF('Données projet'!$A$192&gt;35,EJ119+EI120-ER119,IF(A120&lt;'Données projet'!$A$192,$EG$205^A120,IF(A120='Données projet'!$A$192,'Données projet'!$B$192,EJ119+EI120-ER119)))</f>
        <v>357.31800000000027</v>
      </c>
      <c r="EK120" s="17">
        <f>EJ120*VLOOKUP('Données projet'!$B$15,Paramètres!$A$1:$I$89,3,0)*VLOOKUP('Données projet'!$B$15,Paramètres!$A$1:$I$89,5,0)</f>
        <v>384.61709520000028</v>
      </c>
      <c r="EL120" s="13">
        <f t="shared" si="99"/>
        <v>88.650935172194906</v>
      </c>
      <c r="EM120" s="20">
        <f t="shared" si="73"/>
        <v>824.27515289823998</v>
      </c>
      <c r="EN120" s="59">
        <f t="shared" si="74"/>
        <v>1105.7782480793496</v>
      </c>
      <c r="EO120" s="59">
        <f ca="1">AVERAGE(OFFSET($EN$3,0,0,'Données projet'!$E$15+1,1))-AVERAGE(OFFSET($H$3,0,0,'Données projet'!$E$15+1,1))</f>
        <v>539.72194201710272</v>
      </c>
      <c r="EP120" s="59">
        <f t="shared" si="100"/>
        <v>340.76505385159362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55.454409639306498</v>
      </c>
      <c r="EW120" s="21">
        <f>EXP(-LN(2)/25)*EW119+(1-EXP(-LN(2)/25))/(LN(2)/25)*Calculateur!ER120*Calculateur!ET120*VLOOKUP('Données projet'!$B$15,Paramètres!$A$1:$I$89,3,0)*0.475*44/12</f>
        <v>26.111638337275942</v>
      </c>
      <c r="EX120" s="21">
        <f>EXP(-LN(2)/2)*EX119+(1-EXP(-LN(2)/2))/(LN(2)/2)*ER120*EU120*VLOOKUP('Données projet'!$B$15,Paramètres!$A$1:$I$89,3,0)*0.475*44/12</f>
        <v>4.0972216654343981E-5</v>
      </c>
      <c r="EY120" s="22">
        <f t="shared" si="75"/>
        <v>81.566088948799091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>
        <f>FE120*VLOOKUP('Données projet'!$B$16,Paramètres!$A$1:$I$89,3,0)*VLOOKUP('Données projet'!$B$16,Paramètres!$A$1:$I$89,5,0)</f>
        <v>0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383.47860767209028</v>
      </c>
      <c r="FK120" s="59">
        <f t="shared" si="102"/>
        <v>370.49129421395628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25.471538576531572</v>
      </c>
      <c r="FR120" s="21">
        <f>EXP(-LN(2)/25)*FR119+(1-EXP(-LN(2)/25))/(LN(2)/25)*Calculateur!FM120*Calculateur!FO120*VLOOKUP('Données projet'!$B$16,Paramètres!$A$1:$I$89,3,0)*0.475*44/12</f>
        <v>18.759753524487735</v>
      </c>
      <c r="FS120" s="21">
        <f>EXP(-LN(2)/2)*FS119+(1-EXP(-LN(2)/2))/(LN(2)/2)*FM120*FP120*VLOOKUP('Données projet'!$B$16,Paramètres!$A$1:$I$89,3,0)*0.475*44/12</f>
        <v>1.7167663983672646E-4</v>
      </c>
      <c r="FT120" s="22">
        <f t="shared" si="78"/>
        <v>44.231463777659144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7.0011111111111104</v>
      </c>
      <c r="FZ120" s="12">
        <f>IF('Données projet'!$A$244&gt;35,FZ119+FY120-GH119,IF(A120&lt;'Données projet'!$A$244,$FW$205^A120,IF(A120='Données projet'!$A$244,'Données projet'!$B$244,FZ119+FY120-GH119)))</f>
        <v>280.26444444444439</v>
      </c>
      <c r="GA120" s="17">
        <f>FZ120*VLOOKUP('Données projet'!$B$17,Paramètres!$A$1:$I$89,3,0)*VLOOKUP('Données projet'!$B$17,Paramètres!$A$1:$I$89,5,0)</f>
        <v>319.16514933333332</v>
      </c>
      <c r="GB120" s="13">
        <f t="shared" si="103"/>
        <v>75.179620344585189</v>
      </c>
      <c r="GC120" s="20">
        <f t="shared" si="79"/>
        <v>686.81714052237476</v>
      </c>
      <c r="GD120" s="59">
        <f t="shared" si="80"/>
        <v>968.3202357034844</v>
      </c>
      <c r="GE120" s="59">
        <f ca="1">AVERAGE(OFFSET($GD$3,0,0,'Données projet'!$E$17+1,1))-AVERAGE(OFFSET($H$3,0,0,'Données projet'!$E$17+1,1))</f>
        <v>640.05156427113661</v>
      </c>
      <c r="GF120" s="59">
        <f t="shared" si="104"/>
        <v>308.77220155372902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22.080086995987163</v>
      </c>
      <c r="GM120" s="21">
        <f>EXP(-LN(2)/25)*GM119+(1-EXP(-LN(2)/25))/(LN(2)/25)*Calculateur!GH120*Calculateur!GJ120*VLOOKUP('Données projet'!$B$17,Paramètres!$A$1:$I$89,3,0)*0.475*44/12</f>
        <v>27.284421047839086</v>
      </c>
      <c r="GN120" s="21">
        <f>EXP(-LN(2)/2)*GN119+(1-EXP(-LN(2)/2))/(LN(2)/2)*GH120*GK120*VLOOKUP('Données projet'!$B$17,Paramètres!$A$1:$I$89,3,0)*0.475*44/12</f>
        <v>1.1676249303251589</v>
      </c>
      <c r="GO120" s="21">
        <f t="shared" si="81"/>
        <v>50.532132974151409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4.7884896048344674E-14</v>
      </c>
      <c r="P121" s="13">
        <f t="shared" si="87"/>
        <v>7.8374629847779921E-13</v>
      </c>
      <c r="Q121" s="20">
        <f t="shared" si="107"/>
        <v>1.4484243304663672E-12</v>
      </c>
      <c r="R121" s="59">
        <f t="shared" si="55"/>
        <v>281.70832336460182</v>
      </c>
      <c r="S121" s="59">
        <f ca="1">AVERAGE(OFFSET($R$3,0,0,'Données projet'!$E$9+1,1))-AVERAGE(OFFSET($H$3,0,0,'Données projet'!$E$9+1,1))</f>
        <v>456.35333554128226</v>
      </c>
      <c r="T121" s="59">
        <f t="shared" si="88"/>
        <v>296.4517290984877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96.463657940651828</v>
      </c>
      <c r="AA121" s="21">
        <f>EXP(-LN(2)/25)*AA120+(1-EXP(-LN(2)/25))/(LN(2)/25)*Calculateur!V121*Calculateur!X121*VLOOKUP('Données projet'!$B$9,Paramètres!$A$1:$I$89,3,0)*0.475*44/12</f>
        <v>20.060904337743079</v>
      </c>
      <c r="AB121" s="21">
        <f>EXP(-LN(2)/2)*AB120+(1-EXP(-LN(2)/2))/(LN(2)/2)*V121*Y121*VLOOKUP('Données projet'!$B$9,Paramètres!$A$1:$I$89,3,0)*0.475*44/12</f>
        <v>0.11598474257752009</v>
      </c>
      <c r="AC121" s="22">
        <f t="shared" si="57"/>
        <v>116.64054702097243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408.246209980743</v>
      </c>
      <c r="AO121" s="59">
        <f t="shared" si="90"/>
        <v>394.10236303013903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26.892984721238751</v>
      </c>
      <c r="AV121" s="21">
        <f>EXP(-LN(2)/25)*AV120+(1-EXP(-LN(2)/25))/(LN(2)/25)*Calculateur!AQ121*Calculateur!AS121*VLOOKUP('Données projet'!$B$10,Paramètres!$A$1:$I$89,3,0)*0.475*44/12</f>
        <v>19.650364545353291</v>
      </c>
      <c r="AW121" s="21">
        <f>EXP(-LN(2)/2)*AW120+(1-EXP(-LN(2)/2))/(LN(2)/2)*AQ121*AT121*VLOOKUP('Données projet'!$B$10,Paramètres!$A$1:$I$89,3,0)*0.475*44/12</f>
        <v>1.3073169436909031E-4</v>
      </c>
      <c r="AX121" s="21">
        <f t="shared" si="60"/>
        <v>46.543479998286415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7.0011111111111104</v>
      </c>
      <c r="BD121" s="12">
        <f>IF('Données projet'!$A$88&gt;35,BD120+BC121-BL120,IF(A121&lt;'Données projet'!$A$88,$BA$205^A121,IF(A121='Données projet'!$A$88,'Données projet'!$B$88,BD120+BC121-BL120)))</f>
        <v>287.26555555555552</v>
      </c>
      <c r="BE121" s="13">
        <f>BD121*VLOOKUP('Données projet'!$B$11,Paramètres!$A$1:$I$89,3,0)*VLOOKUP('Données projet'!$B$11,Paramètres!$A$1:$I$89,5,0)</f>
        <v>291.2872733333333</v>
      </c>
      <c r="BF121" s="13">
        <f t="shared" si="91"/>
        <v>69.346820104270833</v>
      </c>
      <c r="BG121" s="20">
        <f t="shared" si="61"/>
        <v>628.10437940382712</v>
      </c>
      <c r="BH121" s="59">
        <f t="shared" si="62"/>
        <v>909.81270276842747</v>
      </c>
      <c r="BI121" s="59">
        <f ca="1">AVERAGE(OFFSET($BH$3,0,0,'Données projet'!$E$11+1,1))-AVERAGE(OFFSET($H$3,0,0,'Données projet'!$E$11+1,1))</f>
        <v>580.02848304986492</v>
      </c>
      <c r="BJ121" s="59">
        <f t="shared" si="92"/>
        <v>281.68891895586728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19.274823934777288</v>
      </c>
      <c r="BQ121" s="21">
        <f>EXP(-LN(2)/25)*BQ120+(1-EXP(-LN(2)/25))/(LN(2)/25)*Calculateur!BL121*Calculateur!BN121*VLOOKUP('Données projet'!$B$11,Paramètres!$A$1:$I$89,3,0)*0.475*44/12</f>
        <v>23.630017298149834</v>
      </c>
      <c r="BR121" s="21">
        <f>EXP(-LN(2)/2)*BR120+(1-EXP(-LN(2)/2))/(LN(2)/2)*BL121*BO121*VLOOKUP('Données projet'!$B$11,Paramètres!$A$1:$I$89,3,0)*0.475*44/12</f>
        <v>0.73515490270548456</v>
      </c>
      <c r="BS121" s="22">
        <f t="shared" si="63"/>
        <v>43.639996135632607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4.4337866711430253E-14</v>
      </c>
      <c r="CA121" s="13">
        <f t="shared" si="93"/>
        <v>7.3222115536967035E-13</v>
      </c>
      <c r="CB121" s="20">
        <f t="shared" si="64"/>
        <v>1.3525069634579169E-12</v>
      </c>
      <c r="CC121" s="59">
        <f t="shared" si="65"/>
        <v>281.70832336460177</v>
      </c>
      <c r="CD121" s="59">
        <f ca="1">AVERAGE(OFFSET($CC$3,0,0,'Données projet'!$E$12+1,1))-AVERAGE(OFFSET($H$3,0,0,'Données projet'!$E$12+1,1))</f>
        <v>308.85018589589453</v>
      </c>
      <c r="CE121" s="59">
        <f t="shared" si="94"/>
        <v>302.59481222418219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16.293415051999638</v>
      </c>
      <c r="CL121" s="21">
        <f>EXP(-LN(2)/25)*CL120+(1-EXP(-LN(2)/25))/(LN(2)/25)*Calculateur!CG121*Calculateur!CI121*VLOOKUP('Données projet'!$B$12,Paramètres!$A$1:$I$89,3,0)*0.475*44/12</f>
        <v>10.881346471503294</v>
      </c>
      <c r="CM121" s="21">
        <f>EXP(-LN(2)/2)*CM120+(1-EXP(-LN(2)/2))/(LN(2)/2)*CG121*CJ121*VLOOKUP('Données projet'!$B$12,Paramètres!$A$1:$I$89,3,0)*0.475*44/12</f>
        <v>2.5606748407455365E-6</v>
      </c>
      <c r="CN121" s="22">
        <f t="shared" si="66"/>
        <v>27.17476408417777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2.2737367544323206E-13</v>
      </c>
      <c r="CU121" s="17">
        <f>CT121*VLOOKUP('Données projet'!$B$13,Paramètres!$A$1:$I$89,3,0)*VLOOKUP('Données projet'!$B$13,Paramètres!$A$1:$I$89,5,0)</f>
        <v>1.5252226148732008E-13</v>
      </c>
      <c r="CV121" s="13">
        <f t="shared" si="95"/>
        <v>2.1814502464536512E-12</v>
      </c>
      <c r="CW121" s="20">
        <f t="shared" si="67"/>
        <v>4.0650021179971913E-12</v>
      </c>
      <c r="CX121" s="59">
        <f t="shared" si="68"/>
        <v>281.7083233646045</v>
      </c>
      <c r="CY121" s="59">
        <f ca="1">AVERAGE(OFFSET($CX$3,0,0,'Données projet'!$E$13+1,1))-AVERAGE(OFFSET($H$3,0,0,'Données projet'!$E$13+1,1))</f>
        <v>335.73816489539837</v>
      </c>
      <c r="CZ121" s="59">
        <f t="shared" si="96"/>
        <v>254.09787950201044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31.97096435372206</v>
      </c>
      <c r="DG121" s="21">
        <f>EXP(-LN(2)/25)*DG120+(1-EXP(-LN(2)/25))/(LN(2)/25)*Calculateur!DB121*Calculateur!DD121*VLOOKUP('Données projet'!$B$13,Paramètres!$A$1:$I$89,3,0)*0.475*44/12</f>
        <v>30.371395328610447</v>
      </c>
      <c r="DH121" s="21">
        <f>EXP(-LN(2)/2)*DH120+(1-EXP(-LN(2)/2))/(LN(2)/2)*DB121*DE121*VLOOKUP('Données projet'!$B$13,Paramètres!$A$1:$I$89,3,0)*0.475*44/12</f>
        <v>3.0597272236568571</v>
      </c>
      <c r="DI121" s="22">
        <f t="shared" si="69"/>
        <v>65.402086905989364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8.7019999999999982</v>
      </c>
      <c r="DO121" s="12">
        <f>IF('Données projet'!$A$166&gt;35,DO120+DN121-DW120,IF(A121&lt;'Données projet'!$A$166,$DL$205^A121,IF(A121='Données projet'!$A$166,'Données projet'!$B$166,DO120+DN121-DW120)))</f>
        <v>366.02000000000027</v>
      </c>
      <c r="DP121" s="17">
        <f>DO121*VLOOKUP('Données projet'!$B$14,Paramètres!$A$1:$I$89,3,0)*VLOOKUP('Données projet'!$B$14,Paramètres!$A$1:$I$89,5,0)</f>
        <v>354.01454400000028</v>
      </c>
      <c r="DQ121" s="13">
        <f t="shared" si="97"/>
        <v>82.388598051588332</v>
      </c>
      <c r="DR121" s="20">
        <f t="shared" si="70"/>
        <v>760.06880573985006</v>
      </c>
      <c r="DS121" s="59">
        <f t="shared" si="71"/>
        <v>1041.7771291044505</v>
      </c>
      <c r="DT121" s="59">
        <f ca="1">AVERAGE(OFFSET($DS$3,0,0,'Données projet'!$E$14+1,1))-AVERAGE(OFFSET($H$3,0,0,'Données projet'!$E$14+1,1))</f>
        <v>493.03862850474161</v>
      </c>
      <c r="DU121" s="59">
        <f t="shared" si="98"/>
        <v>312.51819065560528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48.851491512870211</v>
      </c>
      <c r="EB121" s="21">
        <f>EXP(-LN(2)/25)*EB120+(1-EXP(-LN(2)/25))/(LN(2)/25)*Calculateur!DW121*Calculateur!DY121*VLOOKUP('Données projet'!$B$14,Paramètres!$A$1:$I$89,3,0)*0.475*44/12</f>
        <v>22.82104465587085</v>
      </c>
      <c r="EC121" s="21">
        <f>EXP(-LN(2)/2)*EC120+(1-EXP(-LN(2)/2))/(LN(2)/2)*DW121*DZ121*VLOOKUP('Données projet'!$B$14,Paramètres!$A$1:$I$89,3,0)*0.475*44/12</f>
        <v>2.6032570995143763E-5</v>
      </c>
      <c r="ED121" s="22">
        <f t="shared" si="72"/>
        <v>71.672562201312061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8.7019999999999982</v>
      </c>
      <c r="EJ121" s="12">
        <f>IF('Données projet'!$A$192&gt;35,EJ120+EI121-ER120,IF(A121&lt;'Données projet'!$A$192,$EG$205^A121,IF(A121='Données projet'!$A$192,'Données projet'!$B$192,EJ120+EI121-ER120)))</f>
        <v>366.02000000000027</v>
      </c>
      <c r="EK121" s="17">
        <f>EJ121*VLOOKUP('Données projet'!$B$15,Paramètres!$A$1:$I$89,3,0)*VLOOKUP('Données projet'!$B$15,Paramètres!$A$1:$I$89,5,0)</f>
        <v>393.98392800000028</v>
      </c>
      <c r="EL121" s="13">
        <f t="shared" si="99"/>
        <v>90.555925304812519</v>
      </c>
      <c r="EM121" s="20">
        <f t="shared" si="73"/>
        <v>843.90691117254892</v>
      </c>
      <c r="EN121" s="59">
        <f t="shared" si="74"/>
        <v>1125.6152345371493</v>
      </c>
      <c r="EO121" s="59">
        <f ca="1">AVERAGE(OFFSET($EN$3,0,0,'Données projet'!$E$15+1,1))-AVERAGE(OFFSET($H$3,0,0,'Données projet'!$E$15+1,1))</f>
        <v>539.72194201710272</v>
      </c>
      <c r="EP121" s="59">
        <f t="shared" si="100"/>
        <v>340.76505385159362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54.36698249012975</v>
      </c>
      <c r="EW121" s="21">
        <f>EXP(-LN(2)/25)*EW120+(1-EXP(-LN(2)/25))/(LN(2)/25)*Calculateur!ER121*Calculateur!ET121*VLOOKUP('Données projet'!$B$15,Paramètres!$A$1:$I$89,3,0)*0.475*44/12</f>
        <v>25.397614213791751</v>
      </c>
      <c r="EX121" s="21">
        <f>EXP(-LN(2)/2)*EX120+(1-EXP(-LN(2)/2))/(LN(2)/2)*ER121*EU121*VLOOKUP('Données projet'!$B$15,Paramètres!$A$1:$I$89,3,0)*0.475*44/12</f>
        <v>2.897173223653103E-5</v>
      </c>
      <c r="EY121" s="22">
        <f t="shared" si="75"/>
        <v>79.764625675653733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>
        <f>FE121*VLOOKUP('Données projet'!$B$16,Paramètres!$A$1:$I$89,3,0)*VLOOKUP('Données projet'!$B$16,Paramètres!$A$1:$I$89,5,0)</f>
        <v>0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383.47860767209028</v>
      </c>
      <c r="FK121" s="59">
        <f t="shared" si="102"/>
        <v>370.49129421395628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24.972057241150257</v>
      </c>
      <c r="FR121" s="21">
        <f>EXP(-LN(2)/25)*FR120+(1-EXP(-LN(2)/25))/(LN(2)/25)*Calculateur!FM121*Calculateur!FO121*VLOOKUP('Données projet'!$B$16,Paramètres!$A$1:$I$89,3,0)*0.475*44/12</f>
        <v>18.246767077828057</v>
      </c>
      <c r="FS121" s="21">
        <f>EXP(-LN(2)/2)*FS120+(1-EXP(-LN(2)/2))/(LN(2)/2)*FM121*FP121*VLOOKUP('Données projet'!$B$16,Paramètres!$A$1:$I$89,3,0)*0.475*44/12</f>
        <v>1.2139371619986987E-4</v>
      </c>
      <c r="FT121" s="22">
        <f t="shared" si="78"/>
        <v>43.218945712694513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7.0011111111111104</v>
      </c>
      <c r="FZ121" s="12">
        <f>IF('Données projet'!$A$244&gt;35,FZ120+FY121-GH120,IF(A121&lt;'Données projet'!$A$244,$FW$205^A121,IF(A121='Données projet'!$A$244,'Données projet'!$B$244,FZ120+FY121-GH120)))</f>
        <v>287.26555555555552</v>
      </c>
      <c r="GA121" s="17">
        <f>FZ121*VLOOKUP('Données projet'!$B$17,Paramètres!$A$1:$I$89,3,0)*VLOOKUP('Données projet'!$B$17,Paramètres!$A$1:$I$89,5,0)</f>
        <v>327.13801466666661</v>
      </c>
      <c r="GB121" s="13">
        <f t="shared" si="103"/>
        <v>76.836644122379781</v>
      </c>
      <c r="GC121" s="20">
        <f t="shared" si="79"/>
        <v>703.58919739092244</v>
      </c>
      <c r="GD121" s="59">
        <f t="shared" si="80"/>
        <v>985.29752075552278</v>
      </c>
      <c r="GE121" s="59">
        <f ca="1">AVERAGE(OFFSET($GD$3,0,0,'Données projet'!$E$17+1,1))-AVERAGE(OFFSET($H$3,0,0,'Données projet'!$E$17+1,1))</f>
        <v>640.05156427113661</v>
      </c>
      <c r="GF121" s="59">
        <f t="shared" si="104"/>
        <v>308.77220155372902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21.647109957519113</v>
      </c>
      <c r="GM121" s="21">
        <f>EXP(-LN(2)/25)*GM120+(1-EXP(-LN(2)/25))/(LN(2)/25)*Calculateur!GH121*Calculateur!GJ121*VLOOKUP('Données projet'!$B$17,Paramètres!$A$1:$I$89,3,0)*0.475*44/12</f>
        <v>26.538327119460583</v>
      </c>
      <c r="GN121" s="21">
        <f>EXP(-LN(2)/2)*GN120+(1-EXP(-LN(2)/2))/(LN(2)/2)*GH121*GK121*VLOOKUP('Données projet'!$B$17,Paramètres!$A$1:$I$89,3,0)*0.475*44/12</f>
        <v>0.82563550611538994</v>
      </c>
      <c r="GO121" s="21">
        <f t="shared" si="81"/>
        <v>49.011072583095086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4.7884896048344674E-14</v>
      </c>
      <c r="P122" s="13">
        <f t="shared" si="87"/>
        <v>7.8374629847779921E-13</v>
      </c>
      <c r="Q122" s="20">
        <f t="shared" si="107"/>
        <v>1.4484243304663672E-12</v>
      </c>
      <c r="R122" s="59">
        <f t="shared" si="55"/>
        <v>281.90999129793056</v>
      </c>
      <c r="S122" s="59">
        <f ca="1">AVERAGE(OFFSET($R$3,0,0,'Données projet'!$E$9+1,1))-AVERAGE(OFFSET($H$3,0,0,'Données projet'!$E$9+1,1))</f>
        <v>456.35333554128226</v>
      </c>
      <c r="T122" s="59">
        <f t="shared" si="88"/>
        <v>296.4517290984877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94.572064445457315</v>
      </c>
      <c r="AA122" s="21">
        <f>EXP(-LN(2)/25)*AA121+(1-EXP(-LN(2)/25))/(LN(2)/25)*Calculateur!V122*Calculateur!X122*VLOOKUP('Données projet'!$B$9,Paramètres!$A$1:$I$89,3,0)*0.475*44/12</f>
        <v>19.512337853670385</v>
      </c>
      <c r="AB122" s="21">
        <f>EXP(-LN(2)/2)*AB121+(1-EXP(-LN(2)/2))/(LN(2)/2)*V122*Y122*VLOOKUP('Données projet'!$B$9,Paramètres!$A$1:$I$89,3,0)*0.475*44/12</f>
        <v>8.2013597990740539E-2</v>
      </c>
      <c r="AC122" s="22">
        <f t="shared" si="57"/>
        <v>114.16641589711844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408.246209980743</v>
      </c>
      <c r="AO122" s="59">
        <f t="shared" si="90"/>
        <v>394.10236303013903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26.365629693956269</v>
      </c>
      <c r="AV122" s="21">
        <f>EXP(-LN(2)/25)*AV121+(1-EXP(-LN(2)/25))/(LN(2)/25)*Calculateur!AQ122*Calculateur!AS122*VLOOKUP('Données projet'!$B$10,Paramètres!$A$1:$I$89,3,0)*0.475*44/12</f>
        <v>19.113024293492845</v>
      </c>
      <c r="AW122" s="21">
        <f>EXP(-LN(2)/2)*AW121+(1-EXP(-LN(2)/2))/(LN(2)/2)*AQ122*AT122*VLOOKUP('Données projet'!$B$10,Paramètres!$A$1:$I$89,3,0)*0.475*44/12</f>
        <v>9.2441267604390949E-5</v>
      </c>
      <c r="AX122" s="21">
        <f t="shared" si="60"/>
        <v>45.478746428716718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7.0011111111111104</v>
      </c>
      <c r="BD122" s="12">
        <f>IF('Données projet'!$A$88&gt;35,BD121+BC122-BL121,IF(A122&lt;'Données projet'!$A$88,$BA$205^A122,IF(A122='Données projet'!$A$88,'Données projet'!$B$88,BD121+BC122-BL121)))</f>
        <v>294.26666666666665</v>
      </c>
      <c r="BE122" s="13">
        <f>BD122*VLOOKUP('Données projet'!$B$11,Paramètres!$A$1:$I$89,3,0)*VLOOKUP('Données projet'!$B$11,Paramètres!$A$1:$I$89,5,0)</f>
        <v>298.38640000000004</v>
      </c>
      <c r="BF122" s="13">
        <f t="shared" si="91"/>
        <v>70.838084831776925</v>
      </c>
      <c r="BG122" s="20">
        <f t="shared" si="61"/>
        <v>643.06597774867816</v>
      </c>
      <c r="BH122" s="59">
        <f t="shared" si="62"/>
        <v>924.97596904660736</v>
      </c>
      <c r="BI122" s="59">
        <f ca="1">AVERAGE(OFFSET($BH$3,0,0,'Données projet'!$E$11+1,1))-AVERAGE(OFFSET($H$3,0,0,'Données projet'!$E$11+1,1))</f>
        <v>580.02848304986492</v>
      </c>
      <c r="BJ122" s="59">
        <f t="shared" si="92"/>
        <v>281.68891895586728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18.896856393898048</v>
      </c>
      <c r="BQ122" s="21">
        <f>EXP(-LN(2)/25)*BQ121+(1-EXP(-LN(2)/25))/(LN(2)/25)*Calculateur!BL122*Calculateur!BN122*VLOOKUP('Données projet'!$B$11,Paramètres!$A$1:$I$89,3,0)*0.475*44/12</f>
        <v>22.983853232483323</v>
      </c>
      <c r="BR122" s="21">
        <f>EXP(-LN(2)/2)*BR121+(1-EXP(-LN(2)/2))/(LN(2)/2)*BL122*BO122*VLOOKUP('Données projet'!$B$11,Paramètres!$A$1:$I$89,3,0)*0.475*44/12</f>
        <v>0.5198330169255847</v>
      </c>
      <c r="BS122" s="22">
        <f t="shared" si="63"/>
        <v>42.400542643306963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4.4337866711430253E-14</v>
      </c>
      <c r="CA122" s="13">
        <f t="shared" si="93"/>
        <v>7.3222115536967035E-13</v>
      </c>
      <c r="CB122" s="20">
        <f t="shared" si="64"/>
        <v>1.3525069634579169E-12</v>
      </c>
      <c r="CC122" s="59">
        <f t="shared" si="65"/>
        <v>281.9099912979305</v>
      </c>
      <c r="CD122" s="59">
        <f ca="1">AVERAGE(OFFSET($CC$3,0,0,'Données projet'!$E$12+1,1))-AVERAGE(OFFSET($H$3,0,0,'Données projet'!$E$12+1,1))</f>
        <v>308.85018589589453</v>
      </c>
      <c r="CE122" s="59">
        <f t="shared" si="94"/>
        <v>302.59481222418219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15.973911120831811</v>
      </c>
      <c r="CL122" s="21">
        <f>EXP(-LN(2)/25)*CL121+(1-EXP(-LN(2)/25))/(LN(2)/25)*Calculateur!CG122*Calculateur!CI122*VLOOKUP('Données projet'!$B$12,Paramètres!$A$1:$I$89,3,0)*0.475*44/12</f>
        <v>10.583795480014896</v>
      </c>
      <c r="CM122" s="21">
        <f>EXP(-LN(2)/2)*CM121+(1-EXP(-LN(2)/2))/(LN(2)/2)*CG122*CJ122*VLOOKUP('Données projet'!$B$12,Paramètres!$A$1:$I$89,3,0)*0.475*44/12</f>
        <v>1.8106705443049515E-6</v>
      </c>
      <c r="CN122" s="22">
        <f t="shared" si="66"/>
        <v>26.55770841151725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2.2737367544323206E-13</v>
      </c>
      <c r="CU122" s="17">
        <f>CT122*VLOOKUP('Données projet'!$B$13,Paramètres!$A$1:$I$89,3,0)*VLOOKUP('Données projet'!$B$13,Paramètres!$A$1:$I$89,5,0)</f>
        <v>1.5252226148732008E-13</v>
      </c>
      <c r="CV122" s="13">
        <f t="shared" si="95"/>
        <v>2.1814502464536512E-12</v>
      </c>
      <c r="CW122" s="20">
        <f t="shared" si="67"/>
        <v>4.0650021179971913E-12</v>
      </c>
      <c r="CX122" s="59">
        <f t="shared" si="68"/>
        <v>281.90999129793323</v>
      </c>
      <c r="CY122" s="59">
        <f ca="1">AVERAGE(OFFSET($CX$3,0,0,'Données projet'!$E$13+1,1))-AVERAGE(OFFSET($H$3,0,0,'Données projet'!$E$13+1,1))</f>
        <v>335.73816489539837</v>
      </c>
      <c r="CZ122" s="59">
        <f t="shared" si="96"/>
        <v>254.09787950201044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31.344033243108324</v>
      </c>
      <c r="DG122" s="21">
        <f>EXP(-LN(2)/25)*DG121+(1-EXP(-LN(2)/25))/(LN(2)/25)*Calculateur!DB122*Calculateur!DD122*VLOOKUP('Données projet'!$B$13,Paramètres!$A$1:$I$89,3,0)*0.475*44/12</f>
        <v>29.540887926187327</v>
      </c>
      <c r="DH122" s="21">
        <f>EXP(-LN(2)/2)*DH121+(1-EXP(-LN(2)/2))/(LN(2)/2)*DB122*DE122*VLOOKUP('Données projet'!$B$13,Paramètres!$A$1:$I$89,3,0)*0.475*44/12</f>
        <v>2.1635538684288518</v>
      </c>
      <c r="DI122" s="22">
        <f t="shared" si="69"/>
        <v>63.048475037724501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8.7019999999999982</v>
      </c>
      <c r="DO122" s="12">
        <f>IF('Données projet'!$A$166&gt;35,DO121+DN122-DW121,IF(A122&lt;'Données projet'!$A$166,$DL$205^A122,IF(A122='Données projet'!$A$166,'Données projet'!$B$166,DO121+DN122-DW121)))</f>
        <v>374.72200000000026</v>
      </c>
      <c r="DP122" s="17">
        <f>DO122*VLOOKUP('Données projet'!$B$14,Paramètres!$A$1:$I$89,3,0)*VLOOKUP('Données projet'!$B$14,Paramètres!$A$1:$I$89,5,0)</f>
        <v>362.43111840000029</v>
      </c>
      <c r="DQ122" s="13">
        <f t="shared" si="97"/>
        <v>84.116985076357977</v>
      </c>
      <c r="DR122" s="20">
        <f t="shared" si="70"/>
        <v>777.73794688799069</v>
      </c>
      <c r="DS122" s="59">
        <f t="shared" si="71"/>
        <v>1059.6479381859199</v>
      </c>
      <c r="DT122" s="59">
        <f ca="1">AVERAGE(OFFSET($DS$3,0,0,'Données projet'!$E$14+1,1))-AVERAGE(OFFSET($H$3,0,0,'Données projet'!$E$14+1,1))</f>
        <v>493.03862850474161</v>
      </c>
      <c r="DU122" s="59">
        <f t="shared" si="98"/>
        <v>312.51819065560528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47.893543560770496</v>
      </c>
      <c r="EB122" s="21">
        <f>EXP(-LN(2)/25)*EB121+(1-EXP(-LN(2)/25))/(LN(2)/25)*Calculateur!DW122*Calculateur!DY122*VLOOKUP('Données projet'!$B$14,Paramètres!$A$1:$I$89,3,0)*0.475*44/12</f>
        <v>22.197001989649483</v>
      </c>
      <c r="EC122" s="21">
        <f>EXP(-LN(2)/2)*EC121+(1-EXP(-LN(2)/2))/(LN(2)/2)*DW122*DZ122*VLOOKUP('Données projet'!$B$14,Paramètres!$A$1:$I$89,3,0)*0.475*44/12</f>
        <v>1.8407807482386384E-5</v>
      </c>
      <c r="ED122" s="22">
        <f t="shared" si="72"/>
        <v>70.090563958227463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8.7019999999999982</v>
      </c>
      <c r="EJ122" s="12">
        <f>IF('Données projet'!$A$192&gt;35,EJ121+EI122-ER121,IF(A122&lt;'Données projet'!$A$192,$EG$205^A122,IF(A122='Données projet'!$A$192,'Données projet'!$B$192,EJ121+EI122-ER121)))</f>
        <v>374.72200000000026</v>
      </c>
      <c r="EK122" s="17">
        <f>EJ122*VLOOKUP('Données projet'!$B$15,Paramètres!$A$1:$I$89,3,0)*VLOOKUP('Données projet'!$B$15,Paramètres!$A$1:$I$89,5,0)</f>
        <v>403.35076080000027</v>
      </c>
      <c r="EL122" s="13">
        <f t="shared" si="99"/>
        <v>92.455650388310644</v>
      </c>
      <c r="EM122" s="20">
        <f t="shared" si="73"/>
        <v>863.52949948630805</v>
      </c>
      <c r="EN122" s="59">
        <f t="shared" si="74"/>
        <v>1145.4394907842373</v>
      </c>
      <c r="EO122" s="59">
        <f ca="1">AVERAGE(OFFSET($EN$3,0,0,'Données projet'!$E$15+1,1))-AVERAGE(OFFSET($H$3,0,0,'Données projet'!$E$15+1,1))</f>
        <v>539.72194201710272</v>
      </c>
      <c r="EP122" s="59">
        <f t="shared" si="100"/>
        <v>340.76505385159362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53.300879124083288</v>
      </c>
      <c r="EW122" s="21">
        <f>EXP(-LN(2)/25)*EW121+(1-EXP(-LN(2)/25))/(LN(2)/25)*Calculateur!ER122*Calculateur!ET122*VLOOKUP('Données projet'!$B$15,Paramètres!$A$1:$I$89,3,0)*0.475*44/12</f>
        <v>24.703115117513132</v>
      </c>
      <c r="EX122" s="21">
        <f>EXP(-LN(2)/2)*EX121+(1-EXP(-LN(2)/2))/(LN(2)/2)*ER122*EU122*VLOOKUP('Données projet'!$B$15,Paramètres!$A$1:$I$89,3,0)*0.475*44/12</f>
        <v>2.0486108327171994E-5</v>
      </c>
      <c r="EY122" s="22">
        <f t="shared" si="75"/>
        <v>78.004014727704742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>
        <f>FE122*VLOOKUP('Données projet'!$B$16,Paramètres!$A$1:$I$89,3,0)*VLOOKUP('Données projet'!$B$16,Paramètres!$A$1:$I$89,5,0)</f>
        <v>0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383.47860767209028</v>
      </c>
      <c r="FK122" s="59">
        <f t="shared" si="102"/>
        <v>370.49129421395628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24.482370430102236</v>
      </c>
      <c r="FR122" s="21">
        <f>EXP(-LN(2)/25)*FR121+(1-EXP(-LN(2)/25))/(LN(2)/25)*Calculateur!FM122*Calculateur!FO122*VLOOKUP('Données projet'!$B$16,Paramètres!$A$1:$I$89,3,0)*0.475*44/12</f>
        <v>17.74780827252907</v>
      </c>
      <c r="FS122" s="21">
        <f>EXP(-LN(2)/2)*FS121+(1-EXP(-LN(2)/2))/(LN(2)/2)*FM122*FP122*VLOOKUP('Données projet'!$B$16,Paramètres!$A$1:$I$89,3,0)*0.475*44/12</f>
        <v>8.5838319918363245E-5</v>
      </c>
      <c r="FT122" s="22">
        <f t="shared" si="78"/>
        <v>42.230264540951225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7.0011111111111104</v>
      </c>
      <c r="FZ122" s="12">
        <f>IF('Données projet'!$A$244&gt;35,FZ121+FY122-GH121,IF(A122&lt;'Données projet'!$A$244,$FW$205^A122,IF(A122='Données projet'!$A$244,'Données projet'!$B$244,FZ121+FY122-GH121)))</f>
        <v>294.26666666666665</v>
      </c>
      <c r="GA122" s="17">
        <f>FZ122*VLOOKUP('Données projet'!$B$17,Paramètres!$A$1:$I$89,3,0)*VLOOKUP('Données projet'!$B$17,Paramètres!$A$1:$I$89,5,0)</f>
        <v>335.11088000000001</v>
      </c>
      <c r="GB122" s="13">
        <f t="shared" si="103"/>
        <v>78.48897334219626</v>
      </c>
      <c r="GC122" s="20">
        <f t="shared" si="79"/>
        <v>720.35307790432523</v>
      </c>
      <c r="GD122" s="59">
        <f t="shared" si="80"/>
        <v>1002.2630692022544</v>
      </c>
      <c r="GE122" s="59">
        <f ca="1">AVERAGE(OFFSET($GD$3,0,0,'Données projet'!$E$17+1,1))-AVERAGE(OFFSET($H$3,0,0,'Données projet'!$E$17+1,1))</f>
        <v>640.05156427113661</v>
      </c>
      <c r="GF122" s="59">
        <f t="shared" si="104"/>
        <v>308.77220155372902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21.222623334685508</v>
      </c>
      <c r="GM122" s="21">
        <f>EXP(-LN(2)/25)*GM121+(1-EXP(-LN(2)/25))/(LN(2)/25)*Calculateur!GH122*Calculateur!GJ122*VLOOKUP('Données projet'!$B$17,Paramètres!$A$1:$I$89,3,0)*0.475*44/12</f>
        <v>25.812635168788965</v>
      </c>
      <c r="GN122" s="21">
        <f>EXP(-LN(2)/2)*GN121+(1-EXP(-LN(2)/2))/(LN(2)/2)*GH122*GK122*VLOOKUP('Données projet'!$B$17,Paramètres!$A$1:$I$89,3,0)*0.475*44/12</f>
        <v>0.58381246516257945</v>
      </c>
      <c r="GO122" s="21">
        <f t="shared" si="81"/>
        <v>47.619070968637054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4.7884896048344674E-14</v>
      </c>
      <c r="P123" s="13">
        <f t="shared" si="87"/>
        <v>7.8374629847779921E-13</v>
      </c>
      <c r="Q123" s="20">
        <f t="shared" si="107"/>
        <v>1.4484243304663672E-12</v>
      </c>
      <c r="R123" s="59">
        <f t="shared" si="55"/>
        <v>282.10816074347804</v>
      </c>
      <c r="S123" s="59">
        <f ca="1">AVERAGE(OFFSET($R$3,0,0,'Données projet'!$E$9+1,1))-AVERAGE(OFFSET($H$3,0,0,'Données projet'!$E$9+1,1))</f>
        <v>456.35333554128226</v>
      </c>
      <c r="T123" s="59">
        <f t="shared" si="88"/>
        <v>296.4517290984877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92.717563944945454</v>
      </c>
      <c r="AA123" s="21">
        <f>EXP(-LN(2)/25)*AA122+(1-EXP(-LN(2)/25))/(LN(2)/25)*Calculateur!V123*Calculateur!X123*VLOOKUP('Données projet'!$B$9,Paramètres!$A$1:$I$89,3,0)*0.475*44/12</f>
        <v>18.978771948952517</v>
      </c>
      <c r="AB123" s="21">
        <f>EXP(-LN(2)/2)*AB122+(1-EXP(-LN(2)/2))/(LN(2)/2)*V123*Y123*VLOOKUP('Données projet'!$B$9,Paramètres!$A$1:$I$89,3,0)*0.475*44/12</f>
        <v>5.7992371288760045E-2</v>
      </c>
      <c r="AC123" s="22">
        <f t="shared" si="57"/>
        <v>111.75432826518673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408.246209980743</v>
      </c>
      <c r="AO123" s="59">
        <f t="shared" si="90"/>
        <v>394.10236303013903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25.848615777103987</v>
      </c>
      <c r="AV123" s="21">
        <f>EXP(-LN(2)/25)*AV122+(1-EXP(-LN(2)/25))/(LN(2)/25)*Calculateur!AQ123*Calculateur!AS123*VLOOKUP('Données projet'!$B$10,Paramètres!$A$1:$I$89,3,0)*0.475*44/12</f>
        <v>18.590377639077019</v>
      </c>
      <c r="AW123" s="21">
        <f>EXP(-LN(2)/2)*AW122+(1-EXP(-LN(2)/2))/(LN(2)/2)*AQ123*AT123*VLOOKUP('Données projet'!$B$10,Paramètres!$A$1:$I$89,3,0)*0.475*44/12</f>
        <v>6.5365847184545154E-5</v>
      </c>
      <c r="AX123" s="21">
        <f t="shared" si="60"/>
        <v>44.439058782028191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7.0011111111111104</v>
      </c>
      <c r="BD123" s="12">
        <f>IF('Données projet'!$A$88&gt;35,BD122+BC123-BL122,IF(A123&lt;'Données projet'!$A$88,$BA$205^A123,IF(A123='Données projet'!$A$88,'Données projet'!$B$88,BD122+BC123-BL122)))</f>
        <v>301.26777777777778</v>
      </c>
      <c r="BE123" s="13">
        <f>BD123*VLOOKUP('Données projet'!$B$11,Paramètres!$A$1:$I$89,3,0)*VLOOKUP('Données projet'!$B$11,Paramètres!$A$1:$I$89,5,0)</f>
        <v>305.48552666666666</v>
      </c>
      <c r="BF123" s="13">
        <f t="shared" si="91"/>
        <v>72.325225017462003</v>
      </c>
      <c r="BG123" s="20">
        <f t="shared" si="61"/>
        <v>658.020392516524</v>
      </c>
      <c r="BH123" s="59">
        <f t="shared" si="62"/>
        <v>940.12855326000067</v>
      </c>
      <c r="BI123" s="59">
        <f ca="1">AVERAGE(OFFSET($BH$3,0,0,'Données projet'!$E$11+1,1))-AVERAGE(OFFSET($H$3,0,0,'Données projet'!$E$11+1,1))</f>
        <v>580.02848304986492</v>
      </c>
      <c r="BJ123" s="59">
        <f t="shared" si="92"/>
        <v>281.68891895586728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18.526300565958014</v>
      </c>
      <c r="BQ123" s="21">
        <f>EXP(-LN(2)/25)*BQ122+(1-EXP(-LN(2)/25))/(LN(2)/25)*Calculateur!BL123*Calculateur!BN123*VLOOKUP('Données projet'!$B$11,Paramètres!$A$1:$I$89,3,0)*0.475*44/12</f>
        <v>22.355358557172757</v>
      </c>
      <c r="BR123" s="21">
        <f>EXP(-LN(2)/2)*BR122+(1-EXP(-LN(2)/2))/(LN(2)/2)*BL123*BO123*VLOOKUP('Données projet'!$B$11,Paramètres!$A$1:$I$89,3,0)*0.475*44/12</f>
        <v>0.36757745135274228</v>
      </c>
      <c r="BS123" s="22">
        <f t="shared" si="63"/>
        <v>41.249236574483518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4.4337866711430253E-14</v>
      </c>
      <c r="CA123" s="13">
        <f t="shared" si="93"/>
        <v>7.3222115536967035E-13</v>
      </c>
      <c r="CB123" s="20">
        <f t="shared" si="64"/>
        <v>1.3525069634579169E-12</v>
      </c>
      <c r="CC123" s="59">
        <f t="shared" si="65"/>
        <v>282.10816074347798</v>
      </c>
      <c r="CD123" s="59">
        <f ca="1">AVERAGE(OFFSET($CC$3,0,0,'Données projet'!$E$12+1,1))-AVERAGE(OFFSET($H$3,0,0,'Données projet'!$E$12+1,1))</f>
        <v>308.85018589589453</v>
      </c>
      <c r="CE123" s="59">
        <f t="shared" si="94"/>
        <v>302.59481222418219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15.660672466876029</v>
      </c>
      <c r="CL123" s="21">
        <f>EXP(-LN(2)/25)*CL122+(1-EXP(-LN(2)/25))/(LN(2)/25)*Calculateur!CG123*Calculateur!CI123*VLOOKUP('Données projet'!$B$12,Paramètres!$A$1:$I$89,3,0)*0.475*44/12</f>
        <v>10.294381036036274</v>
      </c>
      <c r="CM123" s="21">
        <f>EXP(-LN(2)/2)*CM122+(1-EXP(-LN(2)/2))/(LN(2)/2)*CG123*CJ123*VLOOKUP('Données projet'!$B$12,Paramètres!$A$1:$I$89,3,0)*0.475*44/12</f>
        <v>1.2803374203727682E-6</v>
      </c>
      <c r="CN123" s="22">
        <f t="shared" si="66"/>
        <v>25.955054783249725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2.2737367544323206E-13</v>
      </c>
      <c r="CU123" s="17">
        <f>CT123*VLOOKUP('Données projet'!$B$13,Paramètres!$A$1:$I$89,3,0)*VLOOKUP('Données projet'!$B$13,Paramètres!$A$1:$I$89,5,0)</f>
        <v>1.5252226148732008E-13</v>
      </c>
      <c r="CV123" s="13">
        <f t="shared" si="95"/>
        <v>2.1814502464536512E-12</v>
      </c>
      <c r="CW123" s="20">
        <f t="shared" si="67"/>
        <v>4.0650021179971913E-12</v>
      </c>
      <c r="CX123" s="59">
        <f t="shared" si="68"/>
        <v>282.10816074348071</v>
      </c>
      <c r="CY123" s="59">
        <f ca="1">AVERAGE(OFFSET($CX$3,0,0,'Données projet'!$E$13+1,1))-AVERAGE(OFFSET($H$3,0,0,'Données projet'!$E$13+1,1))</f>
        <v>335.73816489539837</v>
      </c>
      <c r="CZ123" s="59">
        <f t="shared" si="96"/>
        <v>254.09787950201044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30.729395869183506</v>
      </c>
      <c r="DG123" s="21">
        <f>EXP(-LN(2)/25)*DG122+(1-EXP(-LN(2)/25))/(LN(2)/25)*Calculateur!DB123*Calculateur!DD123*VLOOKUP('Données projet'!$B$13,Paramètres!$A$1:$I$89,3,0)*0.475*44/12</f>
        <v>28.733090792357956</v>
      </c>
      <c r="DH123" s="21">
        <f>EXP(-LN(2)/2)*DH122+(1-EXP(-LN(2)/2))/(LN(2)/2)*DB123*DE123*VLOOKUP('Données projet'!$B$13,Paramètres!$A$1:$I$89,3,0)*0.475*44/12</f>
        <v>1.5298636118284286</v>
      </c>
      <c r="DI123" s="22">
        <f t="shared" si="69"/>
        <v>60.992350273369894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8.7019999999999982</v>
      </c>
      <c r="DO123" s="12">
        <f>IF('Données projet'!$A$166&gt;35,DO122+DN123-DW122,IF(A123&lt;'Données projet'!$A$166,$DL$205^A123,IF(A123='Données projet'!$A$166,'Données projet'!$B$166,DO122+DN123-DW122)))</f>
        <v>383.42400000000026</v>
      </c>
      <c r="DP123" s="17">
        <f>DO123*VLOOKUP('Données projet'!$B$14,Paramètres!$A$1:$I$89,3,0)*VLOOKUP('Données projet'!$B$14,Paramètres!$A$1:$I$89,5,0)</f>
        <v>370.84769280000029</v>
      </c>
      <c r="DQ123" s="13">
        <f t="shared" si="97"/>
        <v>85.84070595555076</v>
      </c>
      <c r="DR123" s="20">
        <f t="shared" si="70"/>
        <v>795.39896116591797</v>
      </c>
      <c r="DS123" s="59">
        <f t="shared" si="71"/>
        <v>1077.5071219093945</v>
      </c>
      <c r="DT123" s="59">
        <f ca="1">AVERAGE(OFFSET($DS$3,0,0,'Données projet'!$E$14+1,1))-AVERAGE(OFFSET($H$3,0,0,'Données projet'!$E$14+1,1))</f>
        <v>493.03862850474161</v>
      </c>
      <c r="DU123" s="59">
        <f t="shared" si="98"/>
        <v>312.51819065560528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46.954380383720896</v>
      </c>
      <c r="EB123" s="21">
        <f>EXP(-LN(2)/25)*EB122+(1-EXP(-LN(2)/25))/(LN(2)/25)*Calculateur!DW123*Calculateur!DY123*VLOOKUP('Données projet'!$B$14,Paramètres!$A$1:$I$89,3,0)*0.475*44/12</f>
        <v>21.590023802952913</v>
      </c>
      <c r="EC123" s="21">
        <f>EXP(-LN(2)/2)*EC122+(1-EXP(-LN(2)/2))/(LN(2)/2)*DW123*DZ123*VLOOKUP('Données projet'!$B$14,Paramètres!$A$1:$I$89,3,0)*0.475*44/12</f>
        <v>1.3016285497571882E-5</v>
      </c>
      <c r="ED123" s="22">
        <f t="shared" si="72"/>
        <v>68.544417202959295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8.7019999999999982</v>
      </c>
      <c r="EJ123" s="12">
        <f>IF('Données projet'!$A$192&gt;35,EJ122+EI123-ER122,IF(A123&lt;'Données projet'!$A$192,$EG$205^A123,IF(A123='Données projet'!$A$192,'Données projet'!$B$192,EJ122+EI123-ER122)))</f>
        <v>383.42400000000026</v>
      </c>
      <c r="EK123" s="17">
        <f>EJ123*VLOOKUP('Données projet'!$B$15,Paramètres!$A$1:$I$89,3,0)*VLOOKUP('Données projet'!$B$15,Paramètres!$A$1:$I$89,5,0)</f>
        <v>412.71759360000021</v>
      </c>
      <c r="EL123" s="13">
        <f t="shared" si="99"/>
        <v>94.350246762978841</v>
      </c>
      <c r="EM123" s="20">
        <f t="shared" si="73"/>
        <v>883.14315529885516</v>
      </c>
      <c r="EN123" s="59">
        <f t="shared" si="74"/>
        <v>1165.2513160423318</v>
      </c>
      <c r="EO123" s="59">
        <f ca="1">AVERAGE(OFFSET($EN$3,0,0,'Données projet'!$E$15+1,1))-AVERAGE(OFFSET($H$3,0,0,'Données projet'!$E$15+1,1))</f>
        <v>539.72194201710272</v>
      </c>
      <c r="EP123" s="59">
        <f t="shared" si="100"/>
        <v>340.76505385159362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52.255681394786151</v>
      </c>
      <c r="EW123" s="21">
        <f>EXP(-LN(2)/25)*EW122+(1-EXP(-LN(2)/25))/(LN(2)/25)*Calculateur!ER123*Calculateur!ET123*VLOOKUP('Données projet'!$B$15,Paramètres!$A$1:$I$89,3,0)*0.475*44/12</f>
        <v>24.027607135544372</v>
      </c>
      <c r="EX123" s="21">
        <f>EXP(-LN(2)/2)*EX122+(1-EXP(-LN(2)/2))/(LN(2)/2)*ER123*EU123*VLOOKUP('Données projet'!$B$15,Paramètres!$A$1:$I$89,3,0)*0.475*44/12</f>
        <v>1.4485866118265517E-5</v>
      </c>
      <c r="EY123" s="22">
        <f t="shared" si="75"/>
        <v>76.283303016196641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>
        <f>FE123*VLOOKUP('Données projet'!$B$16,Paramètres!$A$1:$I$89,3,0)*VLOOKUP('Données projet'!$B$16,Paramètres!$A$1:$I$89,5,0)</f>
        <v>0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383.47860767209028</v>
      </c>
      <c r="FK123" s="59">
        <f t="shared" si="102"/>
        <v>370.49129421395628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24.002286078739406</v>
      </c>
      <c r="FR123" s="21">
        <f>EXP(-LN(2)/25)*FR122+(1-EXP(-LN(2)/25))/(LN(2)/25)*Calculateur!FM123*Calculateur!FO123*VLOOKUP('Données projet'!$B$16,Paramètres!$A$1:$I$89,3,0)*0.475*44/12</f>
        <v>17.262493522000089</v>
      </c>
      <c r="FS123" s="21">
        <f>EXP(-LN(2)/2)*FS122+(1-EXP(-LN(2)/2))/(LN(2)/2)*FM123*FP123*VLOOKUP('Données projet'!$B$16,Paramètres!$A$1:$I$89,3,0)*0.475*44/12</f>
        <v>6.0696858099934949E-5</v>
      </c>
      <c r="FT123" s="22">
        <f t="shared" si="78"/>
        <v>41.264840297597594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7.0011111111111104</v>
      </c>
      <c r="FZ123" s="12">
        <f>IF('Données projet'!$A$244&gt;35,FZ122+FY123-GH122,IF(A123&lt;'Données projet'!$A$244,$FW$205^A123,IF(A123='Données projet'!$A$244,'Données projet'!$B$244,FZ122+FY123-GH122)))</f>
        <v>301.26777777777778</v>
      </c>
      <c r="GA123" s="17">
        <f>FZ123*VLOOKUP('Données projet'!$B$17,Paramètres!$A$1:$I$89,3,0)*VLOOKUP('Données projet'!$B$17,Paramètres!$A$1:$I$89,5,0)</f>
        <v>343.08374533333335</v>
      </c>
      <c r="GB123" s="13">
        <f t="shared" si="103"/>
        <v>80.136732547820415</v>
      </c>
      <c r="GC123" s="20">
        <f t="shared" si="79"/>
        <v>737.10899897634272</v>
      </c>
      <c r="GD123" s="59">
        <f t="shared" si="80"/>
        <v>1019.2171597198194</v>
      </c>
      <c r="GE123" s="59">
        <f ca="1">AVERAGE(OFFSET($GD$3,0,0,'Données projet'!$E$17+1,1))-AVERAGE(OFFSET($H$3,0,0,'Données projet'!$E$17+1,1))</f>
        <v>640.05156427113661</v>
      </c>
      <c r="GF123" s="59">
        <f t="shared" si="104"/>
        <v>308.77220155372902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20.806460635614393</v>
      </c>
      <c r="GM123" s="21">
        <f>EXP(-LN(2)/25)*GM122+(1-EXP(-LN(2)/25))/(LN(2)/25)*Calculateur!GH123*Calculateur!GJ123*VLOOKUP('Données projet'!$B$17,Paramètres!$A$1:$I$89,3,0)*0.475*44/12</f>
        <v>25.106787302670941</v>
      </c>
      <c r="GN123" s="21">
        <f>EXP(-LN(2)/2)*GN122+(1-EXP(-LN(2)/2))/(LN(2)/2)*GH123*GK123*VLOOKUP('Données projet'!$B$17,Paramètres!$A$1:$I$89,3,0)*0.475*44/12</f>
        <v>0.41281775305769497</v>
      </c>
      <c r="GO123" s="21">
        <f t="shared" si="81"/>
        <v>46.326065691343032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4.7884896048344674E-14</v>
      </c>
      <c r="P124" s="13">
        <f t="shared" si="87"/>
        <v>7.8374629847779921E-13</v>
      </c>
      <c r="Q124" s="20">
        <f t="shared" si="107"/>
        <v>1.4484243304663672E-12</v>
      </c>
      <c r="R124" s="59">
        <f t="shared" si="55"/>
        <v>282.30289239218581</v>
      </c>
      <c r="S124" s="59">
        <f ca="1">AVERAGE(OFFSET($R$3,0,0,'Données projet'!$E$9+1,1))-AVERAGE(OFFSET($H$3,0,0,'Données projet'!$E$9+1,1))</f>
        <v>456.35333554128226</v>
      </c>
      <c r="T124" s="59">
        <f t="shared" si="88"/>
        <v>296.4517290984877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90.899429068115026</v>
      </c>
      <c r="AA124" s="21">
        <f>EXP(-LN(2)/25)*AA123+(1-EXP(-LN(2)/25))/(LN(2)/25)*Calculateur!V124*Calculateur!X124*VLOOKUP('Données projet'!$B$9,Paramètres!$A$1:$I$89,3,0)*0.475*44/12</f>
        <v>18.459796431958171</v>
      </c>
      <c r="AB124" s="21">
        <f>EXP(-LN(2)/2)*AB123+(1-EXP(-LN(2)/2))/(LN(2)/2)*V124*Y124*VLOOKUP('Données projet'!$B$9,Paramètres!$A$1:$I$89,3,0)*0.475*44/12</f>
        <v>4.1006798995370269E-2</v>
      </c>
      <c r="AC124" s="22">
        <f t="shared" si="57"/>
        <v>109.40023229906856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408.246209980743</v>
      </c>
      <c r="AO124" s="59">
        <f t="shared" si="90"/>
        <v>394.10236303013903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25.34174018781383</v>
      </c>
      <c r="AV124" s="21">
        <f>EXP(-LN(2)/25)*AV123+(1-EXP(-LN(2)/25))/(LN(2)/25)*Calculateur!AQ124*Calculateur!AS124*VLOOKUP('Données projet'!$B$10,Paramètres!$A$1:$I$89,3,0)*0.475*44/12</f>
        <v>18.082022784910986</v>
      </c>
      <c r="AW124" s="21">
        <f>EXP(-LN(2)/2)*AW123+(1-EXP(-LN(2)/2))/(LN(2)/2)*AQ124*AT124*VLOOKUP('Données projet'!$B$10,Paramètres!$A$1:$I$89,3,0)*0.475*44/12</f>
        <v>4.6220633802195475E-5</v>
      </c>
      <c r="AX124" s="21">
        <f t="shared" si="60"/>
        <v>43.423809193358622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7.0011111111111104</v>
      </c>
      <c r="BD124" s="12">
        <f>IF('Données projet'!$A$88&gt;35,BD123+BC124-BL123,IF(A124&lt;'Données projet'!$A$88,$BA$205^A124,IF(A124='Données projet'!$A$88,'Données projet'!$B$88,BD123+BC124-BL123)))</f>
        <v>308.26888888888891</v>
      </c>
      <c r="BE124" s="13">
        <f>BD124*VLOOKUP('Données projet'!$B$11,Paramètres!$A$1:$I$89,3,0)*VLOOKUP('Données projet'!$B$11,Paramètres!$A$1:$I$89,5,0)</f>
        <v>312.58465333333339</v>
      </c>
      <c r="BF124" s="13">
        <f t="shared" si="91"/>
        <v>73.808347542593367</v>
      </c>
      <c r="BG124" s="20">
        <f t="shared" si="61"/>
        <v>672.96780985890575</v>
      </c>
      <c r="BH124" s="59">
        <f t="shared" si="62"/>
        <v>955.27070225109014</v>
      </c>
      <c r="BI124" s="59">
        <f ca="1">AVERAGE(OFFSET($BH$3,0,0,'Données projet'!$E$11+1,1))-AVERAGE(OFFSET($H$3,0,0,'Données projet'!$E$11+1,1))</f>
        <v>580.02848304986492</v>
      </c>
      <c r="BJ124" s="59">
        <f t="shared" si="92"/>
        <v>281.68891895586728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18.163011111787146</v>
      </c>
      <c r="BQ124" s="21">
        <f>EXP(-LN(2)/25)*BQ123+(1-EXP(-LN(2)/25))/(LN(2)/25)*Calculateur!BL124*Calculateur!BN124*VLOOKUP('Données projet'!$B$11,Paramètres!$A$1:$I$89,3,0)*0.475*44/12</f>
        <v>21.744050101809655</v>
      </c>
      <c r="BR124" s="21">
        <f>EXP(-LN(2)/2)*BR123+(1-EXP(-LN(2)/2))/(LN(2)/2)*BL124*BO124*VLOOKUP('Données projet'!$B$11,Paramètres!$A$1:$I$89,3,0)*0.475*44/12</f>
        <v>0.25991650846279235</v>
      </c>
      <c r="BS124" s="22">
        <f t="shared" si="63"/>
        <v>40.166977722059599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4.4337866711430253E-14</v>
      </c>
      <c r="CA124" s="13">
        <f t="shared" si="93"/>
        <v>7.3222115536967035E-13</v>
      </c>
      <c r="CB124" s="20">
        <f t="shared" si="64"/>
        <v>1.3525069634579169E-12</v>
      </c>
      <c r="CC124" s="59">
        <f t="shared" si="65"/>
        <v>282.30289239218575</v>
      </c>
      <c r="CD124" s="59">
        <f ca="1">AVERAGE(OFFSET($CC$3,0,0,'Données projet'!$E$12+1,1))-AVERAGE(OFFSET($H$3,0,0,'Données projet'!$E$12+1,1))</f>
        <v>308.85018589589453</v>
      </c>
      <c r="CE124" s="59">
        <f t="shared" si="94"/>
        <v>302.59481222418219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15.353576231867606</v>
      </c>
      <c r="CL124" s="21">
        <f>EXP(-LN(2)/25)*CL123+(1-EXP(-LN(2)/25))/(LN(2)/25)*Calculateur!CG124*Calculateur!CI124*VLOOKUP('Données projet'!$B$12,Paramètres!$A$1:$I$89,3,0)*0.475*44/12</f>
        <v>10.012880645247892</v>
      </c>
      <c r="CM124" s="21">
        <f>EXP(-LN(2)/2)*CM123+(1-EXP(-LN(2)/2))/(LN(2)/2)*CG124*CJ124*VLOOKUP('Données projet'!$B$12,Paramètres!$A$1:$I$89,3,0)*0.475*44/12</f>
        <v>9.0533527215247576E-7</v>
      </c>
      <c r="CN124" s="22">
        <f t="shared" si="66"/>
        <v>25.36645778245077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2.2737367544323206E-13</v>
      </c>
      <c r="CU124" s="17">
        <f>CT124*VLOOKUP('Données projet'!$B$13,Paramètres!$A$1:$I$89,3,0)*VLOOKUP('Données projet'!$B$13,Paramètres!$A$1:$I$89,5,0)</f>
        <v>1.5252226148732008E-13</v>
      </c>
      <c r="CV124" s="13">
        <f t="shared" si="95"/>
        <v>2.1814502464536512E-12</v>
      </c>
      <c r="CW124" s="20">
        <f t="shared" si="67"/>
        <v>4.0650021179971913E-12</v>
      </c>
      <c r="CX124" s="59">
        <f t="shared" si="68"/>
        <v>282.30289239218848</v>
      </c>
      <c r="CY124" s="59">
        <f ca="1">AVERAGE(OFFSET($CX$3,0,0,'Données projet'!$E$13+1,1))-AVERAGE(OFFSET($H$3,0,0,'Données projet'!$E$13+1,1))</f>
        <v>335.73816489539837</v>
      </c>
      <c r="CZ124" s="59">
        <f t="shared" si="96"/>
        <v>254.09787950201044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30.126811159269572</v>
      </c>
      <c r="DG124" s="21">
        <f>EXP(-LN(2)/25)*DG123+(1-EXP(-LN(2)/25))/(LN(2)/25)*Calculateur!DB124*Calculateur!DD124*VLOOKUP('Données projet'!$B$13,Paramètres!$A$1:$I$89,3,0)*0.475*44/12</f>
        <v>27.947382913633355</v>
      </c>
      <c r="DH124" s="21">
        <f>EXP(-LN(2)/2)*DH123+(1-EXP(-LN(2)/2))/(LN(2)/2)*DB124*DE124*VLOOKUP('Données projet'!$B$13,Paramètres!$A$1:$I$89,3,0)*0.475*44/12</f>
        <v>1.0817769342144259</v>
      </c>
      <c r="DI124" s="22">
        <f t="shared" si="69"/>
        <v>59.155971007117351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8.7019999999999982</v>
      </c>
      <c r="DO124" s="12">
        <f>IF('Données projet'!$A$166&gt;35,DO123+DN124-DW123,IF(A124&lt;'Données projet'!$A$166,$DL$205^A124,IF(A124='Données projet'!$A$166,'Données projet'!$B$166,DO123+DN124-DW123)))</f>
        <v>392.12600000000026</v>
      </c>
      <c r="DP124" s="17">
        <f>DO124*VLOOKUP('Données projet'!$B$14,Paramètres!$A$1:$I$89,3,0)*VLOOKUP('Données projet'!$B$14,Paramètres!$A$1:$I$89,5,0)</f>
        <v>379.26426720000023</v>
      </c>
      <c r="DQ124" s="13">
        <f t="shared" si="97"/>
        <v>87.559878780961299</v>
      </c>
      <c r="DR124" s="20">
        <f t="shared" si="70"/>
        <v>813.05205425017459</v>
      </c>
      <c r="DS124" s="59">
        <f t="shared" si="71"/>
        <v>1095.354946642359</v>
      </c>
      <c r="DT124" s="59">
        <f ca="1">AVERAGE(OFFSET($DS$3,0,0,'Données projet'!$E$14+1,1))-AVERAGE(OFFSET($H$3,0,0,'Données projet'!$E$14+1,1))</f>
        <v>493.03862850474161</v>
      </c>
      <c r="DU124" s="59">
        <f t="shared" si="98"/>
        <v>312.51819065560528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46.033633623740265</v>
      </c>
      <c r="EB124" s="21">
        <f>EXP(-LN(2)/25)*EB123+(1-EXP(-LN(2)/25))/(LN(2)/25)*Calculateur!DW124*Calculateur!DY124*VLOOKUP('Données projet'!$B$14,Paramètres!$A$1:$I$89,3,0)*0.475*44/12</f>
        <v>20.999643466691158</v>
      </c>
      <c r="EC124" s="21">
        <f>EXP(-LN(2)/2)*EC123+(1-EXP(-LN(2)/2))/(LN(2)/2)*DW124*DZ124*VLOOKUP('Données projet'!$B$14,Paramètres!$A$1:$I$89,3,0)*0.475*44/12</f>
        <v>9.2039037411931921E-6</v>
      </c>
      <c r="ED124" s="22">
        <f t="shared" si="72"/>
        <v>67.03328629433517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8.7019999999999982</v>
      </c>
      <c r="EJ124" s="12">
        <f>IF('Données projet'!$A$192&gt;35,EJ123+EI124-ER123,IF(A124&lt;'Données projet'!$A$192,$EG$205^A124,IF(A124='Données projet'!$A$192,'Données projet'!$B$192,EJ123+EI124-ER123)))</f>
        <v>392.12600000000026</v>
      </c>
      <c r="EK124" s="17">
        <f>EJ124*VLOOKUP('Données projet'!$B$15,Paramètres!$A$1:$I$89,3,0)*VLOOKUP('Données projet'!$B$15,Paramètres!$A$1:$I$89,5,0)</f>
        <v>422.08442640000027</v>
      </c>
      <c r="EL124" s="13">
        <f t="shared" si="99"/>
        <v>96.239844227259752</v>
      </c>
      <c r="EM124" s="20">
        <f t="shared" si="73"/>
        <v>902.74810467581119</v>
      </c>
      <c r="EN124" s="59">
        <f t="shared" si="74"/>
        <v>1185.0509970679955</v>
      </c>
      <c r="EO124" s="59">
        <f ca="1">AVERAGE(OFFSET($EN$3,0,0,'Données projet'!$E$15+1,1))-AVERAGE(OFFSET($H$3,0,0,'Données projet'!$E$15+1,1))</f>
        <v>539.72194201710272</v>
      </c>
      <c r="EP124" s="59">
        <f t="shared" si="100"/>
        <v>340.76505385159362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51.230979355452867</v>
      </c>
      <c r="EW124" s="21">
        <f>EXP(-LN(2)/25)*EW123+(1-EXP(-LN(2)/25))/(LN(2)/25)*Calculateur!ER124*Calculateur!ET124*VLOOKUP('Données projet'!$B$15,Paramètres!$A$1:$I$89,3,0)*0.475*44/12</f>
        <v>23.370570954865968</v>
      </c>
      <c r="EX124" s="21">
        <f>EXP(-LN(2)/2)*EX123+(1-EXP(-LN(2)/2))/(LN(2)/2)*ER124*EU124*VLOOKUP('Données projet'!$B$15,Paramètres!$A$1:$I$89,3,0)*0.475*44/12</f>
        <v>1.0243054163585999E-5</v>
      </c>
      <c r="EY124" s="22">
        <f t="shared" si="75"/>
        <v>74.601560553372991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>
        <f>FE124*VLOOKUP('Données projet'!$B$16,Paramètres!$A$1:$I$89,3,0)*VLOOKUP('Données projet'!$B$16,Paramètres!$A$1:$I$89,5,0)</f>
        <v>0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383.47860767209028</v>
      </c>
      <c r="FK124" s="59">
        <f t="shared" si="102"/>
        <v>370.49129421395628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23.531615888684261</v>
      </c>
      <c r="FR124" s="21">
        <f>EXP(-LN(2)/25)*FR123+(1-EXP(-LN(2)/25))/(LN(2)/25)*Calculateur!FM124*Calculateur!FO124*VLOOKUP('Données projet'!$B$16,Paramètres!$A$1:$I$89,3,0)*0.475*44/12</f>
        <v>16.790449728845914</v>
      </c>
      <c r="FS124" s="21">
        <f>EXP(-LN(2)/2)*FS123+(1-EXP(-LN(2)/2))/(LN(2)/2)*FM124*FP124*VLOOKUP('Données projet'!$B$16,Paramètres!$A$1:$I$89,3,0)*0.475*44/12</f>
        <v>4.2919159959181629E-5</v>
      </c>
      <c r="FT124" s="22">
        <f t="shared" si="78"/>
        <v>40.322108536690131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7.0011111111111104</v>
      </c>
      <c r="FZ124" s="12">
        <f>IF('Données projet'!$A$244&gt;35,FZ123+FY124-GH123,IF(A124&lt;'Données projet'!$A$244,$FW$205^A124,IF(A124='Données projet'!$A$244,'Données projet'!$B$244,FZ123+FY124-GH123)))</f>
        <v>308.26888888888891</v>
      </c>
      <c r="GA124" s="17">
        <f>FZ124*VLOOKUP('Données projet'!$B$17,Paramètres!$A$1:$I$89,3,0)*VLOOKUP('Données projet'!$B$17,Paramètres!$A$1:$I$89,5,0)</f>
        <v>351.0566106666667</v>
      </c>
      <c r="GB124" s="13">
        <f t="shared" si="103"/>
        <v>81.780040164262672</v>
      </c>
      <c r="GC124" s="20">
        <f t="shared" si="79"/>
        <v>753.85716686386866</v>
      </c>
      <c r="GD124" s="59">
        <f t="shared" si="80"/>
        <v>1036.160059256053</v>
      </c>
      <c r="GE124" s="59">
        <f ca="1">AVERAGE(OFFSET($GD$3,0,0,'Données projet'!$E$17+1,1))-AVERAGE(OFFSET($H$3,0,0,'Données projet'!$E$17+1,1))</f>
        <v>640.05156427113661</v>
      </c>
      <c r="GF124" s="59">
        <f t="shared" si="104"/>
        <v>308.77220155372902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20.39845863323788</v>
      </c>
      <c r="GM124" s="21">
        <f>EXP(-LN(2)/25)*GM123+(1-EXP(-LN(2)/25))/(LN(2)/25)*Calculateur!GH124*Calculateur!GJ124*VLOOKUP('Données projet'!$B$17,Paramètres!$A$1:$I$89,3,0)*0.475*44/12</f>
        <v>24.420240883570841</v>
      </c>
      <c r="GN124" s="21">
        <f>EXP(-LN(2)/2)*GN123+(1-EXP(-LN(2)/2))/(LN(2)/2)*GH124*GK124*VLOOKUP('Données projet'!$B$17,Paramètres!$A$1:$I$89,3,0)*0.475*44/12</f>
        <v>0.29190623258128973</v>
      </c>
      <c r="GO124" s="21">
        <f t="shared" si="81"/>
        <v>45.110605749390011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4.7884896048344674E-14</v>
      </c>
      <c r="P125" s="13">
        <f t="shared" si="87"/>
        <v>7.8374629847779921E-13</v>
      </c>
      <c r="Q125" s="20">
        <f t="shared" si="107"/>
        <v>1.4484243304663672E-12</v>
      </c>
      <c r="R125" s="59">
        <f t="shared" si="55"/>
        <v>282.49424588214322</v>
      </c>
      <c r="S125" s="59">
        <f ca="1">AVERAGE(OFFSET($R$3,0,0,'Données projet'!$E$9+1,1))-AVERAGE(OFFSET($H$3,0,0,'Données projet'!$E$9+1,1))</f>
        <v>456.35333554128226</v>
      </c>
      <c r="T125" s="59">
        <f t="shared" si="88"/>
        <v>296.4517290984877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89.116946707266465</v>
      </c>
      <c r="AA125" s="21">
        <f>EXP(-LN(2)/25)*AA124+(1-EXP(-LN(2)/25))/(LN(2)/25)*Calculateur!V125*Calculateur!X125*VLOOKUP('Données projet'!$B$9,Paramètres!$A$1:$I$89,3,0)*0.475*44/12</f>
        <v>17.955012327767772</v>
      </c>
      <c r="AB125" s="21">
        <f>EXP(-LN(2)/2)*AB124+(1-EXP(-LN(2)/2))/(LN(2)/2)*V125*Y125*VLOOKUP('Données projet'!$B$9,Paramètres!$A$1:$I$89,3,0)*0.475*44/12</f>
        <v>2.8996185644380022E-2</v>
      </c>
      <c r="AC125" s="22">
        <f t="shared" si="57"/>
        <v>107.10095522067861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408.246209980743</v>
      </c>
      <c r="AO125" s="59">
        <f t="shared" si="90"/>
        <v>394.10236303013903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24.844804119666069</v>
      </c>
      <c r="AV125" s="21">
        <f>EXP(-LN(2)/25)*AV124+(1-EXP(-LN(2)/25))/(LN(2)/25)*Calculateur!AQ125*Calculateur!AS125*VLOOKUP('Données projet'!$B$10,Paramètres!$A$1:$I$89,3,0)*0.475*44/12</f>
        <v>17.587568920965346</v>
      </c>
      <c r="AW125" s="21">
        <f>EXP(-LN(2)/2)*AW124+(1-EXP(-LN(2)/2))/(LN(2)/2)*AQ125*AT125*VLOOKUP('Données projet'!$B$10,Paramètres!$A$1:$I$89,3,0)*0.475*44/12</f>
        <v>3.2682923592272577E-5</v>
      </c>
      <c r="AX125" s="21">
        <f t="shared" si="60"/>
        <v>42.432405723555007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>
        <f>VLOOKUP(A125,'Données projet'!$A$87:$I$107,2,0)</f>
        <v>315.27</v>
      </c>
      <c r="BB125" s="12">
        <f>VLOOKUP(A125,'Données projet'!$A$87:$I$107,9,0)</f>
        <v>7.0011111111111104</v>
      </c>
      <c r="BC125" s="12">
        <f t="array" ref="BC125">INDEX(BB:BB,MIN(IF(ISNUMBER(BB125:BB321),ROW(BB125:BB321),"")))</f>
        <v>7.0011111111111104</v>
      </c>
      <c r="BD125" s="12">
        <f>IF('Données projet'!$A$88&gt;35,BD124+BC125-BL124,IF(A125&lt;'Données projet'!$A$88,$BA$205^A125,IF(A125='Données projet'!$A$88,'Données projet'!$B$88,BD124+BC125-BL124)))</f>
        <v>315.27000000000004</v>
      </c>
      <c r="BE125" s="13">
        <f>BD125*VLOOKUP('Données projet'!$B$11,Paramètres!$A$1:$I$89,3,0)*VLOOKUP('Données projet'!$B$11,Paramètres!$A$1:$I$89,5,0)</f>
        <v>319.68378000000007</v>
      </c>
      <c r="BF125" s="13">
        <f t="shared" si="91"/>
        <v>75.287554156575837</v>
      </c>
      <c r="BG125" s="20">
        <f t="shared" si="61"/>
        <v>687.90840698936972</v>
      </c>
      <c r="BH125" s="59">
        <f t="shared" si="62"/>
        <v>970.40265287151146</v>
      </c>
      <c r="BI125" s="59">
        <f ca="1">AVERAGE(OFFSET($BH$3,0,0,'Données projet'!$E$11+1,1))-AVERAGE(OFFSET($H$3,0,0,'Données projet'!$E$11+1,1))</f>
        <v>580.02848304986492</v>
      </c>
      <c r="BJ125" s="59">
        <f t="shared" si="92"/>
        <v>281.68891895586728</v>
      </c>
      <c r="BK125" s="15">
        <f>IF(ISNA(VLOOKUP(A125,'Données projet'!$A$87:$I$107,3,0)),0,VLOOKUP(A125,'Données projet'!$A$87:$I$107,3,0))</f>
        <v>8</v>
      </c>
      <c r="BL125" s="15">
        <f>IF(ISNA(VLOOKUP(A125,'Données projet'!$A$87:$I$107,4,0)),0,VLOOKUP(A125,'Données projet'!$A$87:$I$107,4,0))</f>
        <v>45.829999999999984</v>
      </c>
      <c r="BM125" s="16">
        <f>IF(ISNA(VLOOKUP(A125,'Données projet'!$A$87:$I$107,5,0)),0%,VLOOKUP(A125,'Données projet'!$A$87:$I$107,5,0)*VLOOKUP('Données projet'!$B$11,Paramètres!$A$1:$I$89,7,0))</f>
        <v>0.15049999999999999</v>
      </c>
      <c r="BN125" s="16">
        <f>IF(ISNA(VLOOKUP(A125,'Données projet'!$A$87:$I$107,6,0)),0%,VLOOKUP(A125,'Données projet'!$A$87:$I$107,6,0)*VLOOKUP('Données projet'!$B$11,Paramètres!$A$1:$I$89,7,0))</f>
        <v>8.6000000000000007E-2</v>
      </c>
      <c r="BO125" s="16">
        <f>IF(ISNA(VLOOKUP(A125,'Données projet'!$A$87:$I$107,7,0)),0%,VLOOKUP(A125,'Données projet'!$A$87:$I$107,7,0))</f>
        <v>0.1</v>
      </c>
      <c r="BP125" s="21">
        <f>EXP(-LN(2)/35)*BP124+(1-EXP(-LN(2)/35))/(LN(2)/35)*BL125*BM125*VLOOKUP('Données projet'!$B$11,Paramètres!$A$1:$I$89,3,0)*0.475*44/12</f>
        <v>25.538481951763991</v>
      </c>
      <c r="BQ125" s="21">
        <f>EXP(-LN(2)/25)*BQ124+(1-EXP(-LN(2)/25))/(LN(2)/25)*Calculateur!BL125*Calculateur!BN125*VLOOKUP('Données projet'!$B$11,Paramètres!$A$1:$I$89,3,0)*0.475*44/12</f>
        <v>25.550140200309961</v>
      </c>
      <c r="BR125" s="21">
        <f>EXP(-LN(2)/2)*BR124+(1-EXP(-LN(2)/2))/(LN(2)/2)*BL125*BO125*VLOOKUP('Données projet'!$B$11,Paramètres!$A$1:$I$89,3,0)*0.475*44/12</f>
        <v>4.568511149207775</v>
      </c>
      <c r="BS125" s="22">
        <f t="shared" si="63"/>
        <v>55.657133301281725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4.4337866711430253E-14</v>
      </c>
      <c r="CA125" s="13">
        <f t="shared" si="93"/>
        <v>7.3222115536967035E-13</v>
      </c>
      <c r="CB125" s="20">
        <f t="shared" si="64"/>
        <v>1.3525069634579169E-12</v>
      </c>
      <c r="CC125" s="59">
        <f t="shared" si="65"/>
        <v>282.49424588214316</v>
      </c>
      <c r="CD125" s="59">
        <f ca="1">AVERAGE(OFFSET($CC$3,0,0,'Données projet'!$E$12+1,1))-AVERAGE(OFFSET($H$3,0,0,'Données projet'!$E$12+1,1))</f>
        <v>308.85018589589453</v>
      </c>
      <c r="CE125" s="59">
        <f t="shared" si="94"/>
        <v>302.59481222418219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15.052501966717491</v>
      </c>
      <c r="CL125" s="21">
        <f>EXP(-LN(2)/25)*CL124+(1-EXP(-LN(2)/25))/(LN(2)/25)*Calculateur!CG125*Calculateur!CI125*VLOOKUP('Données projet'!$B$12,Paramètres!$A$1:$I$89,3,0)*0.475*44/12</f>
        <v>9.7390778974490804</v>
      </c>
      <c r="CM125" s="21">
        <f>EXP(-LN(2)/2)*CM124+(1-EXP(-LN(2)/2))/(LN(2)/2)*CG125*CJ125*VLOOKUP('Données projet'!$B$12,Paramètres!$A$1:$I$89,3,0)*0.475*44/12</f>
        <v>6.4016871018638412E-7</v>
      </c>
      <c r="CN125" s="22">
        <f t="shared" si="66"/>
        <v>24.791580504335283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2.2737367544323206E-13</v>
      </c>
      <c r="CU125" s="17">
        <f>CT125*VLOOKUP('Données projet'!$B$13,Paramètres!$A$1:$I$89,3,0)*VLOOKUP('Données projet'!$B$13,Paramètres!$A$1:$I$89,5,0)</f>
        <v>1.5252226148732008E-13</v>
      </c>
      <c r="CV125" s="13">
        <f t="shared" si="95"/>
        <v>2.1814502464536512E-12</v>
      </c>
      <c r="CW125" s="20">
        <f t="shared" si="67"/>
        <v>4.0650021179971913E-12</v>
      </c>
      <c r="CX125" s="59">
        <f t="shared" si="68"/>
        <v>282.49424588214589</v>
      </c>
      <c r="CY125" s="59">
        <f ca="1">AVERAGE(OFFSET($CX$3,0,0,'Données projet'!$E$13+1,1))-AVERAGE(OFFSET($H$3,0,0,'Données projet'!$E$13+1,1))</f>
        <v>335.73816489539837</v>
      </c>
      <c r="CZ125" s="59">
        <f t="shared" si="96"/>
        <v>254.09787950201044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29.536042767976667</v>
      </c>
      <c r="DG125" s="21">
        <f>EXP(-LN(2)/25)*DG124+(1-EXP(-LN(2)/25))/(LN(2)/25)*Calculateur!DB125*Calculateur!DD125*VLOOKUP('Données projet'!$B$13,Paramètres!$A$1:$I$89,3,0)*0.475*44/12</f>
        <v>27.183160258171057</v>
      </c>
      <c r="DH125" s="21">
        <f>EXP(-LN(2)/2)*DH124+(1-EXP(-LN(2)/2))/(LN(2)/2)*DB125*DE125*VLOOKUP('Données projet'!$B$13,Paramètres!$A$1:$I$89,3,0)*0.475*44/12</f>
        <v>0.76493180591421428</v>
      </c>
      <c r="DI125" s="22">
        <f t="shared" si="69"/>
        <v>57.48413483206194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8.7019999999999982</v>
      </c>
      <c r="DO125" s="12">
        <f>IF('Données projet'!$A$166&gt;35,DO124+DN125-DW124,IF(A125&lt;'Données projet'!$A$166,$DL$205^A125,IF(A125='Données projet'!$A$166,'Données projet'!$B$166,DO124+DN125-DW124)))</f>
        <v>400.82800000000026</v>
      </c>
      <c r="DP125" s="17">
        <f>DO125*VLOOKUP('Données projet'!$B$14,Paramètres!$A$1:$I$89,3,0)*VLOOKUP('Données projet'!$B$14,Paramètres!$A$1:$I$89,5,0)</f>
        <v>387.68084160000024</v>
      </c>
      <c r="DQ125" s="13">
        <f t="shared" si="97"/>
        <v>89.274616103777674</v>
      </c>
      <c r="DR125" s="20">
        <f t="shared" si="70"/>
        <v>830.69742216741315</v>
      </c>
      <c r="DS125" s="59">
        <f t="shared" si="71"/>
        <v>1113.1916680495549</v>
      </c>
      <c r="DT125" s="59">
        <f ca="1">AVERAGE(OFFSET($DS$3,0,0,'Données projet'!$E$14+1,1))-AVERAGE(OFFSET($H$3,0,0,'Données projet'!$E$14+1,1))</f>
        <v>493.03862850474161</v>
      </c>
      <c r="DU125" s="59">
        <f t="shared" si="98"/>
        <v>312.51819065560528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45.130942146122784</v>
      </c>
      <c r="EB125" s="21">
        <f>EXP(-LN(2)/25)*EB124+(1-EXP(-LN(2)/25))/(LN(2)/25)*Calculateur!DW125*Calculateur!DY125*VLOOKUP('Données projet'!$B$14,Paramètres!$A$1:$I$89,3,0)*0.475*44/12</f>
        <v>20.425407111771232</v>
      </c>
      <c r="EC125" s="21">
        <f>EXP(-LN(2)/2)*EC124+(1-EXP(-LN(2)/2))/(LN(2)/2)*DW125*DZ125*VLOOKUP('Données projet'!$B$14,Paramètres!$A$1:$I$89,3,0)*0.475*44/12</f>
        <v>6.5081427487859408E-6</v>
      </c>
      <c r="ED125" s="22">
        <f t="shared" si="72"/>
        <v>65.556355766036759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8.7019999999999982</v>
      </c>
      <c r="EJ125" s="12">
        <f>IF('Données projet'!$A$192&gt;35,EJ124+EI125-ER124,IF(A125&lt;'Données projet'!$A$192,$EG$205^A125,IF(A125='Données projet'!$A$192,'Données projet'!$B$192,EJ124+EI125-ER124)))</f>
        <v>400.82800000000026</v>
      </c>
      <c r="EK125" s="17">
        <f>EJ125*VLOOKUP('Données projet'!$B$15,Paramètres!$A$1:$I$89,3,0)*VLOOKUP('Données projet'!$B$15,Paramètres!$A$1:$I$89,5,0)</f>
        <v>431.45125920000032</v>
      </c>
      <c r="EL125" s="13">
        <f t="shared" si="99"/>
        <v>98.124566489739522</v>
      </c>
      <c r="EM125" s="20">
        <f t="shared" si="73"/>
        <v>922.34456307629682</v>
      </c>
      <c r="EN125" s="59">
        <f t="shared" si="74"/>
        <v>1204.8388089584387</v>
      </c>
      <c r="EO125" s="59">
        <f ca="1">AVERAGE(OFFSET($EN$3,0,0,'Données projet'!$E$15+1,1))-AVERAGE(OFFSET($H$3,0,0,'Données projet'!$E$15+1,1))</f>
        <v>539.72194201710272</v>
      </c>
      <c r="EP125" s="59">
        <f t="shared" si="100"/>
        <v>340.76505385159362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50.22637109810438</v>
      </c>
      <c r="EW125" s="21">
        <f>EXP(-LN(2)/25)*EW124+(1-EXP(-LN(2)/25))/(LN(2)/25)*Calculateur!ER125*Calculateur!ET125*VLOOKUP('Données projet'!$B$15,Paramètres!$A$1:$I$89,3,0)*0.475*44/12</f>
        <v>22.731501463100248</v>
      </c>
      <c r="EX125" s="21">
        <f>EXP(-LN(2)/2)*EX124+(1-EXP(-LN(2)/2))/(LN(2)/2)*ER125*EU125*VLOOKUP('Données projet'!$B$15,Paramètres!$A$1:$I$89,3,0)*0.475*44/12</f>
        <v>7.24293305913276E-6</v>
      </c>
      <c r="EY125" s="22">
        <f t="shared" si="75"/>
        <v>72.95787980413769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>
        <f>FE125*VLOOKUP('Données projet'!$B$16,Paramètres!$A$1:$I$89,3,0)*VLOOKUP('Données projet'!$B$16,Paramètres!$A$1:$I$89,5,0)</f>
        <v>0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383.47860767209028</v>
      </c>
      <c r="FK125" s="59">
        <f t="shared" si="102"/>
        <v>370.49129421395628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23.070175253975627</v>
      </c>
      <c r="FR125" s="21">
        <f>EXP(-LN(2)/25)*FR124+(1-EXP(-LN(2)/25))/(LN(2)/25)*Calculateur!FM125*Calculateur!FO125*VLOOKUP('Données projet'!$B$16,Paramètres!$A$1:$I$89,3,0)*0.475*44/12</f>
        <v>16.331313998039246</v>
      </c>
      <c r="FS125" s="21">
        <f>EXP(-LN(2)/2)*FS124+(1-EXP(-LN(2)/2))/(LN(2)/2)*FM125*FP125*VLOOKUP('Données projet'!$B$16,Paramètres!$A$1:$I$89,3,0)*0.475*44/12</f>
        <v>3.0348429049967478E-5</v>
      </c>
      <c r="FT125" s="22">
        <f t="shared" si="78"/>
        <v>39.401519600443919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>
        <f>VLOOKUP(A125,'Données projet'!$A$243:$I$263,2,0)</f>
        <v>315.27</v>
      </c>
      <c r="FX125" s="12">
        <f>VLOOKUP(A125,'Données projet'!$A$243:$I$263,9,0)</f>
        <v>7.0011111111111104</v>
      </c>
      <c r="FY125" s="12">
        <f t="array" ref="FY125">INDEX(FX:FX,MIN(IF(ISNUMBER(FX125:FX321),ROW(FX125:FX321),"")))</f>
        <v>7.0011111111111104</v>
      </c>
      <c r="FZ125" s="12">
        <f>IF('Données projet'!$A$244&gt;35,FZ124+FY125-GH124,IF(A125&lt;'Données projet'!$A$244,$FW$205^A125,IF(A125='Données projet'!$A$244,'Données projet'!$B$244,FZ124+FY125-GH124)))</f>
        <v>315.27000000000004</v>
      </c>
      <c r="GA125" s="17">
        <f>FZ125*VLOOKUP('Données projet'!$B$17,Paramètres!$A$1:$I$89,3,0)*VLOOKUP('Données projet'!$B$17,Paramètres!$A$1:$I$89,5,0)</f>
        <v>359.02947600000005</v>
      </c>
      <c r="GB125" s="13">
        <f t="shared" si="103"/>
        <v>83.419008930402995</v>
      </c>
      <c r="GC125" s="20">
        <f t="shared" si="79"/>
        <v>770.5977779204519</v>
      </c>
      <c r="GD125" s="59">
        <f t="shared" si="80"/>
        <v>1053.0920238025938</v>
      </c>
      <c r="GE125" s="59">
        <f ca="1">AVERAGE(OFFSET($GD$3,0,0,'Données projet'!$E$17+1,1))-AVERAGE(OFFSET($H$3,0,0,'Données projet'!$E$17+1,1))</f>
        <v>640.05156427113661</v>
      </c>
      <c r="GF125" s="59">
        <f t="shared" si="104"/>
        <v>308.77220155372902</v>
      </c>
      <c r="GG125" s="15">
        <f>IF(ISNA(VLOOKUP(A125,'Données projet'!$A$243:$I$263,3,0)),0,VLOOKUP(A125,'Données projet'!$A$243:$I$263,3,0))</f>
        <v>8</v>
      </c>
      <c r="GH125" s="15">
        <f>IF(ISNA(VLOOKUP(A125,'Données projet'!$A$243:$I$263,4,0)),0,VLOOKUP(A125,'Données projet'!$A$243:$I$263,4,0))</f>
        <v>45.829999999999984</v>
      </c>
      <c r="GI125" s="16">
        <f>IF(ISNA(VLOOKUP(A125,'Données projet'!$A$243:$I$263,5,0)),0%,VLOOKUP(A125,'Données projet'!$A$243:$I$263,5,0)*VLOOKUP('Données projet'!$B$17,Paramètres!$A$1:$I$89,7,0))</f>
        <v>0.15049999999999999</v>
      </c>
      <c r="GJ125" s="16">
        <f>IF(ISNA(VLOOKUP(A125,'Données projet'!$A$243:$I$263,6,0)),0%,VLOOKUP(A125,'Données projet'!$A$243:$I$263,6,0)*VLOOKUP('Données projet'!$B$17,Paramètres!$A$1:$I$89,7,0))</f>
        <v>8.6000000000000007E-2</v>
      </c>
      <c r="GK125" s="16">
        <f>IF(ISNA(VLOOKUP(A125,'Données projet'!$A$243:$I$263,7,0)),0%,VLOOKUP(A125,'Données projet'!$A$243:$I$263,7,0))</f>
        <v>0.1</v>
      </c>
      <c r="GL125" s="21">
        <f>EXP(-LN(2)/35)*GL124+(1-EXP(-LN(2)/35))/(LN(2)/35)*GH125*GI125*VLOOKUP('Données projet'!$B$17,Paramètres!$A$1:$I$89,3,0)*0.475*44/12</f>
        <v>28.681679730442646</v>
      </c>
      <c r="GM125" s="21">
        <f>EXP(-LN(2)/25)*GM124+(1-EXP(-LN(2)/25))/(LN(2)/25)*Calculateur!GH125*Calculateur!GJ125*VLOOKUP('Données projet'!$B$17,Paramètres!$A$1:$I$89,3,0)*0.475*44/12</f>
        <v>28.694772840348108</v>
      </c>
      <c r="GN125" s="21">
        <f>EXP(-LN(2)/2)*GN124+(1-EXP(-LN(2)/2))/(LN(2)/2)*GH125*GK125*VLOOKUP('Données projet'!$B$17,Paramètres!$A$1:$I$89,3,0)*0.475*44/12</f>
        <v>5.1307894444948854</v>
      </c>
      <c r="GO125" s="21">
        <f t="shared" si="81"/>
        <v>62.507242015285641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4.7884896048344674E-14</v>
      </c>
      <c r="P126" s="13">
        <f t="shared" si="87"/>
        <v>7.8374629847779921E-13</v>
      </c>
      <c r="Q126" s="20">
        <f t="shared" si="107"/>
        <v>1.4484243304663672E-12</v>
      </c>
      <c r="R126" s="59">
        <f t="shared" si="55"/>
        <v>282.68227981685209</v>
      </c>
      <c r="S126" s="59">
        <f ca="1">AVERAGE(OFFSET($R$3,0,0,'Données projet'!$E$9+1,1))-AVERAGE(OFFSET($H$3,0,0,'Données projet'!$E$9+1,1))</f>
        <v>456.35333554128226</v>
      </c>
      <c r="T126" s="59">
        <f t="shared" si="88"/>
        <v>296.4517290984877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87.369417738307249</v>
      </c>
      <c r="AA126" s="21">
        <f>EXP(-LN(2)/25)*AA125+(1-EXP(-LN(2)/25))/(LN(2)/25)*Calculateur!V126*Calculateur!X126*VLOOKUP('Données projet'!$B$9,Paramètres!$A$1:$I$89,3,0)*0.475*44/12</f>
        <v>17.464031571451901</v>
      </c>
      <c r="AB126" s="21">
        <f>EXP(-LN(2)/2)*AB125+(1-EXP(-LN(2)/2))/(LN(2)/2)*V126*Y126*VLOOKUP('Données projet'!$B$9,Paramètres!$A$1:$I$89,3,0)*0.475*44/12</f>
        <v>2.0503399497685135E-2</v>
      </c>
      <c r="AC126" s="22">
        <f t="shared" si="57"/>
        <v>104.85395270925683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408.246209980743</v>
      </c>
      <c r="AO126" s="59">
        <f t="shared" si="90"/>
        <v>394.10236303013903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24.357612664713614</v>
      </c>
      <c r="AV126" s="21">
        <f>EXP(-LN(2)/25)*AV125+(1-EXP(-LN(2)/25))/(LN(2)/25)*Calculateur!AQ126*Calculateur!AS126*VLOOKUP('Données projet'!$B$10,Paramètres!$A$1:$I$89,3,0)*0.475*44/12</f>
        <v>17.106635923931496</v>
      </c>
      <c r="AW126" s="21">
        <f>EXP(-LN(2)/2)*AW125+(1-EXP(-LN(2)/2))/(LN(2)/2)*AQ126*AT126*VLOOKUP('Données projet'!$B$10,Paramètres!$A$1:$I$89,3,0)*0.475*44/12</f>
        <v>2.3110316901097737E-5</v>
      </c>
      <c r="AX126" s="21">
        <f t="shared" si="60"/>
        <v>41.464271698962008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7.1129999999999995</v>
      </c>
      <c r="BD126" s="12">
        <f>IF('Données projet'!$A$88&gt;35,BD125+BC126-BL125,IF(A126&lt;'Données projet'!$A$88,$BA$205^A126,IF(A126='Données projet'!$A$88,'Données projet'!$B$88,BD125+BC126-BL125)))</f>
        <v>276.55300000000005</v>
      </c>
      <c r="BE126" s="13">
        <f>BD126*VLOOKUP('Données projet'!$B$11,Paramètres!$A$1:$I$89,3,0)*VLOOKUP('Données projet'!$B$11,Paramètres!$A$1:$I$89,5,0)</f>
        <v>280.42474200000009</v>
      </c>
      <c r="BF126" s="13">
        <f t="shared" si="91"/>
        <v>67.056761155527383</v>
      </c>
      <c r="BG126" s="20">
        <f t="shared" si="61"/>
        <v>605.19695132921026</v>
      </c>
      <c r="BH126" s="59">
        <f t="shared" si="62"/>
        <v>887.87923114606087</v>
      </c>
      <c r="BI126" s="59">
        <f ca="1">AVERAGE(OFFSET($BH$3,0,0,'Données projet'!$E$11+1,1))-AVERAGE(OFFSET($H$3,0,0,'Données projet'!$E$11+1,1))</f>
        <v>580.02848304986492</v>
      </c>
      <c r="BJ126" s="59">
        <f t="shared" si="92"/>
        <v>281.68891895586728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25.037687897625794</v>
      </c>
      <c r="BQ126" s="21">
        <f>EXP(-LN(2)/25)*BQ125+(1-EXP(-LN(2)/25))/(LN(2)/25)*Calculateur!BL126*Calculateur!BN126*VLOOKUP('Données projet'!$B$11,Paramètres!$A$1:$I$89,3,0)*0.475*44/12</f>
        <v>24.851470272909008</v>
      </c>
      <c r="BR126" s="21">
        <f>EXP(-LN(2)/2)*BR125+(1-EXP(-LN(2)/2))/(LN(2)/2)*BL126*BO126*VLOOKUP('Données projet'!$B$11,Paramètres!$A$1:$I$89,3,0)*0.475*44/12</f>
        <v>3.2304252135311651</v>
      </c>
      <c r="BS126" s="22">
        <f t="shared" si="63"/>
        <v>53.119583384065962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4.4337866711430253E-14</v>
      </c>
      <c r="CA126" s="13">
        <f t="shared" si="93"/>
        <v>7.3222115536967035E-13</v>
      </c>
      <c r="CB126" s="20">
        <f t="shared" si="64"/>
        <v>1.3525069634579169E-12</v>
      </c>
      <c r="CC126" s="59">
        <f t="shared" si="65"/>
        <v>282.68227981685203</v>
      </c>
      <c r="CD126" s="59">
        <f ca="1">AVERAGE(OFFSET($CC$3,0,0,'Données projet'!$E$12+1,1))-AVERAGE(OFFSET($H$3,0,0,'Données projet'!$E$12+1,1))</f>
        <v>308.85018589589453</v>
      </c>
      <c r="CE126" s="59">
        <f t="shared" si="94"/>
        <v>302.59481222418219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14.757331584269801</v>
      </c>
      <c r="CL126" s="21">
        <f>EXP(-LN(2)/25)*CL125+(1-EXP(-LN(2)/25))/(LN(2)/25)*Calculateur!CG126*Calculateur!CI126*VLOOKUP('Données projet'!$B$12,Paramètres!$A$1:$I$89,3,0)*0.475*44/12</f>
        <v>9.4727623001874868</v>
      </c>
      <c r="CM126" s="21">
        <f>EXP(-LN(2)/2)*CM125+(1-EXP(-LN(2)/2))/(LN(2)/2)*CG126*CJ126*VLOOKUP('Données projet'!$B$12,Paramètres!$A$1:$I$89,3,0)*0.475*44/12</f>
        <v>4.5266763607623788E-7</v>
      </c>
      <c r="CN126" s="22">
        <f t="shared" si="66"/>
        <v>24.230094337124925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2.2737367544323206E-13</v>
      </c>
      <c r="CU126" s="17">
        <f>CT126*VLOOKUP('Données projet'!$B$13,Paramètres!$A$1:$I$89,3,0)*VLOOKUP('Données projet'!$B$13,Paramètres!$A$1:$I$89,5,0)</f>
        <v>1.5252226148732008E-13</v>
      </c>
      <c r="CV126" s="13">
        <f t="shared" si="95"/>
        <v>2.1814502464536512E-12</v>
      </c>
      <c r="CW126" s="20">
        <f t="shared" si="67"/>
        <v>4.0650021179971913E-12</v>
      </c>
      <c r="CX126" s="59">
        <f t="shared" si="68"/>
        <v>282.68227981685476</v>
      </c>
      <c r="CY126" s="59">
        <f ca="1">AVERAGE(OFFSET($CX$3,0,0,'Données projet'!$E$13+1,1))-AVERAGE(OFFSET($H$3,0,0,'Données projet'!$E$13+1,1))</f>
        <v>335.73816489539837</v>
      </c>
      <c r="CZ126" s="59">
        <f t="shared" si="96"/>
        <v>254.09787950201044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28.956858984503878</v>
      </c>
      <c r="DG126" s="21">
        <f>EXP(-LN(2)/25)*DG125+(1-EXP(-LN(2)/25))/(LN(2)/25)*Calculateur!DB126*Calculateur!DD126*VLOOKUP('Données projet'!$B$13,Paramètres!$A$1:$I$89,3,0)*0.475*44/12</f>
        <v>26.439835311411098</v>
      </c>
      <c r="DH126" s="21">
        <f>EXP(-LN(2)/2)*DH125+(1-EXP(-LN(2)/2))/(LN(2)/2)*DB126*DE126*VLOOKUP('Données projet'!$B$13,Paramètres!$A$1:$I$89,3,0)*0.475*44/12</f>
        <v>0.54088846710721294</v>
      </c>
      <c r="DI126" s="22">
        <f t="shared" si="69"/>
        <v>55.937582763022192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>
        <f>VLOOKUP(A126,'Données projet'!$A$165:$I$185,2,0)</f>
        <v>409.53</v>
      </c>
      <c r="DM126" s="12">
        <f>VLOOKUP(A126,'Données projet'!$A$165:$I$185,9,0)</f>
        <v>8.7019999999999982</v>
      </c>
      <c r="DN126" s="12">
        <f t="array" ref="DN126">INDEX(DM:DM,MIN(IF(ISNUMBER(DM126:DM322),ROW(DM126:DM322),"")))</f>
        <v>8.7019999999999982</v>
      </c>
      <c r="DO126" s="12">
        <f>IF('Données projet'!$A$166&gt;35,DO125+DN126-DW125,IF(A126&lt;'Données projet'!$A$166,$DL$205^A126,IF(A126='Données projet'!$A$166,'Données projet'!$B$166,DO125+DN126-DW125)))</f>
        <v>409.53000000000026</v>
      </c>
      <c r="DP126" s="17">
        <f>DO126*VLOOKUP('Données projet'!$B$14,Paramètres!$A$1:$I$89,3,0)*VLOOKUP('Données projet'!$B$14,Paramètres!$A$1:$I$89,5,0)</f>
        <v>396.09741600000024</v>
      </c>
      <c r="DQ126" s="13">
        <f t="shared" si="97"/>
        <v>90.985025309088897</v>
      </c>
      <c r="DR126" s="20">
        <f t="shared" si="70"/>
        <v>848.33525194666345</v>
      </c>
      <c r="DS126" s="59">
        <f t="shared" si="71"/>
        <v>1131.0175317635142</v>
      </c>
      <c r="DT126" s="59">
        <f ca="1">AVERAGE(OFFSET($DS$3,0,0,'Données projet'!$E$14+1,1))-AVERAGE(OFFSET($H$3,0,0,'Données projet'!$E$14+1,1))</f>
        <v>493.03862850474161</v>
      </c>
      <c r="DU126" s="59">
        <f t="shared" si="98"/>
        <v>312.51819065560528</v>
      </c>
      <c r="DV126" s="15">
        <f>IF(ISNA(VLOOKUP(A126,'Données projet'!$A$165:$I$185,3,0)),0,VLOOKUP(A126,'Données projet'!$A$165:$I$185,3,0))</f>
        <v>11</v>
      </c>
      <c r="DW126" s="15">
        <f>IF(ISNA(VLOOKUP(A126,'Données projet'!$A$165:$I$185,4,0)),0,VLOOKUP(A126,'Données projet'!$A$165:$I$185,4,0))</f>
        <v>203.78999999999996</v>
      </c>
      <c r="DX126" s="16">
        <f>IF(ISNA(VLOOKUP(A126,'Données projet'!$A$165:$I$185,5,0)),0%,VLOOKUP(A126,'Données projet'!$A$165:$I$185,5,0)*VLOOKUP('Données projet'!$B$14,Paramètres!$A$1:$I$89,7,0))</f>
        <v>0.19350000000000001</v>
      </c>
      <c r="DY126" s="16">
        <f>IF(ISNA(VLOOKUP(A126,'Données projet'!$A$165:$I$185,6,0)),0%,VLOOKUP(A126,'Données projet'!$A$165:$I$185,6,0)*VLOOKUP('Données projet'!$B$14,Paramètres!$A$1:$I$89,7,0))</f>
        <v>2.1500000000000002E-2</v>
      </c>
      <c r="DZ126" s="16">
        <f>IF(ISNA(VLOOKUP(A126,'Données projet'!$A$165:$I$185,7,0)),0%,VLOOKUP(A126,'Données projet'!$A$165:$I$185,7,0))</f>
        <v>0.05</v>
      </c>
      <c r="EA126" s="21">
        <f>EXP(-LN(2)/35)*EA125+(1-EXP(-LN(2)/35))/(LN(2)/35)*DW126*DX126*VLOOKUP('Données projet'!$B$14,Paramètres!$A$1:$I$89,3,0)*0.475*44/12</f>
        <v>86.40853759389708</v>
      </c>
      <c r="EB126" s="21">
        <f>EXP(-LN(2)/25)*EB125+(1-EXP(-LN(2)/25))/(LN(2)/25)*Calculateur!DW126*Calculateur!DY126*VLOOKUP('Données projet'!$B$14,Paramètres!$A$1:$I$89,3,0)*0.475*44/12</f>
        <v>24.53315945028692</v>
      </c>
      <c r="EC126" s="21">
        <f>EXP(-LN(2)/2)*EC125+(1-EXP(-LN(2)/2))/(LN(2)/2)*DW126*DZ126*VLOOKUP('Données projet'!$B$14,Paramètres!$A$1:$I$89,3,0)*0.475*44/12</f>
        <v>9.298730684442484</v>
      </c>
      <c r="ED126" s="22">
        <f t="shared" si="72"/>
        <v>120.24042772862649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>
        <f>VLOOKUP(A126,'Données projet'!$A$191:$I$211,2,0)</f>
        <v>409.53</v>
      </c>
      <c r="EH126" s="12">
        <f>VLOOKUP(A126,'Données projet'!$A$191:$I$211,9,0)</f>
        <v>8.7019999999999982</v>
      </c>
      <c r="EI126" s="12">
        <f t="array" ref="EI126">INDEX(EH:EH,MIN(IF(ISNUMBER(EH126:EH322),ROW(EH126:EH322),"")))</f>
        <v>8.7019999999999982</v>
      </c>
      <c r="EJ126" s="12">
        <f>IF('Données projet'!$A$192&gt;35,EJ125+EI126-ER125,IF(A126&lt;'Données projet'!$A$192,$EG$205^A126,IF(A126='Données projet'!$A$192,'Données projet'!$B$192,EJ125+EI126-ER125)))</f>
        <v>409.53000000000026</v>
      </c>
      <c r="EK126" s="17">
        <f>EJ126*VLOOKUP('Données projet'!$B$15,Paramètres!$A$1:$I$89,3,0)*VLOOKUP('Données projet'!$B$15,Paramètres!$A$1:$I$89,5,0)</f>
        <v>440.81809200000026</v>
      </c>
      <c r="EL126" s="13">
        <f t="shared" si="99"/>
        <v>100.00453158078092</v>
      </c>
      <c r="EM126" s="20">
        <f t="shared" si="73"/>
        <v>941.93273606986043</v>
      </c>
      <c r="EN126" s="59">
        <f t="shared" si="74"/>
        <v>1224.615015886711</v>
      </c>
      <c r="EO126" s="59">
        <f ca="1">AVERAGE(OFFSET($EN$3,0,0,'Données projet'!$E$15+1,1))-AVERAGE(OFFSET($H$3,0,0,'Données projet'!$E$15+1,1))</f>
        <v>539.72194201710272</v>
      </c>
      <c r="EP126" s="59">
        <f t="shared" si="100"/>
        <v>340.76505385159362</v>
      </c>
      <c r="EQ126" s="15">
        <f>IF(ISNA(VLOOKUP(A126,'Données projet'!$A$191:$I$211,3,0)),0,VLOOKUP(A126,'Données projet'!$A$191:$I$211,3,0))</f>
        <v>11</v>
      </c>
      <c r="ER126" s="15">
        <f>IF(ISNA(VLOOKUP(A126,'Données projet'!$A$191:$I$211,4,0)),0,VLOOKUP(A126,'Données projet'!$A$191:$I$211,4,0))</f>
        <v>203.78999999999996</v>
      </c>
      <c r="ES126" s="16">
        <f>IF(ISNA(VLOOKUP(A126,'Données projet'!$A$191:$I$211,5,0)),0%,VLOOKUP(A126,'Données projet'!$A$191:$I$211,5,0)*VLOOKUP('Données projet'!$B$15,Paramètres!$A$1:$I$89,7,0))</f>
        <v>0.19350000000000001</v>
      </c>
      <c r="ET126" s="16">
        <f>IF(ISNA(VLOOKUP(A126,'Données projet'!$A$191:$I$211,6,0)),0%,VLOOKUP(A126,'Données projet'!$A$191:$I$211,6,0)*VLOOKUP('Données projet'!$B$15,Paramètres!$A$1:$I$89,7,0))</f>
        <v>2.1500000000000002E-2</v>
      </c>
      <c r="EU126" s="16">
        <f>IF(ISNA(VLOOKUP(A126,'Données projet'!$A$191:$I$211,7,0)),0%,VLOOKUP(A126,'Données projet'!$A$191:$I$211,7,0))</f>
        <v>0.05</v>
      </c>
      <c r="EV126" s="21">
        <f>EXP(-LN(2)/35)*EV125+(1-EXP(-LN(2)/35))/(LN(2)/35)*ER126*ES126*VLOOKUP('Données projet'!$B$15,Paramètres!$A$1:$I$89,3,0)*0.475*44/12</f>
        <v>96.164340225466105</v>
      </c>
      <c r="EW126" s="21">
        <f>EXP(-LN(2)/25)*EW125+(1-EXP(-LN(2)/25))/(LN(2)/25)*Calculateur!ER126*Calculateur!ET126*VLOOKUP('Données projet'!$B$15,Paramètres!$A$1:$I$89,3,0)*0.475*44/12</f>
        <v>27.303032291448353</v>
      </c>
      <c r="EX126" s="21">
        <f>EXP(-LN(2)/2)*EX125+(1-EXP(-LN(2)/2))/(LN(2)/2)*ER126*EU126*VLOOKUP('Données projet'!$B$15,Paramètres!$A$1:$I$89,3,0)*0.475*44/12</f>
        <v>10.348587374621472</v>
      </c>
      <c r="EY126" s="22">
        <f t="shared" si="75"/>
        <v>133.81595989153593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>
        <f>FE126*VLOOKUP('Données projet'!$B$16,Paramètres!$A$1:$I$89,3,0)*VLOOKUP('Données projet'!$B$16,Paramètres!$A$1:$I$89,5,0)</f>
        <v>0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383.47860767209028</v>
      </c>
      <c r="FK126" s="59">
        <f t="shared" si="102"/>
        <v>370.49129421395628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22.617783188662631</v>
      </c>
      <c r="FR126" s="21">
        <f>EXP(-LN(2)/25)*FR125+(1-EXP(-LN(2)/25))/(LN(2)/25)*Calculateur!FM126*Calculateur!FO126*VLOOKUP('Données projet'!$B$16,Paramètres!$A$1:$I$89,3,0)*0.475*44/12</f>
        <v>15.884733357936385</v>
      </c>
      <c r="FS126" s="21">
        <f>EXP(-LN(2)/2)*FS125+(1-EXP(-LN(2)/2))/(LN(2)/2)*FM126*FP126*VLOOKUP('Données projet'!$B$16,Paramètres!$A$1:$I$89,3,0)*0.475*44/12</f>
        <v>2.1459579979590818E-5</v>
      </c>
      <c r="FT126" s="22">
        <f t="shared" si="78"/>
        <v>38.502538006178995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7.1129999999999995</v>
      </c>
      <c r="FZ126" s="12">
        <f>IF('Données projet'!$A$244&gt;35,FZ125+FY126-GH125,IF(A126&lt;'Données projet'!$A$244,$FW$205^A126,IF(A126='Données projet'!$A$244,'Données projet'!$B$244,FZ125+FY126-GH125)))</f>
        <v>276.55300000000005</v>
      </c>
      <c r="GA126" s="17">
        <f>FZ126*VLOOKUP('Données projet'!$B$17,Paramètres!$A$1:$I$89,3,0)*VLOOKUP('Données projet'!$B$17,Paramètres!$A$1:$I$89,5,0)</f>
        <v>314.93855640000004</v>
      </c>
      <c r="GB126" s="13">
        <f t="shared" si="103"/>
        <v>74.299246672874546</v>
      </c>
      <c r="GC126" s="20">
        <f t="shared" si="79"/>
        <v>677.92250701858995</v>
      </c>
      <c r="GD126" s="59">
        <f t="shared" si="80"/>
        <v>960.60478683544056</v>
      </c>
      <c r="GE126" s="59">
        <f ca="1">AVERAGE(OFFSET($GD$3,0,0,'Données projet'!$E$17+1,1))-AVERAGE(OFFSET($H$3,0,0,'Données projet'!$E$17+1,1))</f>
        <v>640.05156427113661</v>
      </c>
      <c r="GF126" s="59">
        <f t="shared" si="104"/>
        <v>308.77220155372902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28.119249485025904</v>
      </c>
      <c r="GM126" s="21">
        <f>EXP(-LN(2)/25)*GM125+(1-EXP(-LN(2)/25))/(LN(2)/25)*Calculateur!GH126*Calculateur!GJ126*VLOOKUP('Données projet'!$B$17,Paramètres!$A$1:$I$89,3,0)*0.475*44/12</f>
        <v>27.910112768036267</v>
      </c>
      <c r="GN126" s="21">
        <f>EXP(-LN(2)/2)*GN125+(1-EXP(-LN(2)/2))/(LN(2)/2)*GH126*GK126*VLOOKUP('Données projet'!$B$17,Paramètres!$A$1:$I$89,3,0)*0.475*44/12</f>
        <v>3.6280160090426929</v>
      </c>
      <c r="GO126" s="21">
        <f t="shared" si="81"/>
        <v>59.657378262104871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4.7884896048344674E-14</v>
      </c>
      <c r="P127" s="13">
        <f t="shared" si="87"/>
        <v>7.8374629847779921E-13</v>
      </c>
      <c r="Q127" s="20">
        <f t="shared" si="107"/>
        <v>1.4484243304663672E-12</v>
      </c>
      <c r="R127" s="59">
        <f t="shared" si="55"/>
        <v>282.86705178317476</v>
      </c>
      <c r="S127" s="59">
        <f ca="1">AVERAGE(OFFSET($R$3,0,0,'Données projet'!$E$9+1,1))-AVERAGE(OFFSET($H$3,0,0,'Données projet'!$E$9+1,1))</f>
        <v>456.35333554128226</v>
      </c>
      <c r="T127" s="59">
        <f t="shared" si="88"/>
        <v>296.4517290984877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85.65615674654191</v>
      </c>
      <c r="AA127" s="21">
        <f>EXP(-LN(2)/25)*AA126+(1-EXP(-LN(2)/25))/(LN(2)/25)*Calculateur!V127*Calculateur!X127*VLOOKUP('Données projet'!$B$9,Paramètres!$A$1:$I$89,3,0)*0.475*44/12</f>
        <v>16.986476709737044</v>
      </c>
      <c r="AB127" s="21">
        <f>EXP(-LN(2)/2)*AB126+(1-EXP(-LN(2)/2))/(LN(2)/2)*V127*Y127*VLOOKUP('Données projet'!$B$9,Paramètres!$A$1:$I$89,3,0)*0.475*44/12</f>
        <v>1.4498092822190011E-2</v>
      </c>
      <c r="AC127" s="22">
        <f t="shared" si="57"/>
        <v>102.65713154910115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408.246209980743</v>
      </c>
      <c r="AO127" s="59">
        <f t="shared" si="90"/>
        <v>394.10236303013903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23.879974737035329</v>
      </c>
      <c r="AV127" s="21">
        <f>EXP(-LN(2)/25)*AV126+(1-EXP(-LN(2)/25))/(LN(2)/25)*Calculateur!AQ127*Calculateur!AS127*VLOOKUP('Données projet'!$B$10,Paramètres!$A$1:$I$89,3,0)*0.475*44/12</f>
        <v>16.638854064992703</v>
      </c>
      <c r="AW127" s="21">
        <f>EXP(-LN(2)/2)*AW126+(1-EXP(-LN(2)/2))/(LN(2)/2)*AQ127*AT127*VLOOKUP('Données projet'!$B$10,Paramètres!$A$1:$I$89,3,0)*0.475*44/12</f>
        <v>1.6341461796136289E-5</v>
      </c>
      <c r="AX127" s="21">
        <f t="shared" si="60"/>
        <v>40.518845143489827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7.1129999999999995</v>
      </c>
      <c r="BD127" s="12">
        <f>IF('Données projet'!$A$88&gt;35,BD126+BC127-BL126,IF(A127&lt;'Données projet'!$A$88,$BA$205^A127,IF(A127='Données projet'!$A$88,'Données projet'!$B$88,BD126+BC127-BL126)))</f>
        <v>283.66600000000005</v>
      </c>
      <c r="BE127" s="13">
        <f>BD127*VLOOKUP('Données projet'!$B$11,Paramètres!$A$1:$I$89,3,0)*VLOOKUP('Données projet'!$B$11,Paramètres!$A$1:$I$89,5,0)</f>
        <v>287.63732400000009</v>
      </c>
      <c r="BF127" s="13">
        <f t="shared" si="91"/>
        <v>68.578458468860646</v>
      </c>
      <c r="BG127" s="20">
        <f t="shared" si="61"/>
        <v>620.40915446659915</v>
      </c>
      <c r="BH127" s="59">
        <f t="shared" si="62"/>
        <v>903.27620624977249</v>
      </c>
      <c r="BI127" s="59">
        <f ca="1">AVERAGE(OFFSET($BH$3,0,0,'Données projet'!$E$11+1,1))-AVERAGE(OFFSET($H$3,0,0,'Données projet'!$E$11+1,1))</f>
        <v>580.02848304986492</v>
      </c>
      <c r="BJ127" s="59">
        <f t="shared" si="92"/>
        <v>281.68891895586728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24.546714109435037</v>
      </c>
      <c r="BQ127" s="21">
        <f>EXP(-LN(2)/25)*BQ126+(1-EXP(-LN(2)/25))/(LN(2)/25)*Calculateur!BL127*Calculateur!BN127*VLOOKUP('Données projet'!$B$11,Paramètres!$A$1:$I$89,3,0)*0.475*44/12</f>
        <v>24.171905511414288</v>
      </c>
      <c r="BR127" s="21">
        <f>EXP(-LN(2)/2)*BR126+(1-EXP(-LN(2)/2))/(LN(2)/2)*BL127*BO127*VLOOKUP('Données projet'!$B$11,Paramètres!$A$1:$I$89,3,0)*0.475*44/12</f>
        <v>2.284255574603888</v>
      </c>
      <c r="BS127" s="22">
        <f t="shared" si="63"/>
        <v>51.002875195453214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4.4337866711430253E-14</v>
      </c>
      <c r="CA127" s="13">
        <f t="shared" si="93"/>
        <v>7.3222115536967035E-13</v>
      </c>
      <c r="CB127" s="20">
        <f t="shared" si="64"/>
        <v>1.3525069634579169E-12</v>
      </c>
      <c r="CC127" s="59">
        <f t="shared" si="65"/>
        <v>282.8670517831747</v>
      </c>
      <c r="CD127" s="59">
        <f ca="1">AVERAGE(OFFSET($CC$3,0,0,'Données projet'!$E$12+1,1))-AVERAGE(OFFSET($H$3,0,0,'Données projet'!$E$12+1,1))</f>
        <v>308.85018589589453</v>
      </c>
      <c r="CE127" s="59">
        <f t="shared" si="94"/>
        <v>302.59481222418219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14.467949312985754</v>
      </c>
      <c r="CL127" s="21">
        <f>EXP(-LN(2)/25)*CL126+(1-EXP(-LN(2)/25))/(LN(2)/25)*Calculateur!CG127*Calculateur!CI127*VLOOKUP('Données projet'!$B$12,Paramètres!$A$1:$I$89,3,0)*0.475*44/12</f>
        <v>9.2137291169379409</v>
      </c>
      <c r="CM127" s="21">
        <f>EXP(-LN(2)/2)*CM126+(1-EXP(-LN(2)/2))/(LN(2)/2)*CG127*CJ127*VLOOKUP('Données projet'!$B$12,Paramètres!$A$1:$I$89,3,0)*0.475*44/12</f>
        <v>3.2008435509319206E-7</v>
      </c>
      <c r="CN127" s="22">
        <f t="shared" si="66"/>
        <v>23.681678750008047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2.2737367544323206E-13</v>
      </c>
      <c r="CU127" s="17">
        <f>CT127*VLOOKUP('Données projet'!$B$13,Paramètres!$A$1:$I$89,3,0)*VLOOKUP('Données projet'!$B$13,Paramètres!$A$1:$I$89,5,0)</f>
        <v>1.5252226148732008E-13</v>
      </c>
      <c r="CV127" s="13">
        <f t="shared" si="95"/>
        <v>2.1814502464536512E-12</v>
      </c>
      <c r="CW127" s="20">
        <f t="shared" si="67"/>
        <v>4.0650021179971913E-12</v>
      </c>
      <c r="CX127" s="59">
        <f t="shared" si="68"/>
        <v>282.86705178317743</v>
      </c>
      <c r="CY127" s="59">
        <f ca="1">AVERAGE(OFFSET($CX$3,0,0,'Données projet'!$E$13+1,1))-AVERAGE(OFFSET($H$3,0,0,'Données projet'!$E$13+1,1))</f>
        <v>335.73816489539837</v>
      </c>
      <c r="CZ127" s="59">
        <f t="shared" si="96"/>
        <v>254.09787950201044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28.389032641757765</v>
      </c>
      <c r="DG127" s="21">
        <f>EXP(-LN(2)/25)*DG126+(1-EXP(-LN(2)/25))/(LN(2)/25)*Calculateur!DB127*Calculateur!DD127*VLOOKUP('Données projet'!$B$13,Paramètres!$A$1:$I$89,3,0)*0.475*44/12</f>
        <v>25.716836624410053</v>
      </c>
      <c r="DH127" s="21">
        <f>EXP(-LN(2)/2)*DH126+(1-EXP(-LN(2)/2))/(LN(2)/2)*DB127*DE127*VLOOKUP('Données projet'!$B$13,Paramètres!$A$1:$I$89,3,0)*0.475*44/12</f>
        <v>0.38246590295710714</v>
      </c>
      <c r="DI127" s="22">
        <f t="shared" si="69"/>
        <v>54.488335169124923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4.8499999999999943</v>
      </c>
      <c r="DO127" s="12">
        <f>IF('Données projet'!$A$166&gt;35,DO126+DN127-DW126,IF(A127&lt;'Données projet'!$A$166,$DL$205^A127,IF(A127='Données projet'!$A$166,'Données projet'!$B$166,DO126+DN127-DW126)))</f>
        <v>210.59000000000026</v>
      </c>
      <c r="DP127" s="17">
        <f>DO127*VLOOKUP('Données projet'!$B$14,Paramètres!$A$1:$I$89,3,0)*VLOOKUP('Données projet'!$B$14,Paramètres!$A$1:$I$89,5,0)</f>
        <v>203.68264800000026</v>
      </c>
      <c r="DQ127" s="13">
        <f t="shared" si="97"/>
        <v>50.552640855082295</v>
      </c>
      <c r="DR127" s="20">
        <f t="shared" si="70"/>
        <v>442.79312808926875</v>
      </c>
      <c r="DS127" s="59">
        <f t="shared" si="71"/>
        <v>725.66017987244209</v>
      </c>
      <c r="DT127" s="59">
        <f ca="1">AVERAGE(OFFSET($DS$3,0,0,'Données projet'!$E$14+1,1))-AVERAGE(OFFSET($H$3,0,0,'Données projet'!$E$14+1,1))</f>
        <v>493.03862850474161</v>
      </c>
      <c r="DU127" s="59">
        <f t="shared" si="98"/>
        <v>312.51819065560528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84.714118875684605</v>
      </c>
      <c r="EB127" s="21">
        <f>EXP(-LN(2)/25)*EB126+(1-EXP(-LN(2)/25))/(LN(2)/25)*Calculateur!DW127*Calculateur!DY127*VLOOKUP('Données projet'!$B$14,Paramètres!$A$1:$I$89,3,0)*0.475*44/12</f>
        <v>23.862298914976041</v>
      </c>
      <c r="EC127" s="21">
        <f>EXP(-LN(2)/2)*EC126+(1-EXP(-LN(2)/2))/(LN(2)/2)*DW127*DZ127*VLOOKUP('Données projet'!$B$14,Paramètres!$A$1:$I$89,3,0)*0.475*44/12</f>
        <v>6.5751955233967072</v>
      </c>
      <c r="ED127" s="22">
        <f t="shared" si="72"/>
        <v>115.15161331405734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4.8499999999999943</v>
      </c>
      <c r="EJ127" s="12">
        <f>IF('Données projet'!$A$192&gt;35,EJ126+EI127-ER126,IF(A127&lt;'Données projet'!$A$192,$EG$205^A127,IF(A127='Données projet'!$A$192,'Données projet'!$B$192,EJ126+EI127-ER126)))</f>
        <v>210.59000000000026</v>
      </c>
      <c r="EK127" s="17">
        <f>EJ127*VLOOKUP('Données projet'!$B$15,Paramètres!$A$1:$I$89,3,0)*VLOOKUP('Données projet'!$B$15,Paramètres!$A$1:$I$89,5,0)</f>
        <v>226.67907600000026</v>
      </c>
      <c r="EL127" s="13">
        <f t="shared" si="99"/>
        <v>55.564013437483126</v>
      </c>
      <c r="EM127" s="20">
        <f t="shared" si="73"/>
        <v>491.57338077028345</v>
      </c>
      <c r="EN127" s="59">
        <f t="shared" si="74"/>
        <v>774.44043255345673</v>
      </c>
      <c r="EO127" s="59">
        <f ca="1">AVERAGE(OFFSET($EN$3,0,0,'Données projet'!$E$15+1,1))-AVERAGE(OFFSET($H$3,0,0,'Données projet'!$E$15+1,1))</f>
        <v>539.72194201710272</v>
      </c>
      <c r="EP127" s="59">
        <f t="shared" si="100"/>
        <v>340.76505385159362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94.278616168100612</v>
      </c>
      <c r="EW127" s="21">
        <f>EXP(-LN(2)/25)*EW126+(1-EXP(-LN(2)/25))/(LN(2)/25)*Calculateur!ER127*Calculateur!ET127*VLOOKUP('Données projet'!$B$15,Paramètres!$A$1:$I$89,3,0)*0.475*44/12</f>
        <v>26.55642943763463</v>
      </c>
      <c r="EX127" s="21">
        <f>EXP(-LN(2)/2)*EX126+(1-EXP(-LN(2)/2))/(LN(2)/2)*ER127*EU127*VLOOKUP('Données projet'!$B$15,Paramètres!$A$1:$I$89,3,0)*0.475*44/12</f>
        <v>7.317556308296334</v>
      </c>
      <c r="EY127" s="22">
        <f t="shared" si="75"/>
        <v>128.15260191403158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>
        <f>FE127*VLOOKUP('Données projet'!$B$16,Paramètres!$A$1:$I$89,3,0)*VLOOKUP('Données projet'!$B$16,Paramètres!$A$1:$I$89,5,0)</f>
        <v>0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383.47860767209028</v>
      </c>
      <c r="FK127" s="59">
        <f t="shared" si="102"/>
        <v>370.49129421395628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22.174262255818512</v>
      </c>
      <c r="FR127" s="21">
        <f>EXP(-LN(2)/25)*FR126+(1-EXP(-LN(2)/25))/(LN(2)/25)*Calculateur!FM127*Calculateur!FO127*VLOOKUP('Données projet'!$B$16,Paramètres!$A$1:$I$89,3,0)*0.475*44/12</f>
        <v>15.450364488921792</v>
      </c>
      <c r="FS127" s="21">
        <f>EXP(-LN(2)/2)*FS126+(1-EXP(-LN(2)/2))/(LN(2)/2)*FM127*FP127*VLOOKUP('Données projet'!$B$16,Paramètres!$A$1:$I$89,3,0)*0.475*44/12</f>
        <v>1.5174214524983741E-5</v>
      </c>
      <c r="FT127" s="22">
        <f t="shared" si="78"/>
        <v>37.624641918954829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7.1129999999999995</v>
      </c>
      <c r="FZ127" s="12">
        <f>IF('Données projet'!$A$244&gt;35,FZ126+FY127-GH126,IF(A127&lt;'Données projet'!$A$244,$FW$205^A127,IF(A127='Données projet'!$A$244,'Données projet'!$B$244,FZ126+FY127-GH126)))</f>
        <v>283.66600000000005</v>
      </c>
      <c r="GA127" s="17">
        <f>FZ127*VLOOKUP('Données projet'!$B$17,Paramètres!$A$1:$I$89,3,0)*VLOOKUP('Données projet'!$B$17,Paramètres!$A$1:$I$89,5,0)</f>
        <v>323.03884080000006</v>
      </c>
      <c r="GB127" s="13">
        <f t="shared" si="103"/>
        <v>75.985295359040222</v>
      </c>
      <c r="GC127" s="20">
        <f t="shared" si="79"/>
        <v>694.96703714366186</v>
      </c>
      <c r="GD127" s="59">
        <f t="shared" si="80"/>
        <v>977.83408892683519</v>
      </c>
      <c r="GE127" s="59">
        <f ca="1">AVERAGE(OFFSET($GD$3,0,0,'Données projet'!$E$17+1,1))-AVERAGE(OFFSET($H$3,0,0,'Données projet'!$E$17+1,1))</f>
        <v>640.05156427113661</v>
      </c>
      <c r="GF127" s="59">
        <f t="shared" si="104"/>
        <v>308.77220155372902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27.567848153673207</v>
      </c>
      <c r="GM127" s="21">
        <f>EXP(-LN(2)/25)*GM126+(1-EXP(-LN(2)/25))/(LN(2)/25)*Calculateur!GH127*Calculateur!GJ127*VLOOKUP('Données projet'!$B$17,Paramètres!$A$1:$I$89,3,0)*0.475*44/12</f>
        <v>27.146909266665276</v>
      </c>
      <c r="GN127" s="21">
        <f>EXP(-LN(2)/2)*GN126+(1-EXP(-LN(2)/2))/(LN(2)/2)*GH127*GK127*VLOOKUP('Données projet'!$B$17,Paramètres!$A$1:$I$89,3,0)*0.475*44/12</f>
        <v>2.5653947222474431</v>
      </c>
      <c r="GO127" s="21">
        <f t="shared" si="81"/>
        <v>57.280152142585926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4.7884896048344674E-14</v>
      </c>
      <c r="P128" s="13">
        <f t="shared" si="87"/>
        <v>7.8374629847779921E-13</v>
      </c>
      <c r="Q128" s="20">
        <f t="shared" si="107"/>
        <v>1.4484243304663672E-12</v>
      </c>
      <c r="R128" s="59">
        <f t="shared" si="55"/>
        <v>283.04861836896993</v>
      </c>
      <c r="S128" s="59">
        <f ca="1">AVERAGE(OFFSET($R$3,0,0,'Données projet'!$E$9+1,1))-AVERAGE(OFFSET($H$3,0,0,'Données projet'!$E$9+1,1))</f>
        <v>456.35333554128226</v>
      </c>
      <c r="T128" s="59">
        <f t="shared" si="88"/>
        <v>296.4517290984877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83.976491757839071</v>
      </c>
      <c r="AA128" s="21">
        <f>EXP(-LN(2)/25)*AA127+(1-EXP(-LN(2)/25))/(LN(2)/25)*Calculateur!V128*Calculateur!X128*VLOOKUP('Données projet'!$B$9,Paramètres!$A$1:$I$89,3,0)*0.475*44/12</f>
        <v>16.521980610829296</v>
      </c>
      <c r="AB128" s="21">
        <f>EXP(-LN(2)/2)*AB127+(1-EXP(-LN(2)/2))/(LN(2)/2)*V128*Y128*VLOOKUP('Données projet'!$B$9,Paramètres!$A$1:$I$89,3,0)*0.475*44/12</f>
        <v>1.0251699748842567E-2</v>
      </c>
      <c r="AC128" s="22">
        <f t="shared" si="57"/>
        <v>100.50872406841721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408.246209980743</v>
      </c>
      <c r="AO128" s="59">
        <f t="shared" si="90"/>
        <v>394.10236303013903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23.411702997788449</v>
      </c>
      <c r="AV128" s="21">
        <f>EXP(-LN(2)/25)*AV127+(1-EXP(-LN(2)/25))/(LN(2)/25)*Calculateur!AQ128*Calculateur!AS128*VLOOKUP('Données projet'!$B$10,Paramètres!$A$1:$I$89,3,0)*0.475*44/12</f>
        <v>16.183863725586171</v>
      </c>
      <c r="AW128" s="21">
        <f>EXP(-LN(2)/2)*AW127+(1-EXP(-LN(2)/2))/(LN(2)/2)*AQ128*AT128*VLOOKUP('Données projet'!$B$10,Paramètres!$A$1:$I$89,3,0)*0.475*44/12</f>
        <v>1.1555158450548869E-5</v>
      </c>
      <c r="AX128" s="21">
        <f t="shared" si="60"/>
        <v>39.595578278533068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7.1129999999999995</v>
      </c>
      <c r="BD128" s="12">
        <f>IF('Données projet'!$A$88&gt;35,BD127+BC128-BL127,IF(A128&lt;'Données projet'!$A$88,$BA$205^A128,IF(A128='Données projet'!$A$88,'Données projet'!$B$88,BD127+BC128-BL127)))</f>
        <v>290.77900000000005</v>
      </c>
      <c r="BE128" s="13">
        <f>BD128*VLOOKUP('Données projet'!$B$11,Paramètres!$A$1:$I$89,3,0)*VLOOKUP('Données projet'!$B$11,Paramètres!$A$1:$I$89,5,0)</f>
        <v>294.84990600000009</v>
      </c>
      <c r="BF128" s="13">
        <f t="shared" si="91"/>
        <v>70.095720295999868</v>
      </c>
      <c r="BG128" s="20">
        <f t="shared" si="61"/>
        <v>635.61363246553321</v>
      </c>
      <c r="BH128" s="59">
        <f t="shared" si="62"/>
        <v>918.66225083450172</v>
      </c>
      <c r="BI128" s="59">
        <f ca="1">AVERAGE(OFFSET($BH$3,0,0,'Données projet'!$E$11+1,1))-AVERAGE(OFFSET($H$3,0,0,'Données projet'!$E$11+1,1))</f>
        <v>580.02848304986492</v>
      </c>
      <c r="BJ128" s="59">
        <f t="shared" si="92"/>
        <v>281.68891895586728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24.065368017766257</v>
      </c>
      <c r="BQ128" s="21">
        <f>EXP(-LN(2)/25)*BQ127+(1-EXP(-LN(2)/25))/(LN(2)/25)*Calculateur!BL128*Calculateur!BN128*VLOOKUP('Données projet'!$B$11,Paramètres!$A$1:$I$89,3,0)*0.475*44/12</f>
        <v>23.510923484059397</v>
      </c>
      <c r="BR128" s="21">
        <f>EXP(-LN(2)/2)*BR127+(1-EXP(-LN(2)/2))/(LN(2)/2)*BL128*BO128*VLOOKUP('Données projet'!$B$11,Paramètres!$A$1:$I$89,3,0)*0.475*44/12</f>
        <v>1.615212606765583</v>
      </c>
      <c r="BS128" s="22">
        <f t="shared" si="63"/>
        <v>49.191504108591232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4.4337866711430253E-14</v>
      </c>
      <c r="CA128" s="13">
        <f t="shared" si="93"/>
        <v>7.3222115536967035E-13</v>
      </c>
      <c r="CB128" s="20">
        <f t="shared" si="64"/>
        <v>1.3525069634579169E-12</v>
      </c>
      <c r="CC128" s="59">
        <f t="shared" si="65"/>
        <v>283.04861836896987</v>
      </c>
      <c r="CD128" s="59">
        <f ca="1">AVERAGE(OFFSET($CC$3,0,0,'Données projet'!$E$12+1,1))-AVERAGE(OFFSET($H$3,0,0,'Données projet'!$E$12+1,1))</f>
        <v>308.85018589589453</v>
      </c>
      <c r="CE128" s="59">
        <f t="shared" si="94"/>
        <v>302.59481222418219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14.18424165153583</v>
      </c>
      <c r="CL128" s="21">
        <f>EXP(-LN(2)/25)*CL127+(1-EXP(-LN(2)/25))/(LN(2)/25)*Calculateur!CG128*Calculateur!CI128*VLOOKUP('Données projet'!$B$12,Paramètres!$A$1:$I$89,3,0)*0.475*44/12</f>
        <v>8.9617792097063163</v>
      </c>
      <c r="CM128" s="21">
        <f>EXP(-LN(2)/2)*CM127+(1-EXP(-LN(2)/2))/(LN(2)/2)*CG128*CJ128*VLOOKUP('Données projet'!$B$12,Paramètres!$A$1:$I$89,3,0)*0.475*44/12</f>
        <v>2.2633381803811894E-7</v>
      </c>
      <c r="CN128" s="22">
        <f t="shared" si="66"/>
        <v>23.146021087575964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2.2737367544323206E-13</v>
      </c>
      <c r="CU128" s="17">
        <f>CT128*VLOOKUP('Données projet'!$B$13,Paramètres!$A$1:$I$89,3,0)*VLOOKUP('Données projet'!$B$13,Paramètres!$A$1:$I$89,5,0)</f>
        <v>1.5252226148732008E-13</v>
      </c>
      <c r="CV128" s="13">
        <f t="shared" si="95"/>
        <v>2.1814502464536512E-12</v>
      </c>
      <c r="CW128" s="20">
        <f t="shared" si="67"/>
        <v>4.0650021179971913E-12</v>
      </c>
      <c r="CX128" s="59">
        <f t="shared" si="68"/>
        <v>283.0486183689726</v>
      </c>
      <c r="CY128" s="59">
        <f ca="1">AVERAGE(OFFSET($CX$3,0,0,'Données projet'!$E$13+1,1))-AVERAGE(OFFSET($H$3,0,0,'Données projet'!$E$13+1,1))</f>
        <v>335.73816489539837</v>
      </c>
      <c r="CZ128" s="59">
        <f t="shared" si="96"/>
        <v>254.09787950201044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27.832341027253033</v>
      </c>
      <c r="DG128" s="21">
        <f>EXP(-LN(2)/25)*DG127+(1-EXP(-LN(2)/25))/(LN(2)/25)*Calculateur!DB128*Calculateur!DD128*VLOOKUP('Données projet'!$B$13,Paramètres!$A$1:$I$89,3,0)*0.475*44/12</f>
        <v>25.013608374525898</v>
      </c>
      <c r="DH128" s="21">
        <f>EXP(-LN(2)/2)*DH127+(1-EXP(-LN(2)/2))/(LN(2)/2)*DB128*DE128*VLOOKUP('Données projet'!$B$13,Paramètres!$A$1:$I$89,3,0)*0.475*44/12</f>
        <v>0.27044423355360647</v>
      </c>
      <c r="DI128" s="22">
        <f t="shared" si="69"/>
        <v>53.116393635332535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>
        <f>VLOOKUP(A128,'Données projet'!$A$165:$I$185,2,0)</f>
        <v>215.44</v>
      </c>
      <c r="DM128" s="12">
        <f>VLOOKUP(A128,'Données projet'!$A$165:$I$185,9,0)</f>
        <v>4.8499999999999943</v>
      </c>
      <c r="DN128" s="12">
        <f t="array" ref="DN128">INDEX(DM:DM,MIN(IF(ISNUMBER(DM128:DM324),ROW(DM128:DM324),"")))</f>
        <v>4.8499999999999943</v>
      </c>
      <c r="DO128" s="12">
        <f>IF('Données projet'!$A$166&gt;35,DO127+DN128-DW127,IF(A128&lt;'Données projet'!$A$166,$DL$205^A128,IF(A128='Données projet'!$A$166,'Données projet'!$B$166,DO127+DN128-DW127)))</f>
        <v>215.44000000000025</v>
      </c>
      <c r="DP128" s="17">
        <f>DO128*VLOOKUP('Données projet'!$B$14,Paramètres!$A$1:$I$89,3,0)*VLOOKUP('Données projet'!$B$14,Paramètres!$A$1:$I$89,5,0)</f>
        <v>208.37356800000023</v>
      </c>
      <c r="DQ128" s="13">
        <f t="shared" si="97"/>
        <v>51.580008716903919</v>
      </c>
      <c r="DR128" s="20">
        <f t="shared" si="70"/>
        <v>452.75247944860803</v>
      </c>
      <c r="DS128" s="59">
        <f t="shared" si="71"/>
        <v>735.80109781757653</v>
      </c>
      <c r="DT128" s="59">
        <f ca="1">AVERAGE(OFFSET($DS$3,0,0,'Données projet'!$E$14+1,1))-AVERAGE(OFFSET($H$3,0,0,'Données projet'!$E$14+1,1))</f>
        <v>493.03862850474161</v>
      </c>
      <c r="DU128" s="59">
        <f t="shared" si="98"/>
        <v>312.51819065560528</v>
      </c>
      <c r="DV128" s="15">
        <f>IF(ISNA(VLOOKUP(A128,'Données projet'!$A$165:$I$185,3,0)),0,VLOOKUP(A128,'Données projet'!$A$165:$I$185,3,0))</f>
        <v>12</v>
      </c>
      <c r="DW128" s="15">
        <f>IF(ISNA(VLOOKUP(A128,'Données projet'!$A$165:$I$185,4,0)),0,VLOOKUP(A128,'Données projet'!$A$165:$I$185,4,0))</f>
        <v>70.609999999999985</v>
      </c>
      <c r="DX128" s="16">
        <f>IF(ISNA(VLOOKUP(A128,'Données projet'!$A$165:$I$185,5,0)),0%,VLOOKUP(A128,'Données projet'!$A$165:$I$185,5,0)*VLOOKUP('Données projet'!$B$14,Paramètres!$A$1:$I$89,7,0))</f>
        <v>0.19350000000000001</v>
      </c>
      <c r="DY128" s="16">
        <f>IF(ISNA(VLOOKUP(A128,'Données projet'!$A$165:$I$185,6,0)),0%,VLOOKUP(A128,'Données projet'!$A$165:$I$185,6,0)*VLOOKUP('Données projet'!$B$14,Paramètres!$A$1:$I$89,7,0))</f>
        <v>2.1500000000000002E-2</v>
      </c>
      <c r="DZ128" s="16">
        <f>IF(ISNA(VLOOKUP(A128,'Données projet'!$A$165:$I$185,7,0)),0%,VLOOKUP(A128,'Données projet'!$A$165:$I$185,7,0))</f>
        <v>0.05</v>
      </c>
      <c r="EA128" s="21">
        <f>EXP(-LN(2)/35)*EA127+(1-EXP(-LN(2)/35))/(LN(2)/35)*DW128*DX128*VLOOKUP('Données projet'!$B$14,Paramètres!$A$1:$I$89,3,0)*0.475*44/12</f>
        <v>97.661593322090567</v>
      </c>
      <c r="EB128" s="21">
        <f>EXP(-LN(2)/25)*EB127+(1-EXP(-LN(2)/25))/(LN(2)/25)*Calculateur!DW128*Calculateur!DY128*VLOOKUP('Données projet'!$B$14,Paramètres!$A$1:$I$89,3,0)*0.475*44/12</f>
        <v>24.826577180740017</v>
      </c>
      <c r="EC128" s="21">
        <f>EXP(-LN(2)/2)*EC127+(1-EXP(-LN(2)/2))/(LN(2)/2)*DW128*DZ128*VLOOKUP('Données projet'!$B$14,Paramètres!$A$1:$I$89,3,0)*0.475*44/12</f>
        <v>7.8712263201134949</v>
      </c>
      <c r="ED128" s="22">
        <f t="shared" si="72"/>
        <v>130.35939682294409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215.44</v>
      </c>
      <c r="EH128" s="12">
        <f>VLOOKUP(A128,'Données projet'!$A$191:$I$211,9,0)</f>
        <v>4.8499999999999943</v>
      </c>
      <c r="EI128" s="12">
        <f t="array" ref="EI128">INDEX(EH:EH,MIN(IF(ISNUMBER(EH128:EH324),ROW(EH128:EH324),"")))</f>
        <v>4.8499999999999943</v>
      </c>
      <c r="EJ128" s="12">
        <f>IF('Données projet'!$A$192&gt;35,EJ127+EI128-ER127,IF(A128&lt;'Données projet'!$A$192,$EG$205^A128,IF(A128='Données projet'!$A$192,'Données projet'!$B$192,EJ127+EI128-ER127)))</f>
        <v>215.44000000000025</v>
      </c>
      <c r="EK128" s="17">
        <f>EJ128*VLOOKUP('Données projet'!$B$15,Paramètres!$A$1:$I$89,3,0)*VLOOKUP('Données projet'!$B$15,Paramètres!$A$1:$I$89,5,0)</f>
        <v>231.89961600000024</v>
      </c>
      <c r="EL128" s="13">
        <f t="shared" si="99"/>
        <v>56.693226090154134</v>
      </c>
      <c r="EM128" s="20">
        <f t="shared" si="73"/>
        <v>502.63253330701883</v>
      </c>
      <c r="EN128" s="59">
        <f t="shared" si="74"/>
        <v>785.68115167598739</v>
      </c>
      <c r="EO128" s="59">
        <f ca="1">AVERAGE(OFFSET($EN$3,0,0,'Données projet'!$E$15+1,1))-AVERAGE(OFFSET($H$3,0,0,'Données projet'!$E$15+1,1))</f>
        <v>539.72194201710272</v>
      </c>
      <c r="EP128" s="59">
        <f t="shared" si="100"/>
        <v>340.76505385159362</v>
      </c>
      <c r="EQ128" s="15">
        <f>IF(ISNA(VLOOKUP(A128,'Données projet'!$A$191:$I$211,3,0)),0,VLOOKUP(A128,'Données projet'!$A$191:$I$211,3,0))</f>
        <v>12</v>
      </c>
      <c r="ER128" s="15">
        <f>IF(ISNA(VLOOKUP(A128,'Données projet'!$A$191:$I$211,4,0)),0,VLOOKUP(A128,'Données projet'!$A$191:$I$211,4,0))</f>
        <v>70.609999999999985</v>
      </c>
      <c r="ES128" s="16">
        <f>IF(ISNA(VLOOKUP(A128,'Données projet'!$A$191:$I$211,5,0)),0%,VLOOKUP(A128,'Données projet'!$A$191:$I$211,5,0)*VLOOKUP('Données projet'!$B$15,Paramètres!$A$1:$I$89,7,0))</f>
        <v>0.19350000000000001</v>
      </c>
      <c r="ET128" s="16">
        <f>IF(ISNA(VLOOKUP(A128,'Données projet'!$A$191:$I$211,6,0)),0%,VLOOKUP(A128,'Données projet'!$A$191:$I$211,6,0)*VLOOKUP('Données projet'!$B$15,Paramètres!$A$1:$I$89,7,0))</f>
        <v>2.1500000000000002E-2</v>
      </c>
      <c r="EU128" s="16">
        <f>IF(ISNA(VLOOKUP(A128,'Données projet'!$A$191:$I$211,7,0)),0%,VLOOKUP(A128,'Données projet'!$A$191:$I$211,7,0))</f>
        <v>0.05</v>
      </c>
      <c r="EV128" s="21">
        <f>EXP(-LN(2)/35)*EV127+(1-EXP(-LN(2)/35))/(LN(2)/35)*ER128*ES128*VLOOKUP('Données projet'!$B$15,Paramètres!$A$1:$I$89,3,0)*0.475*44/12</f>
        <v>108.68790224555241</v>
      </c>
      <c r="EW128" s="21">
        <f>EXP(-LN(2)/25)*EW127+(1-EXP(-LN(2)/25))/(LN(2)/25)*Calculateur!ER128*Calculateur!ET128*VLOOKUP('Données projet'!$B$15,Paramètres!$A$1:$I$89,3,0)*0.475*44/12</f>
        <v>27.629577830178413</v>
      </c>
      <c r="EX128" s="21">
        <f>EXP(-LN(2)/2)*EX127+(1-EXP(-LN(2)/2))/(LN(2)/2)*ER128*EU128*VLOOKUP('Données projet'!$B$15,Paramètres!$A$1:$I$89,3,0)*0.475*44/12</f>
        <v>8.7599131627069529</v>
      </c>
      <c r="EY128" s="22">
        <f t="shared" si="75"/>
        <v>145.07739323843779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>
        <f>FE128*VLOOKUP('Données projet'!$B$16,Paramètres!$A$1:$I$89,3,0)*VLOOKUP('Données projet'!$B$16,Paramètres!$A$1:$I$89,5,0)</f>
        <v>0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383.47860767209028</v>
      </c>
      <c r="FK128" s="59">
        <f t="shared" si="102"/>
        <v>370.49129421395628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21.739438497946409</v>
      </c>
      <c r="FR128" s="21">
        <f>EXP(-LN(2)/25)*FR127+(1-EXP(-LN(2)/25))/(LN(2)/25)*Calculateur!FM128*Calculateur!FO128*VLOOKUP('Données projet'!$B$16,Paramètres!$A$1:$I$89,3,0)*0.475*44/12</f>
        <v>15.02787345947287</v>
      </c>
      <c r="FS128" s="21">
        <f>EXP(-LN(2)/2)*FS127+(1-EXP(-LN(2)/2))/(LN(2)/2)*FM128*FP128*VLOOKUP('Données projet'!$B$16,Paramètres!$A$1:$I$89,3,0)*0.475*44/12</f>
        <v>1.0729789989795411E-5</v>
      </c>
      <c r="FT128" s="22">
        <f t="shared" si="78"/>
        <v>36.767322687209273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7.1129999999999995</v>
      </c>
      <c r="FZ128" s="12">
        <f>IF('Données projet'!$A$244&gt;35,FZ127+FY128-GH127,IF(A128&lt;'Données projet'!$A$244,$FW$205^A128,IF(A128='Données projet'!$A$244,'Données projet'!$B$244,FZ127+FY128-GH127)))</f>
        <v>290.77900000000005</v>
      </c>
      <c r="GA128" s="17">
        <f>FZ128*VLOOKUP('Données projet'!$B$17,Paramètres!$A$1:$I$89,3,0)*VLOOKUP('Données projet'!$B$17,Paramètres!$A$1:$I$89,5,0)</f>
        <v>331.13912520000008</v>
      </c>
      <c r="GB128" s="13">
        <f t="shared" si="103"/>
        <v>77.6664295030006</v>
      </c>
      <c r="GC128" s="20">
        <f t="shared" si="79"/>
        <v>712.00300777439281</v>
      </c>
      <c r="GD128" s="59">
        <f t="shared" si="80"/>
        <v>995.05162614336132</v>
      </c>
      <c r="GE128" s="59">
        <f ca="1">AVERAGE(OFFSET($GD$3,0,0,'Données projet'!$E$17+1,1))-AVERAGE(OFFSET($H$3,0,0,'Données projet'!$E$17+1,1))</f>
        <v>640.05156427113661</v>
      </c>
      <c r="GF128" s="59">
        <f t="shared" si="104"/>
        <v>308.77220155372902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27.027259466106734</v>
      </c>
      <c r="GM128" s="21">
        <f>EXP(-LN(2)/25)*GM127+(1-EXP(-LN(2)/25))/(LN(2)/25)*Calculateur!GH128*Calculateur!GJ128*VLOOKUP('Données projet'!$B$17,Paramètres!$A$1:$I$89,3,0)*0.475*44/12</f>
        <v>26.404575605174401</v>
      </c>
      <c r="GN128" s="21">
        <f>EXP(-LN(2)/2)*GN127+(1-EXP(-LN(2)/2))/(LN(2)/2)*GH128*GK128*VLOOKUP('Données projet'!$B$17,Paramètres!$A$1:$I$89,3,0)*0.475*44/12</f>
        <v>1.8140080045213467</v>
      </c>
      <c r="GO128" s="21">
        <f t="shared" si="81"/>
        <v>55.245843075802483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4.7884896048344674E-14</v>
      </c>
      <c r="P129" s="13">
        <f t="shared" si="87"/>
        <v>7.8374629847779921E-13</v>
      </c>
      <c r="Q129" s="20">
        <f t="shared" si="107"/>
        <v>1.4484243304663672E-12</v>
      </c>
      <c r="R129" s="59">
        <f t="shared" si="55"/>
        <v>283.22703518042363</v>
      </c>
      <c r="S129" s="59">
        <f ca="1">AVERAGE(OFFSET($R$3,0,0,'Données projet'!$E$9+1,1))-AVERAGE(OFFSET($H$3,0,0,'Données projet'!$E$9+1,1))</f>
        <v>456.35333554128226</v>
      </c>
      <c r="T129" s="59">
        <f t="shared" si="88"/>
        <v>296.4517290984877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82.329763975070207</v>
      </c>
      <c r="AA129" s="21">
        <f>EXP(-LN(2)/25)*AA128+(1-EXP(-LN(2)/25))/(LN(2)/25)*Calculateur!V129*Calculateur!X129*VLOOKUP('Données projet'!$B$9,Paramètres!$A$1:$I$89,3,0)*0.475*44/12</f>
        <v>16.070186182172971</v>
      </c>
      <c r="AB129" s="21">
        <f>EXP(-LN(2)/2)*AB128+(1-EXP(-LN(2)/2))/(LN(2)/2)*V129*Y129*VLOOKUP('Données projet'!$B$9,Paramètres!$A$1:$I$89,3,0)*0.475*44/12</f>
        <v>7.2490464110950056E-3</v>
      </c>
      <c r="AC129" s="22">
        <f t="shared" si="57"/>
        <v>98.407199203654272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408.246209980743</v>
      </c>
      <c r="AO129" s="59">
        <f t="shared" si="90"/>
        <v>394.10236303013903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22.952613781730641</v>
      </c>
      <c r="AV129" s="21">
        <f>EXP(-LN(2)/25)*AV128+(1-EXP(-LN(2)/25))/(LN(2)/25)*Calculateur!AQ129*Calculateur!AS129*VLOOKUP('Données projet'!$B$10,Paramètres!$A$1:$I$89,3,0)*0.475*44/12</f>
        <v>15.741315120937612</v>
      </c>
      <c r="AW129" s="21">
        <f>EXP(-LN(2)/2)*AW128+(1-EXP(-LN(2)/2))/(LN(2)/2)*AQ129*AT129*VLOOKUP('Données projet'!$B$10,Paramètres!$A$1:$I$89,3,0)*0.475*44/12</f>
        <v>8.1707308980681443E-6</v>
      </c>
      <c r="AX129" s="21">
        <f t="shared" si="60"/>
        <v>38.693937073399155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7.1129999999999995</v>
      </c>
      <c r="BD129" s="12">
        <f>IF('Données projet'!$A$88&gt;35,BD128+BC129-BL128,IF(A129&lt;'Données projet'!$A$88,$BA$205^A129,IF(A129='Données projet'!$A$88,'Données projet'!$B$88,BD128+BC129-BL128)))</f>
        <v>297.89200000000005</v>
      </c>
      <c r="BE129" s="13">
        <f>BD129*VLOOKUP('Données projet'!$B$11,Paramètres!$A$1:$I$89,3,0)*VLOOKUP('Données projet'!$B$11,Paramètres!$A$1:$I$89,5,0)</f>
        <v>302.06248800000009</v>
      </c>
      <c r="BF129" s="13">
        <f t="shared" si="91"/>
        <v>71.608667618813385</v>
      </c>
      <c r="BG129" s="20">
        <f t="shared" si="61"/>
        <v>650.81059603610004</v>
      </c>
      <c r="BH129" s="59">
        <f t="shared" si="62"/>
        <v>934.03763121652219</v>
      </c>
      <c r="BI129" s="59">
        <f ca="1">AVERAGE(OFFSET($BH$3,0,0,'Données projet'!$E$11+1,1))-AVERAGE(OFFSET($H$3,0,0,'Données projet'!$E$11+1,1))</f>
        <v>580.02848304986492</v>
      </c>
      <c r="BJ129" s="59">
        <f t="shared" si="92"/>
        <v>281.68891895586728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23.593460829362979</v>
      </c>
      <c r="BQ129" s="21">
        <f>EXP(-LN(2)/25)*BQ128+(1-EXP(-LN(2)/25))/(LN(2)/25)*Calculateur!BL129*Calculateur!BN129*VLOOKUP('Données projet'!$B$11,Paramètres!$A$1:$I$89,3,0)*0.475*44/12</f>
        <v>22.868016045002062</v>
      </c>
      <c r="BR129" s="21">
        <f>EXP(-LN(2)/2)*BR128+(1-EXP(-LN(2)/2))/(LN(2)/2)*BL129*BO129*VLOOKUP('Données projet'!$B$11,Paramètres!$A$1:$I$89,3,0)*0.475*44/12</f>
        <v>1.1421277873019442</v>
      </c>
      <c r="BS129" s="22">
        <f t="shared" si="63"/>
        <v>47.603604661666985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4.4337866711430253E-14</v>
      </c>
      <c r="CA129" s="13">
        <f t="shared" si="93"/>
        <v>7.3222115536967035E-13</v>
      </c>
      <c r="CB129" s="20">
        <f t="shared" si="64"/>
        <v>1.3525069634579169E-12</v>
      </c>
      <c r="CC129" s="59">
        <f t="shared" si="65"/>
        <v>283.22703518042357</v>
      </c>
      <c r="CD129" s="59">
        <f ca="1">AVERAGE(OFFSET($CC$3,0,0,'Données projet'!$E$12+1,1))-AVERAGE(OFFSET($H$3,0,0,'Données projet'!$E$12+1,1))</f>
        <v>308.85018589589453</v>
      </c>
      <c r="CE129" s="59">
        <f t="shared" si="94"/>
        <v>302.59481222418219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13.906097324282351</v>
      </c>
      <c r="CL129" s="21">
        <f>EXP(-LN(2)/25)*CL128+(1-EXP(-LN(2)/25))/(LN(2)/25)*Calculateur!CG129*Calculateur!CI129*VLOOKUP('Données projet'!$B$12,Paramètres!$A$1:$I$89,3,0)*0.475*44/12</f>
        <v>8.7167188859374107</v>
      </c>
      <c r="CM129" s="21">
        <f>EXP(-LN(2)/2)*CM128+(1-EXP(-LN(2)/2))/(LN(2)/2)*CG129*CJ129*VLOOKUP('Données projet'!$B$12,Paramètres!$A$1:$I$89,3,0)*0.475*44/12</f>
        <v>1.6004217754659603E-7</v>
      </c>
      <c r="CN129" s="22">
        <f t="shared" si="66"/>
        <v>22.622816370261937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2.2737367544323206E-13</v>
      </c>
      <c r="CU129" s="17">
        <f>CT129*VLOOKUP('Données projet'!$B$13,Paramètres!$A$1:$I$89,3,0)*VLOOKUP('Données projet'!$B$13,Paramètres!$A$1:$I$89,5,0)</f>
        <v>1.5252226148732008E-13</v>
      </c>
      <c r="CV129" s="13">
        <f t="shared" si="95"/>
        <v>2.1814502464536512E-12</v>
      </c>
      <c r="CW129" s="20">
        <f t="shared" si="67"/>
        <v>4.0650021179971913E-12</v>
      </c>
      <c r="CX129" s="59">
        <f t="shared" si="68"/>
        <v>283.2270351804263</v>
      </c>
      <c r="CY129" s="59">
        <f ca="1">AVERAGE(OFFSET($CX$3,0,0,'Données projet'!$E$13+1,1))-AVERAGE(OFFSET($H$3,0,0,'Données projet'!$E$13+1,1))</f>
        <v>335.73816489539837</v>
      </c>
      <c r="CZ129" s="59">
        <f t="shared" si="96"/>
        <v>254.09787950201044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27.286565795760382</v>
      </c>
      <c r="DG129" s="21">
        <f>EXP(-LN(2)/25)*DG128+(1-EXP(-LN(2)/25))/(LN(2)/25)*Calculateur!DB129*Calculateur!DD129*VLOOKUP('Données projet'!$B$13,Paramètres!$A$1:$I$89,3,0)*0.475*44/12</f>
        <v>24.329609938115993</v>
      </c>
      <c r="DH129" s="21">
        <f>EXP(-LN(2)/2)*DH128+(1-EXP(-LN(2)/2))/(LN(2)/2)*DB129*DE129*VLOOKUP('Données projet'!$B$13,Paramètres!$A$1:$I$89,3,0)*0.475*44/12</f>
        <v>0.19123295147855357</v>
      </c>
      <c r="DI129" s="22">
        <f t="shared" si="69"/>
        <v>51.807408685354929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3.3249999999999886</v>
      </c>
      <c r="DO129" s="12">
        <f>IF('Données projet'!$A$166&gt;35,DO128+DN129-DW128,IF(A129&lt;'Données projet'!$A$166,$DL$205^A129,IF(A129='Données projet'!$A$166,'Données projet'!$B$166,DO128+DN129-DW128)))</f>
        <v>148.15500000000026</v>
      </c>
      <c r="DP129" s="17">
        <f>DO129*VLOOKUP('Données projet'!$B$14,Paramètres!$A$1:$I$89,3,0)*VLOOKUP('Données projet'!$B$14,Paramètres!$A$1:$I$89,5,0)</f>
        <v>143.29551600000025</v>
      </c>
      <c r="DQ129" s="13">
        <f t="shared" si="97"/>
        <v>37.050936597269072</v>
      </c>
      <c r="DR129" s="20">
        <f t="shared" si="70"/>
        <v>314.10340494024405</v>
      </c>
      <c r="DS129" s="59">
        <f t="shared" si="71"/>
        <v>597.33044012066625</v>
      </c>
      <c r="DT129" s="59">
        <f ca="1">AVERAGE(OFFSET($DS$3,0,0,'Données projet'!$E$14+1,1))-AVERAGE(OFFSET($H$3,0,0,'Données projet'!$E$14+1,1))</f>
        <v>493.03862850474161</v>
      </c>
      <c r="DU129" s="59">
        <f t="shared" si="98"/>
        <v>312.51819065560528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95.746509044734481</v>
      </c>
      <c r="EB129" s="21">
        <f>EXP(-LN(2)/25)*EB128+(1-EXP(-LN(2)/25))/(LN(2)/25)*Calculateur!DW129*Calculateur!DY129*VLOOKUP('Données projet'!$B$14,Paramètres!$A$1:$I$89,3,0)*0.475*44/12</f>
        <v>24.14769312215973</v>
      </c>
      <c r="EC129" s="21">
        <f>EXP(-LN(2)/2)*EC128+(1-EXP(-LN(2)/2))/(LN(2)/2)*DW129*DZ129*VLOOKUP('Données projet'!$B$14,Paramètres!$A$1:$I$89,3,0)*0.475*44/12</f>
        <v>5.5657975072062875</v>
      </c>
      <c r="ED129" s="22">
        <f t="shared" si="72"/>
        <v>125.4599996741005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3.3249999999999886</v>
      </c>
      <c r="EJ129" s="12">
        <f>IF('Données projet'!$A$192&gt;35,EJ128+EI129-ER128,IF(A129&lt;'Données projet'!$A$192,$EG$205^A129,IF(A129='Données projet'!$A$192,'Données projet'!$B$192,EJ128+EI129-ER128)))</f>
        <v>148.15500000000026</v>
      </c>
      <c r="EK129" s="17">
        <f>EJ129*VLOOKUP('Données projet'!$B$15,Paramètres!$A$1:$I$89,3,0)*VLOOKUP('Données projet'!$B$15,Paramètres!$A$1:$I$89,5,0)</f>
        <v>159.47404200000028</v>
      </c>
      <c r="EL129" s="13">
        <f t="shared" si="99"/>
        <v>40.723861387649414</v>
      </c>
      <c r="EM129" s="20">
        <f t="shared" si="73"/>
        <v>348.67801506682321</v>
      </c>
      <c r="EN129" s="59">
        <f t="shared" si="74"/>
        <v>631.90505024724541</v>
      </c>
      <c r="EO129" s="59">
        <f ca="1">AVERAGE(OFFSET($EN$3,0,0,'Données projet'!$E$15+1,1))-AVERAGE(OFFSET($H$3,0,0,'Données projet'!$E$15+1,1))</f>
        <v>539.72194201710272</v>
      </c>
      <c r="EP129" s="59">
        <f t="shared" si="100"/>
        <v>340.76505385159362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106.5565987755916</v>
      </c>
      <c r="EW129" s="21">
        <f>EXP(-LN(2)/25)*EW128+(1-EXP(-LN(2)/25))/(LN(2)/25)*Calculateur!ER129*Calculateur!ET129*VLOOKUP('Données projet'!$B$15,Paramètres!$A$1:$I$89,3,0)*0.475*44/12</f>
        <v>26.874045571435833</v>
      </c>
      <c r="EX129" s="21">
        <f>EXP(-LN(2)/2)*EX128+(1-EXP(-LN(2)/2))/(LN(2)/2)*ER129*EU129*VLOOKUP('Données projet'!$B$15,Paramètres!$A$1:$I$89,3,0)*0.475*44/12</f>
        <v>6.1941939999553828</v>
      </c>
      <c r="EY129" s="22">
        <f t="shared" si="75"/>
        <v>139.62483834698281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>
        <f>FE129*VLOOKUP('Données projet'!$B$16,Paramètres!$A$1:$I$89,3,0)*VLOOKUP('Données projet'!$B$16,Paramètres!$A$1:$I$89,5,0)</f>
        <v>0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383.47860767209028</v>
      </c>
      <c r="FK129" s="59">
        <f t="shared" si="102"/>
        <v>370.49129421395628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21.313141368749871</v>
      </c>
      <c r="FR129" s="21">
        <f>EXP(-LN(2)/25)*FR128+(1-EXP(-LN(2)/25))/(LN(2)/25)*Calculateur!FM129*Calculateur!FO129*VLOOKUP('Données projet'!$B$16,Paramètres!$A$1:$I$89,3,0)*0.475*44/12</f>
        <v>14.616935469442065</v>
      </c>
      <c r="FS129" s="21">
        <f>EXP(-LN(2)/2)*FS128+(1-EXP(-LN(2)/2))/(LN(2)/2)*FM129*FP129*VLOOKUP('Données projet'!$B$16,Paramètres!$A$1:$I$89,3,0)*0.475*44/12</f>
        <v>7.5871072624918721E-6</v>
      </c>
      <c r="FT129" s="22">
        <f t="shared" si="78"/>
        <v>35.930084425299199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7.1129999999999995</v>
      </c>
      <c r="FZ129" s="12">
        <f>IF('Données projet'!$A$244&gt;35,FZ128+FY129-GH128,IF(A129&lt;'Données projet'!$A$244,$FW$205^A129,IF(A129='Données projet'!$A$244,'Données projet'!$B$244,FZ128+FY129-GH128)))</f>
        <v>297.89200000000005</v>
      </c>
      <c r="GA129" s="17">
        <f>FZ129*VLOOKUP('Données projet'!$B$17,Paramètres!$A$1:$I$89,3,0)*VLOOKUP('Données projet'!$B$17,Paramètres!$A$1:$I$89,5,0)</f>
        <v>339.23940960000004</v>
      </c>
      <c r="GB129" s="13">
        <f t="shared" si="103"/>
        <v>79.342783153306911</v>
      </c>
      <c r="GC129" s="20">
        <f t="shared" si="79"/>
        <v>729.03065237867622</v>
      </c>
      <c r="GD129" s="59">
        <f t="shared" si="80"/>
        <v>1012.2576875590985</v>
      </c>
      <c r="GE129" s="59">
        <f ca="1">AVERAGE(OFFSET($GD$3,0,0,'Données projet'!$E$17+1,1))-AVERAGE(OFFSET($H$3,0,0,'Données projet'!$E$17+1,1))</f>
        <v>640.05156427113661</v>
      </c>
      <c r="GF129" s="59">
        <f t="shared" si="104"/>
        <v>308.77220155372902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26.497271392976899</v>
      </c>
      <c r="GM129" s="21">
        <f>EXP(-LN(2)/25)*GM128+(1-EXP(-LN(2)/25))/(LN(2)/25)*Calculateur!GH129*Calculateur!GJ129*VLOOKUP('Données projet'!$B$17,Paramètres!$A$1:$I$89,3,0)*0.475*44/12</f>
        <v>25.682541096694624</v>
      </c>
      <c r="GN129" s="21">
        <f>EXP(-LN(2)/2)*GN128+(1-EXP(-LN(2)/2))/(LN(2)/2)*GH129*GK129*VLOOKUP('Données projet'!$B$17,Paramètres!$A$1:$I$89,3,0)*0.475*44/12</f>
        <v>1.2826973611237218</v>
      </c>
      <c r="GO129" s="21">
        <f t="shared" si="81"/>
        <v>53.462509850795243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4.7884896048344674E-14</v>
      </c>
      <c r="P130" s="13">
        <f t="shared" si="87"/>
        <v>7.8374629847779921E-13</v>
      </c>
      <c r="Q130" s="20">
        <f t="shared" si="107"/>
        <v>1.4484243304663672E-12</v>
      </c>
      <c r="R130" s="59">
        <f t="shared" si="55"/>
        <v>283.40235685907885</v>
      </c>
      <c r="S130" s="59">
        <f ca="1">AVERAGE(OFFSET($R$3,0,0,'Données projet'!$E$9+1,1))-AVERAGE(OFFSET($H$3,0,0,'Données projet'!$E$9+1,1))</f>
        <v>456.35333554128226</v>
      </c>
      <c r="T130" s="59">
        <f t="shared" si="88"/>
        <v>296.4517290984877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80.715327519716666</v>
      </c>
      <c r="AA130" s="21">
        <f>EXP(-LN(2)/25)*AA129+(1-EXP(-LN(2)/25))/(LN(2)/25)*Calculateur!V130*Calculateur!X130*VLOOKUP('Données projet'!$B$9,Paramètres!$A$1:$I$89,3,0)*0.475*44/12</f>
        <v>15.630746095927089</v>
      </c>
      <c r="AB130" s="21">
        <f>EXP(-LN(2)/2)*AB129+(1-EXP(-LN(2)/2))/(LN(2)/2)*V130*Y130*VLOOKUP('Données projet'!$B$9,Paramètres!$A$1:$I$89,3,0)*0.475*44/12</f>
        <v>5.1258498744212837E-3</v>
      </c>
      <c r="AC130" s="22">
        <f t="shared" si="57"/>
        <v>96.351199465518178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408.246209980743</v>
      </c>
      <c r="AO130" s="59">
        <f t="shared" si="90"/>
        <v>394.10236303013903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22.502527025182953</v>
      </c>
      <c r="AV130" s="21">
        <f>EXP(-LN(2)/25)*AV129+(1-EXP(-LN(2)/25))/(LN(2)/25)*Calculateur!AQ130*Calculateur!AS130*VLOOKUP('Données projet'!$B$10,Paramètres!$A$1:$I$89,3,0)*0.475*44/12</f>
        <v>15.310868031155788</v>
      </c>
      <c r="AW130" s="21">
        <f>EXP(-LN(2)/2)*AW129+(1-EXP(-LN(2)/2))/(LN(2)/2)*AQ130*AT130*VLOOKUP('Données projet'!$B$10,Paramètres!$A$1:$I$89,3,0)*0.475*44/12</f>
        <v>5.7775792252744343E-6</v>
      </c>
      <c r="AX130" s="21">
        <f t="shared" si="60"/>
        <v>37.813400833917967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7.1129999999999995</v>
      </c>
      <c r="BD130" s="12">
        <f>IF('Données projet'!$A$88&gt;35,BD129+BC130-BL129,IF(A130&lt;'Données projet'!$A$88,$BA$205^A130,IF(A130='Données projet'!$A$88,'Données projet'!$B$88,BD129+BC130-BL129)))</f>
        <v>305.00500000000005</v>
      </c>
      <c r="BE130" s="13">
        <f>BD130*VLOOKUP('Données projet'!$B$11,Paramètres!$A$1:$I$89,3,0)*VLOOKUP('Données projet'!$B$11,Paramètres!$A$1:$I$89,5,0)</f>
        <v>309.27507000000008</v>
      </c>
      <c r="BF130" s="13">
        <f t="shared" si="91"/>
        <v>73.117415312099666</v>
      </c>
      <c r="BG130" s="20">
        <f t="shared" si="61"/>
        <v>666.00024525190713</v>
      </c>
      <c r="BH130" s="59">
        <f t="shared" si="62"/>
        <v>949.40260211098462</v>
      </c>
      <c r="BI130" s="59">
        <f ca="1">AVERAGE(OFFSET($BH$3,0,0,'Données projet'!$E$11+1,1))-AVERAGE(OFFSET($H$3,0,0,'Données projet'!$E$11+1,1))</f>
        <v>580.02848304986492</v>
      </c>
      <c r="BJ130" s="59">
        <f t="shared" si="92"/>
        <v>281.68891895586728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23.130807453089325</v>
      </c>
      <c r="BQ130" s="21">
        <f>EXP(-LN(2)/25)*BQ129+(1-EXP(-LN(2)/25))/(LN(2)/25)*Calculateur!BL130*Calculateur!BN130*VLOOKUP('Données projet'!$B$11,Paramètres!$A$1:$I$89,3,0)*0.475*44/12</f>
        <v>22.242688943674782</v>
      </c>
      <c r="BR130" s="21">
        <f>EXP(-LN(2)/2)*BR129+(1-EXP(-LN(2)/2))/(LN(2)/2)*BL130*BO130*VLOOKUP('Données projet'!$B$11,Paramètres!$A$1:$I$89,3,0)*0.475*44/12</f>
        <v>0.8076063033827916</v>
      </c>
      <c r="BS130" s="22">
        <f t="shared" si="63"/>
        <v>46.181102700146901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4.4337866711430253E-14</v>
      </c>
      <c r="CA130" s="13">
        <f t="shared" si="93"/>
        <v>7.3222115536967035E-13</v>
      </c>
      <c r="CB130" s="20">
        <f t="shared" si="64"/>
        <v>1.3525069634579169E-12</v>
      </c>
      <c r="CC130" s="59">
        <f t="shared" si="65"/>
        <v>283.40235685907879</v>
      </c>
      <c r="CD130" s="59">
        <f ca="1">AVERAGE(OFFSET($CC$3,0,0,'Données projet'!$E$12+1,1))-AVERAGE(OFFSET($H$3,0,0,'Données projet'!$E$12+1,1))</f>
        <v>308.85018589589453</v>
      </c>
      <c r="CE130" s="59">
        <f t="shared" si="94"/>
        <v>302.59481222418219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13.633407237635026</v>
      </c>
      <c r="CL130" s="21">
        <f>EXP(-LN(2)/25)*CL129+(1-EXP(-LN(2)/25))/(LN(2)/25)*Calculateur!CG130*Calculateur!CI130*VLOOKUP('Données projet'!$B$12,Paramètres!$A$1:$I$89,3,0)*0.475*44/12</f>
        <v>8.4783597496091279</v>
      </c>
      <c r="CM130" s="21">
        <f>EXP(-LN(2)/2)*CM129+(1-EXP(-LN(2)/2))/(LN(2)/2)*CG130*CJ130*VLOOKUP('Données projet'!$B$12,Paramètres!$A$1:$I$89,3,0)*0.475*44/12</f>
        <v>1.1316690901905947E-7</v>
      </c>
      <c r="CN130" s="22">
        <f t="shared" si="66"/>
        <v>22.111767100411061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2.2737367544323206E-13</v>
      </c>
      <c r="CU130" s="17">
        <f>CT130*VLOOKUP('Données projet'!$B$13,Paramètres!$A$1:$I$89,3,0)*VLOOKUP('Données projet'!$B$13,Paramètres!$A$1:$I$89,5,0)</f>
        <v>1.5252226148732008E-13</v>
      </c>
      <c r="CV130" s="13">
        <f t="shared" si="95"/>
        <v>2.1814502464536512E-12</v>
      </c>
      <c r="CW130" s="20">
        <f t="shared" si="67"/>
        <v>4.0650021179971913E-12</v>
      </c>
      <c r="CX130" s="59">
        <f t="shared" si="68"/>
        <v>283.40235685908152</v>
      </c>
      <c r="CY130" s="59">
        <f ca="1">AVERAGE(OFFSET($CX$3,0,0,'Données projet'!$E$13+1,1))-AVERAGE(OFFSET($H$3,0,0,'Données projet'!$E$13+1,1))</f>
        <v>335.73816489539837</v>
      </c>
      <c r="CZ130" s="59">
        <f t="shared" si="96"/>
        <v>254.09787950201044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26.751492883667279</v>
      </c>
      <c r="DG130" s="21">
        <f>EXP(-LN(2)/25)*DG129+(1-EXP(-LN(2)/25))/(LN(2)/25)*Calculateur!DB130*Calculateur!DD130*VLOOKUP('Données projet'!$B$13,Paramètres!$A$1:$I$89,3,0)*0.475*44/12</f>
        <v>23.664315474919633</v>
      </c>
      <c r="DH130" s="21">
        <f>EXP(-LN(2)/2)*DH129+(1-EXP(-LN(2)/2))/(LN(2)/2)*DB130*DE130*VLOOKUP('Données projet'!$B$13,Paramètres!$A$1:$I$89,3,0)*0.475*44/12</f>
        <v>0.13522211677680324</v>
      </c>
      <c r="DI130" s="22">
        <f t="shared" si="69"/>
        <v>50.551030475363717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>
        <f>VLOOKUP(A130,'Données projet'!$A$165:$I$185,2,0)</f>
        <v>151.47999999999999</v>
      </c>
      <c r="DM130" s="12">
        <f>VLOOKUP(A130,'Données projet'!$A$165:$I$185,9,0)</f>
        <v>3.3249999999999886</v>
      </c>
      <c r="DN130" s="12">
        <f t="array" ref="DN130">INDEX(DM:DM,MIN(IF(ISNUMBER(DM130:DM326),ROW(DM130:DM326),"")))</f>
        <v>3.3249999999999886</v>
      </c>
      <c r="DO130" s="12">
        <f>IF('Données projet'!$A$166&gt;35,DO129+DN130-DW129,IF(A130&lt;'Données projet'!$A$166,$DL$205^A130,IF(A130='Données projet'!$A$166,'Données projet'!$B$166,DO129+DN130-DW129)))</f>
        <v>151.48000000000025</v>
      </c>
      <c r="DP130" s="17">
        <f>DO130*VLOOKUP('Données projet'!$B$14,Paramètres!$A$1:$I$89,3,0)*VLOOKUP('Données projet'!$B$14,Paramètres!$A$1:$I$89,5,0)</f>
        <v>146.51145600000024</v>
      </c>
      <c r="DQ130" s="13">
        <f t="shared" si="97"/>
        <v>37.784718998578704</v>
      </c>
      <c r="DR130" s="20">
        <f t="shared" si="70"/>
        <v>320.98250478919164</v>
      </c>
      <c r="DS130" s="59">
        <f t="shared" si="71"/>
        <v>604.38486164826907</v>
      </c>
      <c r="DT130" s="59">
        <f ca="1">AVERAGE(OFFSET($DS$3,0,0,'Données projet'!$E$14+1,1))-AVERAGE(OFFSET($H$3,0,0,'Données projet'!$E$14+1,1))</f>
        <v>493.03862850474161</v>
      </c>
      <c r="DU130" s="59">
        <f t="shared" si="98"/>
        <v>312.51819065560528</v>
      </c>
      <c r="DV130" s="15">
        <f>IF(ISNA(VLOOKUP(A130,'Données projet'!$A$165:$I$185,3,0)),0,VLOOKUP(A130,'Données projet'!$A$165:$I$185,3,0))</f>
        <v>13</v>
      </c>
      <c r="DW130" s="15">
        <f>IF(ISNA(VLOOKUP(A130,'Données projet'!$A$165:$I$185,4,0)),0,VLOOKUP(A130,'Données projet'!$A$165:$I$185,4,0))</f>
        <v>46.039999999999992</v>
      </c>
      <c r="DX130" s="16">
        <f>IF(ISNA(VLOOKUP(A130,'Données projet'!$A$165:$I$185,5,0)),0%,VLOOKUP(A130,'Données projet'!$A$165:$I$185,5,0)*VLOOKUP('Données projet'!$B$14,Paramètres!$A$1:$I$89,7,0))</f>
        <v>0.19350000000000001</v>
      </c>
      <c r="DY130" s="16">
        <f>IF(ISNA(VLOOKUP(A130,'Données projet'!$A$165:$I$185,6,0)),0%,VLOOKUP(A130,'Données projet'!$A$165:$I$185,6,0)*VLOOKUP('Données projet'!$B$14,Paramètres!$A$1:$I$89,7,0))</f>
        <v>2.1500000000000002E-2</v>
      </c>
      <c r="DZ130" s="16">
        <f>IF(ISNA(VLOOKUP(A130,'Données projet'!$A$165:$I$185,7,0)),0%,VLOOKUP(A130,'Données projet'!$A$165:$I$185,7,0))</f>
        <v>0.05</v>
      </c>
      <c r="EA130" s="21">
        <f>EXP(-LN(2)/35)*EA129+(1-EXP(-LN(2)/35))/(LN(2)/35)*DW130*DX130*VLOOKUP('Données projet'!$B$14,Paramètres!$A$1:$I$89,3,0)*0.475*44/12</f>
        <v>103.39430077033374</v>
      </c>
      <c r="EB130" s="21">
        <f>EXP(-LN(2)/25)*EB129+(1-EXP(-LN(2)/25))/(LN(2)/25)*Calculateur!DW130*Calculateur!DY130*VLOOKUP('Données projet'!$B$14,Paramètres!$A$1:$I$89,3,0)*0.475*44/12</f>
        <v>24.541575133280713</v>
      </c>
      <c r="EC130" s="21">
        <f>EXP(-LN(2)/2)*EC129+(1-EXP(-LN(2)/2))/(LN(2)/2)*DW130*DZ130*VLOOKUP('Données projet'!$B$14,Paramètres!$A$1:$I$89,3,0)*0.475*44/12</f>
        <v>6.0363705516749233</v>
      </c>
      <c r="ED130" s="22">
        <f t="shared" si="72"/>
        <v>133.97224645528939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>
        <f>VLOOKUP(A130,'Données projet'!$A$191:$I$211,2,0)</f>
        <v>151.47999999999999</v>
      </c>
      <c r="EH130" s="12">
        <f>VLOOKUP(A130,'Données projet'!$A$191:$I$211,9,0)</f>
        <v>3.3249999999999886</v>
      </c>
      <c r="EI130" s="12">
        <f t="array" ref="EI130">INDEX(EH:EH,MIN(IF(ISNUMBER(EH130:EH326),ROW(EH130:EH326),"")))</f>
        <v>3.3249999999999886</v>
      </c>
      <c r="EJ130" s="12">
        <f>IF('Données projet'!$A$192&gt;35,EJ129+EI130-ER129,IF(A130&lt;'Données projet'!$A$192,$EG$205^A130,IF(A130='Données projet'!$A$192,'Données projet'!$B$192,EJ129+EI130-ER129)))</f>
        <v>151.48000000000025</v>
      </c>
      <c r="EK130" s="17">
        <f>EJ130*VLOOKUP('Données projet'!$B$15,Paramètres!$A$1:$I$89,3,0)*VLOOKUP('Données projet'!$B$15,Paramètres!$A$1:$I$89,5,0)</f>
        <v>163.05307200000027</v>
      </c>
      <c r="EL130" s="13">
        <f t="shared" si="99"/>
        <v>41.530384934528691</v>
      </c>
      <c r="EM130" s="20">
        <f t="shared" si="73"/>
        <v>356.31618749430459</v>
      </c>
      <c r="EN130" s="59">
        <f t="shared" si="74"/>
        <v>639.71854435338196</v>
      </c>
      <c r="EO130" s="59">
        <f ca="1">AVERAGE(OFFSET($EN$3,0,0,'Données projet'!$E$15+1,1))-AVERAGE(OFFSET($H$3,0,0,'Données projet'!$E$15+1,1))</f>
        <v>539.72194201710272</v>
      </c>
      <c r="EP130" s="59">
        <f t="shared" si="100"/>
        <v>340.76505385159362</v>
      </c>
      <c r="EQ130" s="15">
        <f>IF(ISNA(VLOOKUP(A130,'Données projet'!$A$191:$I$211,3,0)),0,VLOOKUP(A130,'Données projet'!$A$191:$I$211,3,0))</f>
        <v>13</v>
      </c>
      <c r="ER130" s="15">
        <f>IF(ISNA(VLOOKUP(A130,'Données projet'!$A$191:$I$211,4,0)),0,VLOOKUP(A130,'Données projet'!$A$191:$I$211,4,0))</f>
        <v>46.039999999999992</v>
      </c>
      <c r="ES130" s="16">
        <f>IF(ISNA(VLOOKUP(A130,'Données projet'!$A$191:$I$211,5,0)),0%,VLOOKUP(A130,'Données projet'!$A$191:$I$211,5,0)*VLOOKUP('Données projet'!$B$15,Paramètres!$A$1:$I$89,7,0))</f>
        <v>0.19350000000000001</v>
      </c>
      <c r="ET130" s="16">
        <f>IF(ISNA(VLOOKUP(A130,'Données projet'!$A$191:$I$211,6,0)),0%,VLOOKUP(A130,'Données projet'!$A$191:$I$211,6,0)*VLOOKUP('Données projet'!$B$15,Paramètres!$A$1:$I$89,7,0))</f>
        <v>2.1500000000000002E-2</v>
      </c>
      <c r="EU130" s="16">
        <f>IF(ISNA(VLOOKUP(A130,'Données projet'!$A$191:$I$211,7,0)),0%,VLOOKUP(A130,'Données projet'!$A$191:$I$211,7,0))</f>
        <v>0.05</v>
      </c>
      <c r="EV130" s="21">
        <f>EXP(-LN(2)/35)*EV129+(1-EXP(-LN(2)/35))/(LN(2)/35)*ER130*ES130*VLOOKUP('Données projet'!$B$15,Paramètres!$A$1:$I$89,3,0)*0.475*44/12</f>
        <v>115.06785085730691</v>
      </c>
      <c r="EW130" s="21">
        <f>EXP(-LN(2)/25)*EW129+(1-EXP(-LN(2)/25))/(LN(2)/25)*Calculateur!ER130*Calculateur!ET130*VLOOKUP('Données projet'!$B$15,Paramètres!$A$1:$I$89,3,0)*0.475*44/12</f>
        <v>27.312398132199505</v>
      </c>
      <c r="EX130" s="21">
        <f>EXP(-LN(2)/2)*EX129+(1-EXP(-LN(2)/2))/(LN(2)/2)*ER130*EU130*VLOOKUP('Données projet'!$B$15,Paramètres!$A$1:$I$89,3,0)*0.475*44/12</f>
        <v>6.7178962591220905</v>
      </c>
      <c r="EY130" s="22">
        <f t="shared" si="75"/>
        <v>149.0981452486285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>
        <f>FE130*VLOOKUP('Données projet'!$B$16,Paramètres!$A$1:$I$89,3,0)*VLOOKUP('Données projet'!$B$16,Paramètres!$A$1:$I$89,5,0)</f>
        <v>0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383.47860767209028</v>
      </c>
      <c r="FK130" s="59">
        <f t="shared" si="102"/>
        <v>370.49129421395628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20.895203666241304</v>
      </c>
      <c r="FR130" s="21">
        <f>EXP(-LN(2)/25)*FR129+(1-EXP(-LN(2)/25))/(LN(2)/25)*Calculateur!FM130*Calculateur!FO130*VLOOKUP('Données projet'!$B$16,Paramètres!$A$1:$I$89,3,0)*0.475*44/12</f>
        <v>14.217234600358942</v>
      </c>
      <c r="FS130" s="21">
        <f>EXP(-LN(2)/2)*FS129+(1-EXP(-LN(2)/2))/(LN(2)/2)*FM130*FP130*VLOOKUP('Données projet'!$B$16,Paramètres!$A$1:$I$89,3,0)*0.475*44/12</f>
        <v>5.3648949948977062E-6</v>
      </c>
      <c r="FT130" s="22">
        <f t="shared" si="78"/>
        <v>35.112443631495246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7.1129999999999995</v>
      </c>
      <c r="FZ130" s="12">
        <f>IF('Données projet'!$A$244&gt;35,FZ129+FY130-GH129,IF(A130&lt;'Données projet'!$A$244,$FW$205^A130,IF(A130='Données projet'!$A$244,'Données projet'!$B$244,FZ129+FY130-GH129)))</f>
        <v>305.00500000000005</v>
      </c>
      <c r="GA130" s="17">
        <f>FZ130*VLOOKUP('Données projet'!$B$17,Paramètres!$A$1:$I$89,3,0)*VLOOKUP('Données projet'!$B$17,Paramètres!$A$1:$I$89,5,0)</f>
        <v>347.33969400000007</v>
      </c>
      <c r="GB130" s="13">
        <f t="shared" si="103"/>
        <v>81.014483591844552</v>
      </c>
      <c r="GC130" s="20">
        <f t="shared" si="79"/>
        <v>746.05019263912936</v>
      </c>
      <c r="GD130" s="59">
        <f t="shared" si="80"/>
        <v>1029.4525494982067</v>
      </c>
      <c r="GE130" s="59">
        <f ca="1">AVERAGE(OFFSET($GD$3,0,0,'Données projet'!$E$17+1,1))-AVERAGE(OFFSET($H$3,0,0,'Données projet'!$E$17+1,1))</f>
        <v>640.05156427113661</v>
      </c>
      <c r="GF130" s="59">
        <f t="shared" si="104"/>
        <v>308.77220155372902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25.977676062700333</v>
      </c>
      <c r="GM130" s="21">
        <f>EXP(-LN(2)/25)*GM129+(1-EXP(-LN(2)/25))/(LN(2)/25)*Calculateur!GH130*Calculateur!GJ130*VLOOKUP('Données projet'!$B$17,Paramètres!$A$1:$I$89,3,0)*0.475*44/12</f>
        <v>24.980250659819372</v>
      </c>
      <c r="GN130" s="21">
        <f>EXP(-LN(2)/2)*GN129+(1-EXP(-LN(2)/2))/(LN(2)/2)*GH130*GK130*VLOOKUP('Données projet'!$B$17,Paramètres!$A$1:$I$89,3,0)*0.475*44/12</f>
        <v>0.90700400226067357</v>
      </c>
      <c r="GO130" s="21">
        <f t="shared" si="81"/>
        <v>51.864930724780372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4.7884896048344674E-14</v>
      </c>
      <c r="P131" s="13">
        <f t="shared" si="87"/>
        <v>7.8374629847779921E-13</v>
      </c>
      <c r="Q131" s="20">
        <f t="shared" ref="Q131:Q153" si="108">(O131+P131)*0.475*44/12</f>
        <v>1.4484243304663672E-12</v>
      </c>
      <c r="R131" s="59">
        <f t="shared" ref="R131:R194" si="109">Q131+(I131+J131)*44/12</f>
        <v>283.57463709856995</v>
      </c>
      <c r="S131" s="59">
        <f ca="1">AVERAGE(OFFSET($R$3,0,0,'Données projet'!$E$9+1,1))-AVERAGE(OFFSET($H$3,0,0,'Données projet'!$E$9+1,1))</f>
        <v>456.35333554128226</v>
      </c>
      <c r="T131" s="59">
        <f t="shared" si="88"/>
        <v>296.4517290984877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79.132549178543599</v>
      </c>
      <c r="AA131" s="21">
        <f>EXP(-LN(2)/25)*AA130+(1-EXP(-LN(2)/25))/(LN(2)/25)*Calculateur!V131*Calculateur!X131*VLOOKUP('Données projet'!$B$9,Paramètres!$A$1:$I$89,3,0)*0.475*44/12</f>
        <v>15.203322521948749</v>
      </c>
      <c r="AB131" s="21">
        <f>EXP(-LN(2)/2)*AB130+(1-EXP(-LN(2)/2))/(LN(2)/2)*V131*Y131*VLOOKUP('Données projet'!$B$9,Paramètres!$A$1:$I$89,3,0)*0.475*44/12</f>
        <v>3.6245232055475028E-3</v>
      </c>
      <c r="AC131" s="22">
        <f t="shared" si="57"/>
        <v>94.339496223697893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408.246209980743</v>
      </c>
      <c r="AO131" s="59">
        <f t="shared" si="90"/>
        <v>394.10236303013903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22.061266195405352</v>
      </c>
      <c r="AV131" s="21">
        <f>EXP(-LN(2)/25)*AV130+(1-EXP(-LN(2)/25))/(LN(2)/25)*Calculateur!AQ131*Calculateur!AS131*VLOOKUP('Données projet'!$B$10,Paramètres!$A$1:$I$89,3,0)*0.475*44/12</f>
        <v>14.892191539680278</v>
      </c>
      <c r="AW131" s="21">
        <f>EXP(-LN(2)/2)*AW130+(1-EXP(-LN(2)/2))/(LN(2)/2)*AQ131*AT131*VLOOKUP('Données projet'!$B$10,Paramètres!$A$1:$I$89,3,0)*0.475*44/12</f>
        <v>4.0853654490340721E-6</v>
      </c>
      <c r="AX131" s="21">
        <f t="shared" si="60"/>
        <v>36.953461820451075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7.1129999999999995</v>
      </c>
      <c r="BD131" s="12">
        <f>IF('Données projet'!$A$88&gt;35,BD130+BC131-BL130,IF(A131&lt;'Données projet'!$A$88,$BA$205^A131,IF(A131='Données projet'!$A$88,'Données projet'!$B$88,BD130+BC131-BL130)))</f>
        <v>312.11800000000005</v>
      </c>
      <c r="BE131" s="13">
        <f>BD131*VLOOKUP('Données projet'!$B$11,Paramètres!$A$1:$I$89,3,0)*VLOOKUP('Données projet'!$B$11,Paramètres!$A$1:$I$89,5,0)</f>
        <v>316.48765200000008</v>
      </c>
      <c r="BF131" s="13">
        <f t="shared" si="91"/>
        <v>74.622072586992616</v>
      </c>
      <c r="BG131" s="20">
        <f t="shared" si="61"/>
        <v>681.18277032234562</v>
      </c>
      <c r="BH131" s="59">
        <f t="shared" si="62"/>
        <v>964.75740742091421</v>
      </c>
      <c r="BI131" s="59">
        <f ca="1">AVERAGE(OFFSET($BH$3,0,0,'Données projet'!$E$11+1,1))-AVERAGE(OFFSET($H$3,0,0,'Données projet'!$E$11+1,1))</f>
        <v>580.02848304986492</v>
      </c>
      <c r="BJ131" s="59">
        <f t="shared" si="92"/>
        <v>281.68891895586728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22.6772264273337</v>
      </c>
      <c r="BQ131" s="21">
        <f>EXP(-LN(2)/25)*BQ130+(1-EXP(-LN(2)/25))/(LN(2)/25)*Calculateur!BL131*Calculateur!BN131*VLOOKUP('Données projet'!$B$11,Paramètres!$A$1:$I$89,3,0)*0.475*44/12</f>
        <v>21.63446144481782</v>
      </c>
      <c r="BR131" s="21">
        <f>EXP(-LN(2)/2)*BR130+(1-EXP(-LN(2)/2))/(LN(2)/2)*BL131*BO131*VLOOKUP('Données projet'!$B$11,Paramètres!$A$1:$I$89,3,0)*0.475*44/12</f>
        <v>0.57106389365097221</v>
      </c>
      <c r="BS131" s="22">
        <f t="shared" si="63"/>
        <v>44.882751765802496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4.4337866711430253E-14</v>
      </c>
      <c r="CA131" s="13">
        <f t="shared" si="93"/>
        <v>7.3222115536967035E-13</v>
      </c>
      <c r="CB131" s="20">
        <f t="shared" si="64"/>
        <v>1.3525069634579169E-12</v>
      </c>
      <c r="CC131" s="59">
        <f t="shared" si="65"/>
        <v>283.57463709856989</v>
      </c>
      <c r="CD131" s="59">
        <f ca="1">AVERAGE(OFFSET($CC$3,0,0,'Données projet'!$E$12+1,1))-AVERAGE(OFFSET($H$3,0,0,'Données projet'!$E$12+1,1))</f>
        <v>308.85018589589453</v>
      </c>
      <c r="CE131" s="59">
        <f t="shared" si="94"/>
        <v>302.59481222418219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13.366064437262326</v>
      </c>
      <c r="CL131" s="21">
        <f>EXP(-LN(2)/25)*CL130+(1-EXP(-LN(2)/25))/(LN(2)/25)*Calculateur!CG131*Calculateur!CI131*VLOOKUP('Données projet'!$B$12,Paramètres!$A$1:$I$89,3,0)*0.475*44/12</f>
        <v>8.2465185563985042</v>
      </c>
      <c r="CM131" s="21">
        <f>EXP(-LN(2)/2)*CM130+(1-EXP(-LN(2)/2))/(LN(2)/2)*CG131*CJ131*VLOOKUP('Données projet'!$B$12,Paramètres!$A$1:$I$89,3,0)*0.475*44/12</f>
        <v>8.0021088773298015E-8</v>
      </c>
      <c r="CN131" s="22">
        <f t="shared" si="66"/>
        <v>21.612583073681918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2.2737367544323206E-13</v>
      </c>
      <c r="CU131" s="17">
        <f>CT131*VLOOKUP('Données projet'!$B$13,Paramètres!$A$1:$I$89,3,0)*VLOOKUP('Données projet'!$B$13,Paramètres!$A$1:$I$89,5,0)</f>
        <v>1.5252226148732008E-13</v>
      </c>
      <c r="CV131" s="13">
        <f t="shared" si="95"/>
        <v>2.1814502464536512E-12</v>
      </c>
      <c r="CW131" s="20">
        <f t="shared" si="67"/>
        <v>4.0650021179971913E-12</v>
      </c>
      <c r="CX131" s="59">
        <f t="shared" si="68"/>
        <v>283.57463709857262</v>
      </c>
      <c r="CY131" s="59">
        <f ca="1">AVERAGE(OFFSET($CX$3,0,0,'Données projet'!$E$13+1,1))-AVERAGE(OFFSET($H$3,0,0,'Données projet'!$E$13+1,1))</f>
        <v>335.73816489539837</v>
      </c>
      <c r="CZ131" s="59">
        <f t="shared" si="96"/>
        <v>254.09787950201044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26.226912425018071</v>
      </c>
      <c r="DG131" s="21">
        <f>EXP(-LN(2)/25)*DG130+(1-EXP(-LN(2)/25))/(LN(2)/25)*Calculateur!DB131*Calculateur!DD131*VLOOKUP('Données projet'!$B$13,Paramètres!$A$1:$I$89,3,0)*0.475*44/12</f>
        <v>23.01721352380569</v>
      </c>
      <c r="DH131" s="21">
        <f>EXP(-LN(2)/2)*DH130+(1-EXP(-LN(2)/2))/(LN(2)/2)*DB131*DE131*VLOOKUP('Données projet'!$B$13,Paramètres!$A$1:$I$89,3,0)*0.475*44/12</f>
        <v>9.5616475739276785E-2</v>
      </c>
      <c r="DI131" s="22">
        <f t="shared" si="69"/>
        <v>49.339742424563042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2.4366666666666674</v>
      </c>
      <c r="DO131" s="12">
        <f>IF('Données projet'!$A$166&gt;35,DO130+DN131-DW130,IF(A131&lt;'Données projet'!$A$166,$DL$205^A131,IF(A131='Données projet'!$A$166,'Données projet'!$B$166,DO130+DN131-DW130)))</f>
        <v>107.87666666666692</v>
      </c>
      <c r="DP131" s="17">
        <f>DO131*VLOOKUP('Données projet'!$B$14,Paramètres!$A$1:$I$89,3,0)*VLOOKUP('Données projet'!$B$14,Paramètres!$A$1:$I$89,5,0)</f>
        <v>104.33831200000024</v>
      </c>
      <c r="DQ131" s="13">
        <f t="shared" si="97"/>
        <v>27.992972156605035</v>
      </c>
      <c r="DR131" s="20">
        <f t="shared" si="70"/>
        <v>230.47698657275419</v>
      </c>
      <c r="DS131" s="59">
        <f t="shared" si="71"/>
        <v>514.05162367132266</v>
      </c>
      <c r="DT131" s="59">
        <f ca="1">AVERAGE(OFFSET($DS$3,0,0,'Données projet'!$E$14+1,1))-AVERAGE(OFFSET($H$3,0,0,'Données projet'!$E$14+1,1))</f>
        <v>493.03862850474161</v>
      </c>
      <c r="DU131" s="59">
        <f t="shared" si="98"/>
        <v>312.51819065560528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101.36680159652389</v>
      </c>
      <c r="EB131" s="21">
        <f>EXP(-LN(2)/25)*EB130+(1-EXP(-LN(2)/25))/(LN(2)/25)*Calculateur!DW131*Calculateur!DY131*VLOOKUP('Données projet'!$B$14,Paramètres!$A$1:$I$89,3,0)*0.475*44/12</f>
        <v>23.870484470675805</v>
      </c>
      <c r="EC131" s="21">
        <f>EXP(-LN(2)/2)*EC130+(1-EXP(-LN(2)/2))/(LN(2)/2)*DW131*DZ131*VLOOKUP('Données projet'!$B$14,Paramètres!$A$1:$I$89,3,0)*0.475*44/12</f>
        <v>4.2683585508441197</v>
      </c>
      <c r="ED131" s="22">
        <f t="shared" si="72"/>
        <v>129.50564461804382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2.4366666666666674</v>
      </c>
      <c r="EJ131" s="12">
        <f>IF('Données projet'!$A$192&gt;35,EJ130+EI131-ER130,IF(A131&lt;'Données projet'!$A$192,$EG$205^A131,IF(A131='Données projet'!$A$192,'Données projet'!$B$192,EJ130+EI131-ER130)))</f>
        <v>107.87666666666692</v>
      </c>
      <c r="EK131" s="17">
        <f>EJ131*VLOOKUP('Données projet'!$B$15,Paramètres!$A$1:$I$89,3,0)*VLOOKUP('Données projet'!$B$15,Paramètres!$A$1:$I$89,5,0)</f>
        <v>116.11844400000027</v>
      </c>
      <c r="EL131" s="13">
        <f t="shared" si="99"/>
        <v>30.767964932307216</v>
      </c>
      <c r="EM131" s="20">
        <f t="shared" si="73"/>
        <v>255.82716222376891</v>
      </c>
      <c r="EN131" s="59">
        <f t="shared" si="74"/>
        <v>539.40179932233741</v>
      </c>
      <c r="EO131" s="59">
        <f ca="1">AVERAGE(OFFSET($EN$3,0,0,'Données projet'!$E$15+1,1))-AVERAGE(OFFSET($H$3,0,0,'Données projet'!$E$15+1,1))</f>
        <v>539.72194201710272</v>
      </c>
      <c r="EP131" s="59">
        <f t="shared" si="100"/>
        <v>340.76505385159362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112.811440486454</v>
      </c>
      <c r="EW131" s="21">
        <f>EXP(-LN(2)/25)*EW130+(1-EXP(-LN(2)/25))/(LN(2)/25)*Calculateur!ER131*Calculateur!ET131*VLOOKUP('Données projet'!$B$15,Paramètres!$A$1:$I$89,3,0)*0.475*44/12</f>
        <v>26.565539168977914</v>
      </c>
      <c r="EX131" s="21">
        <f>EXP(-LN(2)/2)*EX130+(1-EXP(-LN(2)/2))/(LN(2)/2)*ER131*EU131*VLOOKUP('Données projet'!$B$15,Paramètres!$A$1:$I$89,3,0)*0.475*44/12</f>
        <v>4.7502700001329705</v>
      </c>
      <c r="EY131" s="22">
        <f t="shared" si="75"/>
        <v>144.12724965556487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>
        <f>FE131*VLOOKUP('Données projet'!$B$16,Paramètres!$A$1:$I$89,3,0)*VLOOKUP('Données projet'!$B$16,Paramètres!$A$1:$I$89,5,0)</f>
        <v>0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383.47860767209028</v>
      </c>
      <c r="FK131" s="59">
        <f t="shared" si="102"/>
        <v>370.49129421395628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20.485461467162104</v>
      </c>
      <c r="FR131" s="21">
        <f>EXP(-LN(2)/25)*FR130+(1-EXP(-LN(2)/25))/(LN(2)/25)*Calculateur!FM131*Calculateur!FO131*VLOOKUP('Données projet'!$B$16,Paramètres!$A$1:$I$89,3,0)*0.475*44/12</f>
        <v>13.828463572560253</v>
      </c>
      <c r="FS131" s="21">
        <f>EXP(-LN(2)/2)*FS130+(1-EXP(-LN(2)/2))/(LN(2)/2)*FM131*FP131*VLOOKUP('Données projet'!$B$16,Paramètres!$A$1:$I$89,3,0)*0.475*44/12</f>
        <v>3.7935536312459365E-6</v>
      </c>
      <c r="FT131" s="22">
        <f t="shared" si="78"/>
        <v>34.313928833275988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7.1129999999999995</v>
      </c>
      <c r="FZ131" s="12">
        <f>IF('Données projet'!$A$244&gt;35,FZ130+FY131-GH130,IF(A131&lt;'Données projet'!$A$244,$FW$205^A131,IF(A131='Données projet'!$A$244,'Données projet'!$B$244,FZ130+FY131-GH130)))</f>
        <v>312.11800000000005</v>
      </c>
      <c r="GA131" s="17">
        <f>FZ131*VLOOKUP('Données projet'!$B$17,Paramètres!$A$1:$I$89,3,0)*VLOOKUP('Données projet'!$B$17,Paramètres!$A$1:$I$89,5,0)</f>
        <v>355.43997840000003</v>
      </c>
      <c r="GB131" s="13">
        <f t="shared" si="103"/>
        <v>82.681651825128526</v>
      </c>
      <c r="GC131" s="20">
        <f t="shared" si="79"/>
        <v>763.06183930876557</v>
      </c>
      <c r="GD131" s="59">
        <f t="shared" si="80"/>
        <v>1046.6364764073342</v>
      </c>
      <c r="GE131" s="59">
        <f ca="1">AVERAGE(OFFSET($GD$3,0,0,'Données projet'!$E$17+1,1))-AVERAGE(OFFSET($H$3,0,0,'Données projet'!$E$17+1,1))</f>
        <v>640.05156427113661</v>
      </c>
      <c r="GF131" s="59">
        <f t="shared" si="104"/>
        <v>308.77220155372902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25.468269679928632</v>
      </c>
      <c r="GM131" s="21">
        <f>EXP(-LN(2)/25)*GM130+(1-EXP(-LN(2)/25))/(LN(2)/25)*Calculateur!GH131*Calculateur!GJ131*VLOOKUP('Données projet'!$B$17,Paramètres!$A$1:$I$89,3,0)*0.475*44/12</f>
        <v>24.297164391872322</v>
      </c>
      <c r="GN131" s="21">
        <f>EXP(-LN(2)/2)*GN130+(1-EXP(-LN(2)/2))/(LN(2)/2)*GH131*GK131*VLOOKUP('Données projet'!$B$17,Paramètres!$A$1:$I$89,3,0)*0.475*44/12</f>
        <v>0.64134868056186101</v>
      </c>
      <c r="GO131" s="21">
        <f t="shared" si="81"/>
        <v>50.406782752362815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4.7884896048344674E-14</v>
      </c>
      <c r="P132" s="13">
        <f t="shared" si="87"/>
        <v>7.8374629847779921E-13</v>
      </c>
      <c r="Q132" s="20">
        <f t="shared" si="108"/>
        <v>1.4484243304663672E-12</v>
      </c>
      <c r="R132" s="59">
        <f t="shared" si="109"/>
        <v>283.74392866106678</v>
      </c>
      <c r="S132" s="59">
        <f ca="1">AVERAGE(OFFSET($R$3,0,0,'Données projet'!$E$9+1,1))-AVERAGE(OFFSET($H$3,0,0,'Données projet'!$E$9+1,1))</f>
        <v>456.35333554128226</v>
      </c>
      <c r="T132" s="59">
        <f t="shared" si="88"/>
        <v>296.4517290984877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77.580808155241471</v>
      </c>
      <c r="AA132" s="21">
        <f>EXP(-LN(2)/25)*AA131+(1-EXP(-LN(2)/25))/(LN(2)/25)*Calculateur!V132*Calculateur!X132*VLOOKUP('Données projet'!$B$9,Paramètres!$A$1:$I$89,3,0)*0.475*44/12</f>
        <v>14.787586868078076</v>
      </c>
      <c r="AB132" s="21">
        <f>EXP(-LN(2)/2)*AB131+(1-EXP(-LN(2)/2))/(LN(2)/2)*V132*Y132*VLOOKUP('Données projet'!$B$9,Paramètres!$A$1:$I$89,3,0)*0.475*44/12</f>
        <v>2.5629249372106418E-3</v>
      </c>
      <c r="AC132" s="22">
        <f t="shared" ref="AC132:AC153" si="111">SUM(Z132:AB132)</f>
        <v>92.370957948256759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408.246209980743</v>
      </c>
      <c r="AO132" s="59">
        <f t="shared" si="90"/>
        <v>394.10236303013903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21.62865822135716</v>
      </c>
      <c r="AV132" s="21">
        <f>EXP(-LN(2)/25)*AV131+(1-EXP(-LN(2)/25))/(LN(2)/25)*Calculateur!AQ132*Calculateur!AS132*VLOOKUP('Données projet'!$B$10,Paramètres!$A$1:$I$89,3,0)*0.475*44/12</f>
        <v>14.484963778881404</v>
      </c>
      <c r="AW132" s="21">
        <f>EXP(-LN(2)/2)*AW131+(1-EXP(-LN(2)/2))/(LN(2)/2)*AQ132*AT132*VLOOKUP('Données projet'!$B$10,Paramètres!$A$1:$I$89,3,0)*0.475*44/12</f>
        <v>2.8887896126372172E-6</v>
      </c>
      <c r="AX132" s="21">
        <f t="shared" ref="AX132:AX153" si="114">SUM(AU132:AW132)</f>
        <v>36.113624889028173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7.1129999999999995</v>
      </c>
      <c r="BD132" s="12">
        <f>IF('Données projet'!$A$88&gt;35,BD131+BC132-BL131,IF(A132&lt;'Données projet'!$A$88,$BA$205^A132,IF(A132='Données projet'!$A$88,'Données projet'!$B$88,BD131+BC132-BL131)))</f>
        <v>319.23100000000005</v>
      </c>
      <c r="BE132" s="13">
        <f>BD132*VLOOKUP('Données projet'!$B$11,Paramètres!$A$1:$I$89,3,0)*VLOOKUP('Données projet'!$B$11,Paramètres!$A$1:$I$89,5,0)</f>
        <v>323.70023400000008</v>
      </c>
      <c r="BF132" s="13">
        <f t="shared" si="91"/>
        <v>76.122743392807436</v>
      </c>
      <c r="BG132" s="20">
        <f t="shared" ref="BG132:BG153" si="115">(BE132+BF132)*0.475*44/12</f>
        <v>696.35835229247311</v>
      </c>
      <c r="BH132" s="59">
        <f t="shared" ref="BH132:BH195" si="116">BG132+(AY132+AZ132)*44/12</f>
        <v>980.10228095353841</v>
      </c>
      <c r="BI132" s="59">
        <f ca="1">AVERAGE(OFFSET($BH$3,0,0,'Données projet'!$E$11+1,1))-AVERAGE(OFFSET($H$3,0,0,'Données projet'!$E$11+1,1))</f>
        <v>580.02848304986492</v>
      </c>
      <c r="BJ132" s="59">
        <f t="shared" si="92"/>
        <v>281.68891895586728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22.232539848836037</v>
      </c>
      <c r="BQ132" s="21">
        <f>EXP(-LN(2)/25)*BQ131+(1-EXP(-LN(2)/25))/(LN(2)/25)*Calculateur!BL132*Calculateur!BN132*VLOOKUP('Données projet'!$B$11,Paramètres!$A$1:$I$89,3,0)*0.475*44/12</f>
        <v>21.042865958902397</v>
      </c>
      <c r="BR132" s="21">
        <f>EXP(-LN(2)/2)*BR131+(1-EXP(-LN(2)/2))/(LN(2)/2)*BL132*BO132*VLOOKUP('Données projet'!$B$11,Paramètres!$A$1:$I$89,3,0)*0.475*44/12</f>
        <v>0.40380315169139586</v>
      </c>
      <c r="BS132" s="22">
        <f t="shared" ref="BS132:BS153" si="117">SUM(BP132:BR132)</f>
        <v>43.679208959429836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4.4337866711430253E-14</v>
      </c>
      <c r="CA132" s="13">
        <f t="shared" si="93"/>
        <v>7.3222115536967035E-13</v>
      </c>
      <c r="CB132" s="20">
        <f t="shared" ref="CB132:CB153" si="118">(BZ132+CA132)*0.475*44/12</f>
        <v>1.3525069634579169E-12</v>
      </c>
      <c r="CC132" s="59">
        <f t="shared" ref="CC132:CC195" si="119">CB132+(BT132+BU132)*44/12</f>
        <v>283.74392866106672</v>
      </c>
      <c r="CD132" s="59">
        <f ca="1">AVERAGE(OFFSET($CC$3,0,0,'Données projet'!$E$12+1,1))-AVERAGE(OFFSET($H$3,0,0,'Données projet'!$E$12+1,1))</f>
        <v>308.85018589589453</v>
      </c>
      <c r="CE132" s="59">
        <f t="shared" si="94"/>
        <v>302.59481222418219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13.103964066141927</v>
      </c>
      <c r="CL132" s="21">
        <f>EXP(-LN(2)/25)*CL131+(1-EXP(-LN(2)/25))/(LN(2)/25)*Calculateur!CG132*Calculateur!CI132*VLOOKUP('Données projet'!$B$12,Paramètres!$A$1:$I$89,3,0)*0.475*44/12</f>
        <v>8.021017072808224</v>
      </c>
      <c r="CM132" s="21">
        <f>EXP(-LN(2)/2)*CM131+(1-EXP(-LN(2)/2))/(LN(2)/2)*CG132*CJ132*VLOOKUP('Données projet'!$B$12,Paramètres!$A$1:$I$89,3,0)*0.475*44/12</f>
        <v>5.6583454509529735E-8</v>
      </c>
      <c r="CN132" s="22">
        <f t="shared" ref="CN132:CN153" si="120">SUM(CK132:CM132)</f>
        <v>21.124981195533607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2.2737367544323206E-13</v>
      </c>
      <c r="CU132" s="17">
        <f>CT132*VLOOKUP('Données projet'!$B$13,Paramètres!$A$1:$I$89,3,0)*VLOOKUP('Données projet'!$B$13,Paramètres!$A$1:$I$89,5,0)</f>
        <v>1.5252226148732008E-13</v>
      </c>
      <c r="CV132" s="13">
        <f t="shared" si="95"/>
        <v>2.1814502464536512E-12</v>
      </c>
      <c r="CW132" s="20">
        <f t="shared" ref="CW132:CW153" si="121">(CU132+CV132)*0.475*44/12</f>
        <v>4.0650021179971913E-12</v>
      </c>
      <c r="CX132" s="59">
        <f t="shared" ref="CX132:CX195" si="122">CW132+(CO132+CP132)*44/12</f>
        <v>283.74392866106945</v>
      </c>
      <c r="CY132" s="59">
        <f ca="1">AVERAGE(OFFSET($CX$3,0,0,'Données projet'!$E$13+1,1))-AVERAGE(OFFSET($H$3,0,0,'Données projet'!$E$13+1,1))</f>
        <v>335.73816489539837</v>
      </c>
      <c r="CZ132" s="59">
        <f t="shared" si="96"/>
        <v>254.09787950201044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25.712618669200488</v>
      </c>
      <c r="DG132" s="21">
        <f>EXP(-LN(2)/25)*DG131+(1-EXP(-LN(2)/25))/(LN(2)/25)*Calculateur!DB132*Calculateur!DD132*VLOOKUP('Données projet'!$B$13,Paramètres!$A$1:$I$89,3,0)*0.475*44/12</f>
        <v>22.387806609574572</v>
      </c>
      <c r="DH132" s="21">
        <f>EXP(-LN(2)/2)*DH131+(1-EXP(-LN(2)/2))/(LN(2)/2)*DB132*DE132*VLOOKUP('Données projet'!$B$13,Paramètres!$A$1:$I$89,3,0)*0.475*44/12</f>
        <v>6.7611058388401618E-2</v>
      </c>
      <c r="DI132" s="22">
        <f t="shared" ref="DI132:DI153" si="123">SUM(DF132:DH132)</f>
        <v>48.168036337163464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2.4366666666666674</v>
      </c>
      <c r="DO132" s="12">
        <f>IF('Données projet'!$A$166&gt;35,DO131+DN132-DW131,IF(A132&lt;'Données projet'!$A$166,$DL$205^A132,IF(A132='Données projet'!$A$166,'Données projet'!$B$166,DO131+DN132-DW131)))</f>
        <v>110.31333333333359</v>
      </c>
      <c r="DP132" s="17">
        <f>DO132*VLOOKUP('Données projet'!$B$14,Paramètres!$A$1:$I$89,3,0)*VLOOKUP('Données projet'!$B$14,Paramètres!$A$1:$I$89,5,0)</f>
        <v>106.69505600000025</v>
      </c>
      <c r="DQ132" s="13">
        <f t="shared" si="97"/>
        <v>28.550936922579702</v>
      </c>
      <c r="DR132" s="20">
        <f t="shared" ref="DR132:DR153" si="124">(DP132+DQ132)*0.475*44/12</f>
        <v>235.55343767349336</v>
      </c>
      <c r="DS132" s="59">
        <f t="shared" ref="DS132:DS195" si="125">DR132+(DJ132+DK132)*44/12</f>
        <v>519.29736633455877</v>
      </c>
      <c r="DT132" s="59">
        <f ca="1">AVERAGE(OFFSET($DS$3,0,0,'Données projet'!$E$14+1,1))-AVERAGE(OFFSET($H$3,0,0,'Données projet'!$E$14+1,1))</f>
        <v>493.03862850474161</v>
      </c>
      <c r="DU132" s="59">
        <f t="shared" si="98"/>
        <v>312.51819065560528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99.379060444860059</v>
      </c>
      <c r="EB132" s="21">
        <f>EXP(-LN(2)/25)*EB131+(1-EXP(-LN(2)/25))/(LN(2)/25)*Calculateur!DW132*Calculateur!DY132*VLOOKUP('Données projet'!$B$14,Paramètres!$A$1:$I$89,3,0)*0.475*44/12</f>
        <v>23.217744817530953</v>
      </c>
      <c r="EC132" s="21">
        <f>EXP(-LN(2)/2)*EC131+(1-EXP(-LN(2)/2))/(LN(2)/2)*DW132*DZ132*VLOOKUP('Données projet'!$B$14,Paramètres!$A$1:$I$89,3,0)*0.475*44/12</f>
        <v>3.0181852758374621</v>
      </c>
      <c r="ED132" s="22">
        <f t="shared" ref="ED132:ED153" si="126">SUM(EA132:EC132)</f>
        <v>125.61499053822848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2.4366666666666674</v>
      </c>
      <c r="EJ132" s="12">
        <f>IF('Données projet'!$A$192&gt;35,EJ131+EI132-ER131,IF(A132&lt;'Données projet'!$A$192,$EG$205^A132,IF(A132='Données projet'!$A$192,'Données projet'!$B$192,EJ131+EI132-ER131)))</f>
        <v>110.31333333333359</v>
      </c>
      <c r="EK132" s="17">
        <f>EJ132*VLOOKUP('Données projet'!$B$15,Paramètres!$A$1:$I$89,3,0)*VLOOKUP('Données projet'!$B$15,Paramètres!$A$1:$I$89,5,0)</f>
        <v>118.74127200000028</v>
      </c>
      <c r="EL132" s="13">
        <f t="shared" si="99"/>
        <v>31.381241731102591</v>
      </c>
      <c r="EM132" s="20">
        <f t="shared" ref="EM132:EM153" si="127">(EK132+EL132)*0.475*44/12</f>
        <v>261.46337808167078</v>
      </c>
      <c r="EN132" s="59">
        <f t="shared" ref="EN132:EN195" si="128">EM132+(EE132+EF132)*44/12</f>
        <v>545.20730674273614</v>
      </c>
      <c r="EO132" s="59">
        <f ca="1">AVERAGE(OFFSET($EN$3,0,0,'Données projet'!$E$15+1,1))-AVERAGE(OFFSET($H$3,0,0,'Données projet'!$E$15+1,1))</f>
        <v>539.72194201710272</v>
      </c>
      <c r="EP132" s="59">
        <f t="shared" si="100"/>
        <v>340.76505385159362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110.59927694669909</v>
      </c>
      <c r="EW132" s="21">
        <f>EXP(-LN(2)/25)*EW131+(1-EXP(-LN(2)/25))/(LN(2)/25)*Calculateur!ER132*Calculateur!ET132*VLOOKUP('Données projet'!$B$15,Paramètres!$A$1:$I$89,3,0)*0.475*44/12</f>
        <v>25.839103103381223</v>
      </c>
      <c r="EX132" s="21">
        <f>EXP(-LN(2)/2)*EX131+(1-EXP(-LN(2)/2))/(LN(2)/2)*ER132*EU132*VLOOKUP('Données projet'!$B$15,Paramètres!$A$1:$I$89,3,0)*0.475*44/12</f>
        <v>3.3589481295610457</v>
      </c>
      <c r="EY132" s="22">
        <f t="shared" ref="EY132:EY153" si="129">SUM(EV132:EX132)</f>
        <v>139.79732817964137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>
        <f>FE132*VLOOKUP('Données projet'!$B$16,Paramètres!$A$1:$I$89,3,0)*VLOOKUP('Données projet'!$B$16,Paramètres!$A$1:$I$89,5,0)</f>
        <v>0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383.47860767209028</v>
      </c>
      <c r="FK132" s="59">
        <f t="shared" si="102"/>
        <v>370.49129421395628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20.083754062688779</v>
      </c>
      <c r="FR132" s="21">
        <f>EXP(-LN(2)/25)*FR131+(1-EXP(-LN(2)/25))/(LN(2)/25)*Calculateur!FM132*Calculateur!FO132*VLOOKUP('Données projet'!$B$16,Paramètres!$A$1:$I$89,3,0)*0.475*44/12</f>
        <v>13.450323508961299</v>
      </c>
      <c r="FS132" s="21">
        <f>EXP(-LN(2)/2)*FS131+(1-EXP(-LN(2)/2))/(LN(2)/2)*FM132*FP132*VLOOKUP('Données projet'!$B$16,Paramètres!$A$1:$I$89,3,0)*0.475*44/12</f>
        <v>2.6824474974488535E-6</v>
      </c>
      <c r="FT132" s="22">
        <f t="shared" ref="FT132:FT153" si="132">SUM(FQ132:FS132)</f>
        <v>33.534080254097574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7.1129999999999995</v>
      </c>
      <c r="FZ132" s="12">
        <f>IF('Données projet'!$A$244&gt;35,FZ131+FY132-GH131,IF(A132&lt;'Données projet'!$A$244,$FW$205^A132,IF(A132='Données projet'!$A$244,'Données projet'!$B$244,FZ131+FY132-GH131)))</f>
        <v>319.23100000000005</v>
      </c>
      <c r="GA132" s="17">
        <f>FZ132*VLOOKUP('Données projet'!$B$17,Paramètres!$A$1:$I$89,3,0)*VLOOKUP('Données projet'!$B$17,Paramètres!$A$1:$I$89,5,0)</f>
        <v>363.54026280000005</v>
      </c>
      <c r="GB132" s="13">
        <f t="shared" si="103"/>
        <v>84.344403029550918</v>
      </c>
      <c r="GC132" s="20">
        <f t="shared" ref="GC132:GC153" si="133">(GA132+GB132)*0.475*44/12</f>
        <v>780.06579298646784</v>
      </c>
      <c r="GD132" s="59">
        <f t="shared" ref="GD132:GD195" si="134">GC132+(FU132+FV132)*44/12</f>
        <v>1063.8097216475333</v>
      </c>
      <c r="GE132" s="59">
        <f ca="1">AVERAGE(OFFSET($GD$3,0,0,'Données projet'!$E$17+1,1))-AVERAGE(OFFSET($H$3,0,0,'Données projet'!$E$17+1,1))</f>
        <v>640.05156427113661</v>
      </c>
      <c r="GF132" s="59">
        <f t="shared" si="104"/>
        <v>308.77220155372902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24.96885244561587</v>
      </c>
      <c r="GM132" s="21">
        <f>EXP(-LN(2)/25)*GM131+(1-EXP(-LN(2)/25))/(LN(2)/25)*Calculateur!GH132*Calculateur!GJ132*VLOOKUP('Données projet'!$B$17,Paramètres!$A$1:$I$89,3,0)*0.475*44/12</f>
        <v>23.632757153844231</v>
      </c>
      <c r="GN132" s="21">
        <f>EXP(-LN(2)/2)*GN131+(1-EXP(-LN(2)/2))/(LN(2)/2)*GH132*GK132*VLOOKUP('Données projet'!$B$17,Paramètres!$A$1:$I$89,3,0)*0.475*44/12</f>
        <v>0.45350200113033684</v>
      </c>
      <c r="GO132" s="21">
        <f t="shared" ref="GO132:GO153" si="135">SUM(GL132:GN132)</f>
        <v>49.055111600590443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4.7884896048344674E-14</v>
      </c>
      <c r="P133" s="13">
        <f t="shared" ref="P133:P196" si="141">EXP(-1.0587+0.8836*LN(O133)+0.284)</f>
        <v>7.8374629847779921E-13</v>
      </c>
      <c r="Q133" s="20">
        <f t="shared" si="108"/>
        <v>1.4484243304663672E-12</v>
      </c>
      <c r="R133" s="59">
        <f t="shared" si="109"/>
        <v>283.91028339343353</v>
      </c>
      <c r="S133" s="59">
        <f ca="1">AVERAGE(OFFSET($R$3,0,0,'Données projet'!$E$9+1,1))-AVERAGE(OFFSET($H$3,0,0,'Données projet'!$E$9+1,1))</f>
        <v>456.35333554128226</v>
      </c>
      <c r="T133" s="59">
        <f t="shared" ref="T133:T196" si="142">$T$3</f>
        <v>296.4517290984877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76.059495826937734</v>
      </c>
      <c r="AA133" s="21">
        <f>EXP(-LN(2)/25)*AA132+(1-EXP(-LN(2)/25))/(LN(2)/25)*Calculateur!V133*Calculateur!X133*VLOOKUP('Données projet'!$B$9,Paramètres!$A$1:$I$89,3,0)*0.475*44/12</f>
        <v>14.383219527525085</v>
      </c>
      <c r="AB133" s="21">
        <f>EXP(-LN(2)/2)*AB132+(1-EXP(-LN(2)/2))/(LN(2)/2)*V133*Y133*VLOOKUP('Données projet'!$B$9,Paramètres!$A$1:$I$89,3,0)*0.475*44/12</f>
        <v>1.8122616027737514E-3</v>
      </c>
      <c r="AC133" s="22">
        <f t="shared" si="111"/>
        <v>90.444527616065599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408.246209980743</v>
      </c>
      <c r="AO133" s="59">
        <f t="shared" ref="AO133:AO196" si="144">$AO$3</f>
        <v>394.10236303013903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21.204533425815242</v>
      </c>
      <c r="AV133" s="21">
        <f>EXP(-LN(2)/25)*AV132+(1-EXP(-LN(2)/25))/(LN(2)/25)*Calculateur!AQ133*Calculateur!AS133*VLOOKUP('Données projet'!$B$10,Paramètres!$A$1:$I$89,3,0)*0.475*44/12</f>
        <v>14.088871682616753</v>
      </c>
      <c r="AW133" s="21">
        <f>EXP(-LN(2)/2)*AW132+(1-EXP(-LN(2)/2))/(LN(2)/2)*AQ133*AT133*VLOOKUP('Données projet'!$B$10,Paramètres!$A$1:$I$89,3,0)*0.475*44/12</f>
        <v>2.0426827245170361E-6</v>
      </c>
      <c r="AX133" s="21">
        <f t="shared" si="114"/>
        <v>35.293407151114721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7.1129999999999995</v>
      </c>
      <c r="BD133" s="12">
        <f>IF('Données projet'!$A$88&gt;35,BD132+BC133-BL132,IF(A133&lt;'Données projet'!$A$88,$BA$205^A133,IF(A133='Données projet'!$A$88,'Données projet'!$B$88,BD132+BC133-BL132)))</f>
        <v>326.34400000000005</v>
      </c>
      <c r="BE133" s="13">
        <f>BD133*VLOOKUP('Données projet'!$B$11,Paramètres!$A$1:$I$89,3,0)*VLOOKUP('Données projet'!$B$11,Paramètres!$A$1:$I$89,5,0)</f>
        <v>330.91281600000008</v>
      </c>
      <c r="BF133" s="13">
        <f t="shared" ref="BF133:BF153" si="145">EXP(-1.0587+0.8836*LN(BE133)+0.284)</f>
        <v>77.619526782062408</v>
      </c>
      <c r="BG133" s="20">
        <f t="shared" si="115"/>
        <v>711.52716367875882</v>
      </c>
      <c r="BH133" s="59">
        <f t="shared" si="116"/>
        <v>995.43744707219093</v>
      </c>
      <c r="BI133" s="59">
        <f ca="1">AVERAGE(OFFSET($BH$3,0,0,'Données projet'!$E$11+1,1))-AVERAGE(OFFSET($H$3,0,0,'Données projet'!$E$11+1,1))</f>
        <v>580.02848304986492</v>
      </c>
      <c r="BJ133" s="59">
        <f t="shared" ref="BJ133:BJ196" si="146">$BJ$3</f>
        <v>281.68891895586728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21.79657330291068</v>
      </c>
      <c r="BQ133" s="21">
        <f>EXP(-LN(2)/25)*BQ132+(1-EXP(-LN(2)/25))/(LN(2)/25)*Calculateur!BL133*Calculateur!BN133*VLOOKUP('Données projet'!$B$11,Paramètres!$A$1:$I$89,3,0)*0.475*44/12</f>
        <v>20.467447682659984</v>
      </c>
      <c r="BR133" s="21">
        <f>EXP(-LN(2)/2)*BR132+(1-EXP(-LN(2)/2))/(LN(2)/2)*BL133*BO133*VLOOKUP('Données projet'!$B$11,Paramètres!$A$1:$I$89,3,0)*0.475*44/12</f>
        <v>0.2855319468254861</v>
      </c>
      <c r="BS133" s="22">
        <f t="shared" si="117"/>
        <v>42.549552932396153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4.4337866711430253E-14</v>
      </c>
      <c r="CA133" s="13">
        <f t="shared" ref="CA133:CA153" si="147">EXP(-1.0587+0.8836*LN(BZ133)+0.284)</f>
        <v>7.3222115536967035E-13</v>
      </c>
      <c r="CB133" s="20">
        <f t="shared" si="118"/>
        <v>1.3525069634579169E-12</v>
      </c>
      <c r="CC133" s="59">
        <f t="shared" si="119"/>
        <v>283.91028339343347</v>
      </c>
      <c r="CD133" s="59">
        <f ca="1">AVERAGE(OFFSET($CC$3,0,0,'Données projet'!$E$12+1,1))-AVERAGE(OFFSET($H$3,0,0,'Données projet'!$E$12+1,1))</f>
        <v>308.85018589589453</v>
      </c>
      <c r="CE133" s="59">
        <f t="shared" ref="CE133:CE196" si="148">$CE$3</f>
        <v>302.59481222418219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12.847003323433757</v>
      </c>
      <c r="CL133" s="21">
        <f>EXP(-LN(2)/25)*CL132+(1-EXP(-LN(2)/25))/(LN(2)/25)*Calculateur!CG133*Calculateur!CI133*VLOOKUP('Données projet'!$B$12,Paramètres!$A$1:$I$89,3,0)*0.475*44/12</f>
        <v>7.8016819391453271</v>
      </c>
      <c r="CM133" s="21">
        <f>EXP(-LN(2)/2)*CM132+(1-EXP(-LN(2)/2))/(LN(2)/2)*CG133*CJ133*VLOOKUP('Données projet'!$B$12,Paramètres!$A$1:$I$89,3,0)*0.475*44/12</f>
        <v>4.0010544386649008E-8</v>
      </c>
      <c r="CN133" s="22">
        <f t="shared" si="120"/>
        <v>20.64868530258963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2.2737367544323206E-13</v>
      </c>
      <c r="CU133" s="17">
        <f>CT133*VLOOKUP('Données projet'!$B$13,Paramètres!$A$1:$I$89,3,0)*VLOOKUP('Données projet'!$B$13,Paramètres!$A$1:$I$89,5,0)</f>
        <v>1.5252226148732008E-13</v>
      </c>
      <c r="CV133" s="13">
        <f t="shared" ref="CV133:CV153" si="149">EXP(-1.0587+0.8836*LN(CU133)+0.284)</f>
        <v>2.1814502464536512E-12</v>
      </c>
      <c r="CW133" s="20">
        <f t="shared" si="121"/>
        <v>4.0650021179971913E-12</v>
      </c>
      <c r="CX133" s="59">
        <f t="shared" si="122"/>
        <v>283.9102833934362</v>
      </c>
      <c r="CY133" s="59">
        <f ca="1">AVERAGE(OFFSET($CX$3,0,0,'Données projet'!$E$13+1,1))-AVERAGE(OFFSET($H$3,0,0,'Données projet'!$E$13+1,1))</f>
        <v>335.73816489539837</v>
      </c>
      <c r="CZ133" s="59">
        <f t="shared" ref="CZ133:CZ196" si="150">$CZ$3</f>
        <v>254.09787950201044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25.208409900246274</v>
      </c>
      <c r="DG133" s="21">
        <f>EXP(-LN(2)/25)*DG132+(1-EXP(-LN(2)/25))/(LN(2)/25)*Calculateur!DB133*Calculateur!DD133*VLOOKUP('Données projet'!$B$13,Paramètres!$A$1:$I$89,3,0)*0.475*44/12</f>
        <v>21.775610860512174</v>
      </c>
      <c r="DH133" s="21">
        <f>EXP(-LN(2)/2)*DH132+(1-EXP(-LN(2)/2))/(LN(2)/2)*DB133*DE133*VLOOKUP('Données projet'!$B$13,Paramètres!$A$1:$I$89,3,0)*0.475*44/12</f>
        <v>4.7808237869638393E-2</v>
      </c>
      <c r="DI133" s="22">
        <f t="shared" si="123"/>
        <v>47.031828998628086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112.75</v>
      </c>
      <c r="DM133" s="12">
        <f>VLOOKUP(A133,'Données projet'!$A$165:$I$185,9,0)</f>
        <v>2.4366666666666674</v>
      </c>
      <c r="DN133" s="12">
        <f t="array" ref="DN133">INDEX(DM:DM,MIN(IF(ISNUMBER(DM133:DM329),ROW(DM133:DM329),"")))</f>
        <v>2.4366666666666674</v>
      </c>
      <c r="DO133" s="12">
        <f>IF('Données projet'!$A$166&gt;35,DO132+DN133-DW132,IF(A133&lt;'Données projet'!$A$166,$DL$205^A133,IF(A133='Données projet'!$A$166,'Données projet'!$B$166,DO132+DN133-DW132)))</f>
        <v>112.75000000000026</v>
      </c>
      <c r="DP133" s="17">
        <f>DO133*VLOOKUP('Données projet'!$B$14,Paramètres!$A$1:$I$89,3,0)*VLOOKUP('Données projet'!$B$14,Paramètres!$A$1:$I$89,5,0)</f>
        <v>109.05180000000026</v>
      </c>
      <c r="DQ133" s="13">
        <f t="shared" ref="DQ133:DQ153" si="151">EXP(-1.0587+0.8836*LN(DP133)+0.284)</f>
        <v>29.107468817832416</v>
      </c>
      <c r="DR133" s="20">
        <f t="shared" si="124"/>
        <v>240.62739319105853</v>
      </c>
      <c r="DS133" s="59">
        <f t="shared" si="125"/>
        <v>524.53767658449067</v>
      </c>
      <c r="DT133" s="59">
        <f ca="1">AVERAGE(OFFSET($DS$3,0,0,'Données projet'!$E$14+1,1))-AVERAGE(OFFSET($H$3,0,0,'Données projet'!$E$14+1,1))</f>
        <v>493.03862850474161</v>
      </c>
      <c r="DU133" s="59">
        <f t="shared" ref="DU133:DU196" si="152">$DU$3</f>
        <v>312.51819065560528</v>
      </c>
      <c r="DV133" s="15">
        <f>IF(ISNA(VLOOKUP(A133,'Données projet'!$A$165:$I$185,3,0)),0,VLOOKUP(A133,'Données projet'!$A$165:$I$185,3,0))</f>
        <v>14</v>
      </c>
      <c r="DW133" s="15">
        <f>IF(ISNA(VLOOKUP(A133,'Données projet'!$A$165:$I$185,4,0)),0,VLOOKUP(A133,'Données projet'!$A$165:$I$185,4,0))</f>
        <v>112.75</v>
      </c>
      <c r="DX133" s="16">
        <f>IF(ISNA(VLOOKUP(A133,'Données projet'!$A$165:$I$185,5,0)),0%,VLOOKUP(A133,'Données projet'!$A$165:$I$185,5,0)*VLOOKUP('Données projet'!$B$14,Paramètres!$A$1:$I$89,7,0))</f>
        <v>0.19350000000000001</v>
      </c>
      <c r="DY133" s="16">
        <f>IF(ISNA(VLOOKUP(A133,'Données projet'!$A$165:$I$185,6,0)),0%,VLOOKUP(A133,'Données projet'!$A$165:$I$185,6,0)*VLOOKUP('Données projet'!$B$14,Paramètres!$A$1:$I$89,7,0))</f>
        <v>2.1500000000000002E-2</v>
      </c>
      <c r="DZ133" s="16">
        <f>IF(ISNA(VLOOKUP(A133,'Données projet'!$A$165:$I$185,7,0)),0%,VLOOKUP(A133,'Données projet'!$A$165:$I$185,7,0))</f>
        <v>0.05</v>
      </c>
      <c r="EA133" s="21">
        <f>EXP(-LN(2)/35)*EA132+(1-EXP(-LN(2)/35))/(LN(2)/35)*DW133*DX133*VLOOKUP('Données projet'!$B$14,Paramètres!$A$1:$I$89,3,0)*0.475*44/12</f>
        <v>120.75740665595235</v>
      </c>
      <c r="EB133" s="21">
        <f>EXP(-LN(2)/25)*EB132+(1-EXP(-LN(2)/25))/(LN(2)/25)*Calculateur!DW133*Calculateur!DY133*VLOOKUP('Données projet'!$B$14,Paramètres!$A$1:$I$89,3,0)*0.475*44/12</f>
        <v>25.164550059508493</v>
      </c>
      <c r="EC133" s="21">
        <f>EXP(-LN(2)/2)*EC132+(1-EXP(-LN(2)/2))/(LN(2)/2)*DW133*DZ133*VLOOKUP('Données projet'!$B$14,Paramètres!$A$1:$I$89,3,0)*0.475*44/12</f>
        <v>7.2788446947302532</v>
      </c>
      <c r="ED133" s="22">
        <f t="shared" si="126"/>
        <v>153.2008014101911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>
        <f>VLOOKUP(A133,'Données projet'!$A$191:$I$211,2,0)</f>
        <v>112.75</v>
      </c>
      <c r="EH133" s="12">
        <f>VLOOKUP(A133,'Données projet'!$A$191:$I$211,9,0)</f>
        <v>2.4366666666666674</v>
      </c>
      <c r="EI133" s="12">
        <f t="array" ref="EI133">INDEX(EH:EH,MIN(IF(ISNUMBER(EH133:EH329),ROW(EH133:EH329),"")))</f>
        <v>2.4366666666666674</v>
      </c>
      <c r="EJ133" s="12">
        <f>IF('Données projet'!$A$192&gt;35,EJ132+EI133-ER132,IF(A133&lt;'Données projet'!$A$192,$EG$205^A133,IF(A133='Données projet'!$A$192,'Données projet'!$B$192,EJ132+EI133-ER132)))</f>
        <v>112.75000000000026</v>
      </c>
      <c r="EK133" s="17">
        <f>EJ133*VLOOKUP('Données projet'!$B$15,Paramètres!$A$1:$I$89,3,0)*VLOOKUP('Données projet'!$B$15,Paramètres!$A$1:$I$89,5,0)</f>
        <v>121.36410000000026</v>
      </c>
      <c r="EL133" s="13">
        <f t="shared" ref="EL133:EL153" si="153">EXP(-1.0587+0.8836*LN(EK133)+0.284)</f>
        <v>31.992943616170425</v>
      </c>
      <c r="EM133" s="20">
        <f t="shared" si="127"/>
        <v>267.09685096483059</v>
      </c>
      <c r="EN133" s="59">
        <f t="shared" si="128"/>
        <v>551.00713435826265</v>
      </c>
      <c r="EO133" s="59">
        <f ca="1">AVERAGE(OFFSET($EN$3,0,0,'Données projet'!$E$15+1,1))-AVERAGE(OFFSET($H$3,0,0,'Données projet'!$E$15+1,1))</f>
        <v>539.72194201710272</v>
      </c>
      <c r="EP133" s="59">
        <f t="shared" ref="EP133:EP196" si="154">$EP$3</f>
        <v>340.76505385159362</v>
      </c>
      <c r="EQ133" s="15">
        <f>IF(ISNA(VLOOKUP(A133,'Données projet'!$A$191:$I$211,3,0)),0,VLOOKUP(A133,'Données projet'!$A$191:$I$211,3,0))</f>
        <v>14</v>
      </c>
      <c r="ER133" s="15">
        <f>IF(ISNA(VLOOKUP(A133,'Données projet'!$A$191:$I$211,4,0)),0,VLOOKUP(A133,'Données projet'!$A$191:$I$211,4,0))</f>
        <v>112.75</v>
      </c>
      <c r="ES133" s="16">
        <f>IF(ISNA(VLOOKUP(A133,'Données projet'!$A$191:$I$211,5,0)),0%,VLOOKUP(A133,'Données projet'!$A$191:$I$211,5,0)*VLOOKUP('Données projet'!$B$15,Paramètres!$A$1:$I$89,7,0))</f>
        <v>0.19350000000000001</v>
      </c>
      <c r="ET133" s="16">
        <f>IF(ISNA(VLOOKUP(A133,'Données projet'!$A$191:$I$211,6,0)),0%,VLOOKUP(A133,'Données projet'!$A$191:$I$211,6,0)*VLOOKUP('Données projet'!$B$15,Paramètres!$A$1:$I$89,7,0))</f>
        <v>2.1500000000000002E-2</v>
      </c>
      <c r="EU133" s="16">
        <f>IF(ISNA(VLOOKUP(A133,'Données projet'!$A$191:$I$211,7,0)),0%,VLOOKUP(A133,'Données projet'!$A$191:$I$211,7,0))</f>
        <v>0.05</v>
      </c>
      <c r="EV133" s="21">
        <f>EXP(-LN(2)/35)*EV132+(1-EXP(-LN(2)/35))/(LN(2)/35)*ER133*ES133*VLOOKUP('Données projet'!$B$15,Paramètres!$A$1:$I$89,3,0)*0.475*44/12</f>
        <v>134.39130740743084</v>
      </c>
      <c r="EW133" s="21">
        <f>EXP(-LN(2)/25)*EW132+(1-EXP(-LN(2)/25))/(LN(2)/25)*Calculateur!ER133*Calculateur!ET133*VLOOKUP('Données projet'!$B$15,Paramètres!$A$1:$I$89,3,0)*0.475*44/12</f>
        <v>28.005708937194935</v>
      </c>
      <c r="EX133" s="21">
        <f>EXP(-LN(2)/2)*EX132+(1-EXP(-LN(2)/2))/(LN(2)/2)*ER133*EU133*VLOOKUP('Données projet'!$B$15,Paramètres!$A$1:$I$89,3,0)*0.475*44/12</f>
        <v>8.1006497409094749</v>
      </c>
      <c r="EY133" s="22">
        <f t="shared" si="129"/>
        <v>170.49766608553523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>
        <f>FE133*VLOOKUP('Données projet'!$B$16,Paramètres!$A$1:$I$89,3,0)*VLOOKUP('Données projet'!$B$16,Paramètres!$A$1:$I$89,5,0)</f>
        <v>0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383.47860767209028</v>
      </c>
      <c r="FK133" s="59">
        <f t="shared" ref="FK133:FK196" si="156">$FK$3</f>
        <v>370.49129421395628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19.689923895399854</v>
      </c>
      <c r="FR133" s="21">
        <f>EXP(-LN(2)/25)*FR132+(1-EXP(-LN(2)/25))/(LN(2)/25)*Calculateur!FM133*Calculateur!FO133*VLOOKUP('Données projet'!$B$16,Paramètres!$A$1:$I$89,3,0)*0.475*44/12</f>
        <v>13.082523705286979</v>
      </c>
      <c r="FS133" s="21">
        <f>EXP(-LN(2)/2)*FS132+(1-EXP(-LN(2)/2))/(LN(2)/2)*FM133*FP133*VLOOKUP('Données projet'!$B$16,Paramètres!$A$1:$I$89,3,0)*0.475*44/12</f>
        <v>1.8967768156229687E-6</v>
      </c>
      <c r="FT133" s="22">
        <f t="shared" si="132"/>
        <v>32.772449497463647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7.1129999999999995</v>
      </c>
      <c r="FZ133" s="12">
        <f>IF('Données projet'!$A$244&gt;35,FZ132+FY133-GH132,IF(A133&lt;'Données projet'!$A$244,$FW$205^A133,IF(A133='Données projet'!$A$244,'Données projet'!$B$244,FZ132+FY133-GH132)))</f>
        <v>326.34400000000005</v>
      </c>
      <c r="GA133" s="17">
        <f>FZ133*VLOOKUP('Données projet'!$B$17,Paramètres!$A$1:$I$89,3,0)*VLOOKUP('Données projet'!$B$17,Paramètres!$A$1:$I$89,5,0)</f>
        <v>371.64054720000007</v>
      </c>
      <c r="GB133" s="13">
        <f t="shared" ref="GB133:GB153" si="157">EXP(-1.0587+0.8836*LN(GA133)+0.284)</f>
        <v>86.002846955826783</v>
      </c>
      <c r="GC133" s="20">
        <f t="shared" si="133"/>
        <v>797.06224482139839</v>
      </c>
      <c r="GD133" s="59">
        <f t="shared" si="134"/>
        <v>1080.9725282148306</v>
      </c>
      <c r="GE133" s="59">
        <f ca="1">AVERAGE(OFFSET($GD$3,0,0,'Données projet'!$E$17+1,1))-AVERAGE(OFFSET($H$3,0,0,'Données projet'!$E$17+1,1))</f>
        <v>640.05156427113661</v>
      </c>
      <c r="GF133" s="59">
        <f t="shared" ref="GF133:GF196" si="158">$GF$3</f>
        <v>308.77220155372902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24.479228478653546</v>
      </c>
      <c r="GM133" s="21">
        <f>EXP(-LN(2)/25)*GM132+(1-EXP(-LN(2)/25))/(LN(2)/25)*Calculateur!GH133*Calculateur!GJ133*VLOOKUP('Données projet'!$B$17,Paramètres!$A$1:$I$89,3,0)*0.475*44/12</f>
        <v>22.986518166679677</v>
      </c>
      <c r="GN133" s="21">
        <f>EXP(-LN(2)/2)*GN132+(1-EXP(-LN(2)/2))/(LN(2)/2)*GH133*GK133*VLOOKUP('Données projet'!$B$17,Paramètres!$A$1:$I$89,3,0)*0.475*44/12</f>
        <v>0.32067434028093056</v>
      </c>
      <c r="GO133" s="21">
        <f t="shared" si="135"/>
        <v>47.786420985614157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4.7884896048344674E-14</v>
      </c>
      <c r="P134" s="13">
        <f t="shared" si="141"/>
        <v>7.8374629847779921E-13</v>
      </c>
      <c r="Q134" s="20">
        <f t="shared" si="108"/>
        <v>1.4484243304663672E-12</v>
      </c>
      <c r="R134" s="59">
        <f t="shared" si="109"/>
        <v>284.07375224310715</v>
      </c>
      <c r="S134" s="59">
        <f ca="1">AVERAGE(OFFSET($R$3,0,0,'Données projet'!$E$9+1,1))-AVERAGE(OFFSET($H$3,0,0,'Données projet'!$E$9+1,1))</f>
        <v>456.35333554128226</v>
      </c>
      <c r="T134" s="59">
        <f t="shared" si="142"/>
        <v>296.4517290984877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74.568015505483132</v>
      </c>
      <c r="AA134" s="21">
        <f>EXP(-LN(2)/25)*AA133+(1-EXP(-LN(2)/25))/(LN(2)/25)*Calculateur!V134*Calculateur!X134*VLOOKUP('Données projet'!$B$9,Paramètres!$A$1:$I$89,3,0)*0.475*44/12</f>
        <v>13.98990963316427</v>
      </c>
      <c r="AB134" s="21">
        <f>EXP(-LN(2)/2)*AB133+(1-EXP(-LN(2)/2))/(LN(2)/2)*V134*Y134*VLOOKUP('Données projet'!$B$9,Paramètres!$A$1:$I$89,3,0)*0.475*44/12</f>
        <v>1.2814624686053209E-3</v>
      </c>
      <c r="AC134" s="22">
        <f t="shared" si="111"/>
        <v>88.559206601116017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408.246209980743</v>
      </c>
      <c r="AO134" s="59">
        <f t="shared" si="144"/>
        <v>394.10236303013903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20.788725458823318</v>
      </c>
      <c r="AV134" s="21">
        <f>EXP(-LN(2)/25)*AV133+(1-EXP(-LN(2)/25))/(LN(2)/25)*Calculateur!AQ134*Calculateur!AS134*VLOOKUP('Données projet'!$B$10,Paramètres!$A$1:$I$89,3,0)*0.475*44/12</f>
        <v>13.703610745554037</v>
      </c>
      <c r="AW134" s="21">
        <f>EXP(-LN(2)/2)*AW133+(1-EXP(-LN(2)/2))/(LN(2)/2)*AQ134*AT134*VLOOKUP('Données projet'!$B$10,Paramètres!$A$1:$I$89,3,0)*0.475*44/12</f>
        <v>1.4443948063186086E-6</v>
      </c>
      <c r="AX134" s="21">
        <f t="shared" si="114"/>
        <v>34.492337648772157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7.1129999999999995</v>
      </c>
      <c r="BD134" s="12">
        <f>IF('Données projet'!$A$88&gt;35,BD133+BC134-BL133,IF(A134&lt;'Données projet'!$A$88,$BA$205^A134,IF(A134='Données projet'!$A$88,'Données projet'!$B$88,BD133+BC134-BL133)))</f>
        <v>333.45700000000005</v>
      </c>
      <c r="BE134" s="13">
        <f>BD134*VLOOKUP('Données projet'!$B$11,Paramètres!$A$1:$I$89,3,0)*VLOOKUP('Données projet'!$B$11,Paramètres!$A$1:$I$89,5,0)</f>
        <v>338.12539800000008</v>
      </c>
      <c r="BF134" s="13">
        <f t="shared" si="145"/>
        <v>79.112517242778139</v>
      </c>
      <c r="BG134" s="20">
        <f t="shared" si="115"/>
        <v>726.68936904783868</v>
      </c>
      <c r="BH134" s="59">
        <f t="shared" si="116"/>
        <v>1010.7631212909444</v>
      </c>
      <c r="BI134" s="59">
        <f ca="1">AVERAGE(OFFSET($BH$3,0,0,'Données projet'!$E$11+1,1))-AVERAGE(OFFSET($H$3,0,0,'Données projet'!$E$11+1,1))</f>
        <v>580.02848304986492</v>
      </c>
      <c r="BJ134" s="59">
        <f t="shared" si="146"/>
        <v>281.68891895586728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21.369155795037585</v>
      </c>
      <c r="BQ134" s="21">
        <f>EXP(-LN(2)/25)*BQ133+(1-EXP(-LN(2)/25))/(LN(2)/25)*Calculateur!BL134*Calculateur!BN134*VLOOKUP('Données projet'!$B$11,Paramètres!$A$1:$I$89,3,0)*0.475*44/12</f>
        <v>19.907764249441353</v>
      </c>
      <c r="BR134" s="21">
        <f>EXP(-LN(2)/2)*BR133+(1-EXP(-LN(2)/2))/(LN(2)/2)*BL134*BO134*VLOOKUP('Données projet'!$B$11,Paramètres!$A$1:$I$89,3,0)*0.475*44/12</f>
        <v>0.20190157584569793</v>
      </c>
      <c r="BS134" s="22">
        <f t="shared" si="117"/>
        <v>41.478821620324638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4.4337866711430253E-14</v>
      </c>
      <c r="CA134" s="13">
        <f t="shared" si="147"/>
        <v>7.3222115536967035E-13</v>
      </c>
      <c r="CB134" s="20">
        <f t="shared" si="118"/>
        <v>1.3525069634579169E-12</v>
      </c>
      <c r="CC134" s="59">
        <f t="shared" si="119"/>
        <v>284.07375224310709</v>
      </c>
      <c r="CD134" s="59">
        <f ca="1">AVERAGE(OFFSET($CC$3,0,0,'Données projet'!$E$12+1,1))-AVERAGE(OFFSET($H$3,0,0,'Données projet'!$E$12+1,1))</f>
        <v>308.85018589589453</v>
      </c>
      <c r="CE134" s="59">
        <f t="shared" si="148"/>
        <v>302.59481222418219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12.595081424159517</v>
      </c>
      <c r="CL134" s="21">
        <f>EXP(-LN(2)/25)*CL133+(1-EXP(-LN(2)/25))/(LN(2)/25)*Calculateur!CG134*Calculateur!CI134*VLOOKUP('Données projet'!$B$12,Paramètres!$A$1:$I$89,3,0)*0.475*44/12</f>
        <v>7.5883445362467761</v>
      </c>
      <c r="CM134" s="21">
        <f>EXP(-LN(2)/2)*CM133+(1-EXP(-LN(2)/2))/(LN(2)/2)*CG134*CJ134*VLOOKUP('Données projet'!$B$12,Paramètres!$A$1:$I$89,3,0)*0.475*44/12</f>
        <v>2.8291727254764867E-8</v>
      </c>
      <c r="CN134" s="22">
        <f t="shared" si="120"/>
        <v>20.183425988698019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2.2737367544323206E-13</v>
      </c>
      <c r="CU134" s="17">
        <f>CT134*VLOOKUP('Données projet'!$B$13,Paramètres!$A$1:$I$89,3,0)*VLOOKUP('Données projet'!$B$13,Paramètres!$A$1:$I$89,5,0)</f>
        <v>1.5252226148732008E-13</v>
      </c>
      <c r="CV134" s="13">
        <f t="shared" si="149"/>
        <v>2.1814502464536512E-12</v>
      </c>
      <c r="CW134" s="20">
        <f t="shared" si="121"/>
        <v>4.0650021179971913E-12</v>
      </c>
      <c r="CX134" s="59">
        <f t="shared" si="122"/>
        <v>284.07375224310982</v>
      </c>
      <c r="CY134" s="59">
        <f ca="1">AVERAGE(OFFSET($CX$3,0,0,'Données projet'!$E$13+1,1))-AVERAGE(OFFSET($H$3,0,0,'Données projet'!$E$13+1,1))</f>
        <v>335.73816489539837</v>
      </c>
      <c r="CZ134" s="59">
        <f t="shared" si="150"/>
        <v>254.09787950201044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24.714088357714267</v>
      </c>
      <c r="DG134" s="21">
        <f>EXP(-LN(2)/25)*DG133+(1-EXP(-LN(2)/25))/(LN(2)/25)*Calculateur!DB134*Calculateur!DD134*VLOOKUP('Données projet'!$B$13,Paramètres!$A$1:$I$89,3,0)*0.475*44/12</f>
        <v>21.180155636401864</v>
      </c>
      <c r="DH134" s="21">
        <f>EXP(-LN(2)/2)*DH133+(1-EXP(-LN(2)/2))/(LN(2)/2)*DB134*DE134*VLOOKUP('Données projet'!$B$13,Paramètres!$A$1:$I$89,3,0)*0.475*44/12</f>
        <v>3.3805529194200809E-2</v>
      </c>
      <c r="DI134" s="22">
        <f t="shared" si="123"/>
        <v>45.928049523310335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2.5579538487363607E-13</v>
      </c>
      <c r="DP134" s="17">
        <f>DO134*VLOOKUP('Données projet'!$B$14,Paramètres!$A$1:$I$89,3,0)*VLOOKUP('Données projet'!$B$14,Paramètres!$A$1:$I$89,5,0)</f>
        <v>2.4740529624978082E-13</v>
      </c>
      <c r="DQ134" s="13">
        <f t="shared" si="151"/>
        <v>3.3447853361996459E-12</v>
      </c>
      <c r="DR134" s="20">
        <f t="shared" si="124"/>
        <v>6.2563986848494188E-12</v>
      </c>
      <c r="DS134" s="59">
        <f t="shared" si="125"/>
        <v>284.07375224311198</v>
      </c>
      <c r="DT134" s="59">
        <f ca="1">AVERAGE(OFFSET($DS$3,0,0,'Données projet'!$E$14+1,1))-AVERAGE(OFFSET($H$3,0,0,'Données projet'!$E$14+1,1))</f>
        <v>493.03862850474161</v>
      </c>
      <c r="DU134" s="59">
        <f t="shared" si="152"/>
        <v>312.51819065560528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118.38942756617439</v>
      </c>
      <c r="EB134" s="21">
        <f>EXP(-LN(2)/25)*EB133+(1-EXP(-LN(2)/25))/(LN(2)/25)*Calculateur!DW134*Calculateur!DY134*VLOOKUP('Données projet'!$B$14,Paramètres!$A$1:$I$89,3,0)*0.475*44/12</f>
        <v>24.476424114785061</v>
      </c>
      <c r="EC134" s="21">
        <f>EXP(-LN(2)/2)*EC133+(1-EXP(-LN(2)/2))/(LN(2)/2)*DW134*DZ134*VLOOKUP('Données projet'!$B$14,Paramètres!$A$1:$I$89,3,0)*0.475*44/12</f>
        <v>5.1469204428474882</v>
      </c>
      <c r="ED134" s="22">
        <f t="shared" si="126"/>
        <v>148.01277212380694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2.5579538487363607E-13</v>
      </c>
      <c r="EK134" s="17">
        <f>EJ134*VLOOKUP('Données projet'!$B$15,Paramètres!$A$1:$I$89,3,0)*VLOOKUP('Données projet'!$B$15,Paramètres!$A$1:$I$89,5,0)</f>
        <v>2.7533815227798186E-13</v>
      </c>
      <c r="EL134" s="13">
        <f t="shared" si="153"/>
        <v>3.6763598146902537E-12</v>
      </c>
      <c r="EM134" s="20">
        <f t="shared" si="127"/>
        <v>6.88254062580301E-12</v>
      </c>
      <c r="EN134" s="59">
        <f t="shared" si="128"/>
        <v>284.07375224311261</v>
      </c>
      <c r="EO134" s="59">
        <f ca="1">AVERAGE(OFFSET($EN$3,0,0,'Données projet'!$E$15+1,1))-AVERAGE(OFFSET($H$3,0,0,'Données projet'!$E$15+1,1))</f>
        <v>539.72194201710272</v>
      </c>
      <c r="EP134" s="59">
        <f t="shared" si="154"/>
        <v>340.76505385159362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131.75597583977472</v>
      </c>
      <c r="EW134" s="21">
        <f>EXP(-LN(2)/25)*EW133+(1-EXP(-LN(2)/25))/(LN(2)/25)*Calculateur!ER134*Calculateur!ET134*VLOOKUP('Données projet'!$B$15,Paramètres!$A$1:$I$89,3,0)*0.475*44/12</f>
        <v>27.239891353551116</v>
      </c>
      <c r="EX134" s="21">
        <f>EXP(-LN(2)/2)*EX133+(1-EXP(-LN(2)/2))/(LN(2)/2)*ER134*EU134*VLOOKUP('Données projet'!$B$15,Paramètres!$A$1:$I$89,3,0)*0.475*44/12</f>
        <v>5.7280243638141393</v>
      </c>
      <c r="EY134" s="22">
        <f t="shared" si="129"/>
        <v>164.72389155713998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>
        <f>FE134*VLOOKUP('Données projet'!$B$16,Paramètres!$A$1:$I$89,3,0)*VLOOKUP('Données projet'!$B$16,Paramètres!$A$1:$I$89,5,0)</f>
        <v>0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383.47860767209028</v>
      </c>
      <c r="FK134" s="59">
        <f t="shared" si="156"/>
        <v>370.49129421395628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19.303816497478785</v>
      </c>
      <c r="FR134" s="21">
        <f>EXP(-LN(2)/25)*FR133+(1-EXP(-LN(2)/25))/(LN(2)/25)*Calculateur!FM134*Calculateur!FO134*VLOOKUP('Données projet'!$B$16,Paramètres!$A$1:$I$89,3,0)*0.475*44/12</f>
        <v>12.724781406585885</v>
      </c>
      <c r="FS134" s="21">
        <f>EXP(-LN(2)/2)*FS133+(1-EXP(-LN(2)/2))/(LN(2)/2)*FM134*FP134*VLOOKUP('Données projet'!$B$16,Paramètres!$A$1:$I$89,3,0)*0.475*44/12</f>
        <v>1.341223748724427E-6</v>
      </c>
      <c r="FT134" s="22">
        <f t="shared" si="132"/>
        <v>32.028599245288419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7.1129999999999995</v>
      </c>
      <c r="FZ134" s="12">
        <f>IF('Données projet'!$A$244&gt;35,FZ133+FY134-GH133,IF(A134&lt;'Données projet'!$A$244,$FW$205^A134,IF(A134='Données projet'!$A$244,'Données projet'!$B$244,FZ133+FY134-GH133)))</f>
        <v>333.45700000000005</v>
      </c>
      <c r="GA134" s="17">
        <f>FZ134*VLOOKUP('Données projet'!$B$17,Paramètres!$A$1:$I$89,3,0)*VLOOKUP('Données projet'!$B$17,Paramètres!$A$1:$I$89,5,0)</f>
        <v>379.74083160000004</v>
      </c>
      <c r="GB134" s="13">
        <f t="shared" si="157"/>
        <v>87.657088297183577</v>
      </c>
      <c r="GC134" s="20">
        <f t="shared" si="133"/>
        <v>814.05137715426144</v>
      </c>
      <c r="GD134" s="59">
        <f t="shared" si="134"/>
        <v>1098.1251293973671</v>
      </c>
      <c r="GE134" s="59">
        <f ca="1">AVERAGE(OFFSET($GD$3,0,0,'Données projet'!$E$17+1,1))-AVERAGE(OFFSET($H$3,0,0,'Données projet'!$E$17+1,1))</f>
        <v>640.05156427113661</v>
      </c>
      <c r="GF134" s="59">
        <f t="shared" si="158"/>
        <v>308.77220155372902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23.999205739042221</v>
      </c>
      <c r="GM134" s="21">
        <f>EXP(-LN(2)/25)*GM133+(1-EXP(-LN(2)/25))/(LN(2)/25)*Calculateur!GH134*Calculateur!GJ134*VLOOKUP('Données projet'!$B$17,Paramètres!$A$1:$I$89,3,0)*0.475*44/12</f>
        <v>22.357950618603368</v>
      </c>
      <c r="GN134" s="21">
        <f>EXP(-LN(2)/2)*GN133+(1-EXP(-LN(2)/2))/(LN(2)/2)*GH134*GK134*VLOOKUP('Données projet'!$B$17,Paramètres!$A$1:$I$89,3,0)*0.475*44/12</f>
        <v>0.22675100056516848</v>
      </c>
      <c r="GO134" s="21">
        <f t="shared" si="135"/>
        <v>46.583907358210759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4.7884896048344674E-14</v>
      </c>
      <c r="P135" s="13">
        <f t="shared" si="141"/>
        <v>7.8374629847779921E-13</v>
      </c>
      <c r="Q135" s="20">
        <f t="shared" si="108"/>
        <v>1.4484243304663672E-12</v>
      </c>
      <c r="R135" s="59">
        <f t="shared" si="109"/>
        <v>284.23438527370058</v>
      </c>
      <c r="S135" s="59">
        <f ca="1">AVERAGE(OFFSET($R$3,0,0,'Données projet'!$E$9+1,1))-AVERAGE(OFFSET($H$3,0,0,'Données projet'!$E$9+1,1))</f>
        <v>456.35333554128226</v>
      </c>
      <c r="T135" s="59">
        <f t="shared" si="142"/>
        <v>296.4517290984877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73.105782203419096</v>
      </c>
      <c r="AA135" s="21">
        <f>EXP(-LN(2)/25)*AA134+(1-EXP(-LN(2)/25))/(LN(2)/25)*Calculateur!V135*Calculateur!X135*VLOOKUP('Données projet'!$B$9,Paramètres!$A$1:$I$89,3,0)*0.475*44/12</f>
        <v>13.60735481854802</v>
      </c>
      <c r="AB135" s="21">
        <f>EXP(-LN(2)/2)*AB134+(1-EXP(-LN(2)/2))/(LN(2)/2)*V135*Y135*VLOOKUP('Données projet'!$B$9,Paramètres!$A$1:$I$89,3,0)*0.475*44/12</f>
        <v>9.061308013868757E-4</v>
      </c>
      <c r="AC135" s="22">
        <f t="shared" si="111"/>
        <v>86.714043152768497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408.246209980743</v>
      </c>
      <c r="AO135" s="59">
        <f t="shared" si="144"/>
        <v>394.10236303013903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20.381071232446288</v>
      </c>
      <c r="AV135" s="21">
        <f>EXP(-LN(2)/25)*AV134+(1-EXP(-LN(2)/25))/(LN(2)/25)*Calculateur!AQ135*Calculateur!AS135*VLOOKUP('Données projet'!$B$10,Paramètres!$A$1:$I$89,3,0)*0.475*44/12</f>
        <v>13.328884789075293</v>
      </c>
      <c r="AW135" s="21">
        <f>EXP(-LN(2)/2)*AW134+(1-EXP(-LN(2)/2))/(LN(2)/2)*AQ135*AT135*VLOOKUP('Données projet'!$B$10,Paramètres!$A$1:$I$89,3,0)*0.475*44/12</f>
        <v>1.021341362258518E-6</v>
      </c>
      <c r="AX135" s="21">
        <f t="shared" si="114"/>
        <v>33.709957042862939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>
        <f>VLOOKUP(A135,'Données projet'!$A$87:$I$107,2,0)</f>
        <v>340.57</v>
      </c>
      <c r="BB135" s="12">
        <f>VLOOKUP(A135,'Données projet'!$A$87:$I$107,9,0)</f>
        <v>7.1129999999999995</v>
      </c>
      <c r="BC135" s="12">
        <f t="array" ref="BC135">INDEX(BB:BB,MIN(IF(ISNUMBER(BB135:BB331),ROW(BB135:BB331),"")))</f>
        <v>7.1129999999999995</v>
      </c>
      <c r="BD135" s="12">
        <f>IF('Données projet'!$A$88&gt;35,BD134+BC135-BL134,IF(A135&lt;'Données projet'!$A$88,$BA$205^A135,IF(A135='Données projet'!$A$88,'Données projet'!$B$88,BD134+BC135-BL134)))</f>
        <v>340.57000000000005</v>
      </c>
      <c r="BE135" s="13">
        <f>BD135*VLOOKUP('Données projet'!$B$11,Paramètres!$A$1:$I$89,3,0)*VLOOKUP('Données projet'!$B$11,Paramètres!$A$1:$I$89,5,0)</f>
        <v>345.33798000000007</v>
      </c>
      <c r="BF135" s="13">
        <f t="shared" si="145"/>
        <v>80.601805001623404</v>
      </c>
      <c r="BG135" s="20">
        <f t="shared" si="115"/>
        <v>741.84512554449418</v>
      </c>
      <c r="BH135" s="59">
        <f t="shared" si="116"/>
        <v>1026.0795108181933</v>
      </c>
      <c r="BI135" s="59">
        <f ca="1">AVERAGE(OFFSET($BH$3,0,0,'Données projet'!$E$11+1,1))-AVERAGE(OFFSET($H$3,0,0,'Données projet'!$E$11+1,1))</f>
        <v>580.02848304986492</v>
      </c>
      <c r="BJ135" s="59">
        <f t="shared" si="146"/>
        <v>281.68891895586728</v>
      </c>
      <c r="BK135" s="15">
        <f>IF(ISNA(VLOOKUP(A135,'Données projet'!$A$87:$I$107,3,0)),0,VLOOKUP(A135,'Données projet'!$A$87:$I$107,3,0))</f>
        <v>9</v>
      </c>
      <c r="BL135" s="15">
        <f>IF(ISNA(VLOOKUP(A135,'Données projet'!$A$87:$I$107,4,0)),0,VLOOKUP(A135,'Données projet'!$A$87:$I$107,4,0))</f>
        <v>48.699999999999989</v>
      </c>
      <c r="BM135" s="16">
        <f>IF(ISNA(VLOOKUP(A135,'Données projet'!$A$87:$I$107,5,0)),0%,VLOOKUP(A135,'Données projet'!$A$87:$I$107,5,0)*VLOOKUP('Données projet'!$B$11,Paramètres!$A$1:$I$89,7,0))</f>
        <v>0.15049999999999999</v>
      </c>
      <c r="BN135" s="16">
        <f>IF(ISNA(VLOOKUP(A135,'Données projet'!$A$87:$I$107,6,0)),0%,VLOOKUP(A135,'Données projet'!$A$87:$I$107,6,0)*VLOOKUP('Données projet'!$B$11,Paramètres!$A$1:$I$89,7,0))</f>
        <v>8.6000000000000007E-2</v>
      </c>
      <c r="BO135" s="16">
        <f>IF(ISNA(VLOOKUP(A135,'Données projet'!$A$87:$I$107,7,0)),0%,VLOOKUP(A135,'Données projet'!$A$87:$I$107,7,0))</f>
        <v>0.1</v>
      </c>
      <c r="BP135" s="21">
        <f>EXP(-LN(2)/35)*BP134+(1-EXP(-LN(2)/35))/(LN(2)/35)*BL135*BM135*VLOOKUP('Données projet'!$B$11,Paramètres!$A$1:$I$89,3,0)*0.475*44/12</f>
        <v>29.165932320591985</v>
      </c>
      <c r="BQ135" s="21">
        <f>EXP(-LN(2)/25)*BQ134+(1-EXP(-LN(2)/25))/(LN(2)/25)*Calculateur!BL135*Calculateur!BN135*VLOOKUP('Données projet'!$B$11,Paramètres!$A$1:$I$89,3,0)*0.475*44/12</f>
        <v>24.039650447408519</v>
      </c>
      <c r="BR135" s="21">
        <f>EXP(-LN(2)/2)*BR134+(1-EXP(-LN(2)/2))/(LN(2)/2)*BL135*BO135*VLOOKUP('Données projet'!$B$11,Paramètres!$A$1:$I$89,3,0)*0.475*44/12</f>
        <v>4.802071712578778</v>
      </c>
      <c r="BS135" s="22">
        <f t="shared" si="117"/>
        <v>58.007654480579284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4.4337866711430253E-14</v>
      </c>
      <c r="CA135" s="13">
        <f t="shared" si="147"/>
        <v>7.3222115536967035E-13</v>
      </c>
      <c r="CB135" s="20">
        <f t="shared" si="118"/>
        <v>1.3525069634579169E-12</v>
      </c>
      <c r="CC135" s="59">
        <f t="shared" si="119"/>
        <v>284.23438527370052</v>
      </c>
      <c r="CD135" s="59">
        <f ca="1">AVERAGE(OFFSET($CC$3,0,0,'Données projet'!$E$12+1,1))-AVERAGE(OFFSET($H$3,0,0,'Données projet'!$E$12+1,1))</f>
        <v>308.85018589589453</v>
      </c>
      <c r="CE135" s="59">
        <f t="shared" si="148"/>
        <v>302.59481222418219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12.348099559672859</v>
      </c>
      <c r="CL135" s="21">
        <f>EXP(-LN(2)/25)*CL134+(1-EXP(-LN(2)/25))/(LN(2)/25)*Calculateur!CG135*Calculateur!CI135*VLOOKUP('Données projet'!$B$12,Paramètres!$A$1:$I$89,3,0)*0.475*44/12</f>
        <v>7.3808408558494119</v>
      </c>
      <c r="CM135" s="21">
        <f>EXP(-LN(2)/2)*CM134+(1-EXP(-LN(2)/2))/(LN(2)/2)*CG135*CJ135*VLOOKUP('Données projet'!$B$12,Paramètres!$A$1:$I$89,3,0)*0.475*44/12</f>
        <v>2.0005272193324504E-8</v>
      </c>
      <c r="CN135" s="22">
        <f t="shared" si="120"/>
        <v>19.728940435527544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2.2737367544323206E-13</v>
      </c>
      <c r="CU135" s="17">
        <f>CT135*VLOOKUP('Données projet'!$B$13,Paramètres!$A$1:$I$89,3,0)*VLOOKUP('Données projet'!$B$13,Paramètres!$A$1:$I$89,5,0)</f>
        <v>1.5252226148732008E-13</v>
      </c>
      <c r="CV135" s="13">
        <f t="shared" si="149"/>
        <v>2.1814502464536512E-12</v>
      </c>
      <c r="CW135" s="20">
        <f t="shared" si="121"/>
        <v>4.0650021179971913E-12</v>
      </c>
      <c r="CX135" s="59">
        <f t="shared" si="122"/>
        <v>284.23438527370325</v>
      </c>
      <c r="CY135" s="59">
        <f ca="1">AVERAGE(OFFSET($CX$3,0,0,'Données projet'!$E$13+1,1))-AVERAGE(OFFSET($H$3,0,0,'Données projet'!$E$13+1,1))</f>
        <v>335.73816489539837</v>
      </c>
      <c r="CZ135" s="59">
        <f t="shared" si="150"/>
        <v>254.09787950201044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24.229460159124944</v>
      </c>
      <c r="DG135" s="21">
        <f>EXP(-LN(2)/25)*DG134+(1-EXP(-LN(2)/25))/(LN(2)/25)*Calculateur!DB135*Calculateur!DD135*VLOOKUP('Données projet'!$B$13,Paramètres!$A$1:$I$89,3,0)*0.475*44/12</f>
        <v>20.600983166708478</v>
      </c>
      <c r="DH135" s="21">
        <f>EXP(-LN(2)/2)*DH134+(1-EXP(-LN(2)/2))/(LN(2)/2)*DB135*DE135*VLOOKUP('Données projet'!$B$13,Paramètres!$A$1:$I$89,3,0)*0.475*44/12</f>
        <v>2.3904118934819196E-2</v>
      </c>
      <c r="DI135" s="22">
        <f t="shared" si="123"/>
        <v>44.854347444768237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2.5579538487363607E-13</v>
      </c>
      <c r="DP135" s="17">
        <f>DO135*VLOOKUP('Données projet'!$B$14,Paramètres!$A$1:$I$89,3,0)*VLOOKUP('Données projet'!$B$14,Paramètres!$A$1:$I$89,5,0)</f>
        <v>2.4740529624978082E-13</v>
      </c>
      <c r="DQ135" s="13">
        <f t="shared" si="151"/>
        <v>3.3447853361996459E-12</v>
      </c>
      <c r="DR135" s="20">
        <f t="shared" si="124"/>
        <v>6.2563986848494188E-12</v>
      </c>
      <c r="DS135" s="59">
        <f t="shared" si="125"/>
        <v>284.23438527370541</v>
      </c>
      <c r="DT135" s="59">
        <f ca="1">AVERAGE(OFFSET($DS$3,0,0,'Données projet'!$E$14+1,1))-AVERAGE(OFFSET($H$3,0,0,'Données projet'!$E$14+1,1))</f>
        <v>493.03862850474161</v>
      </c>
      <c r="DU135" s="59">
        <f t="shared" si="152"/>
        <v>312.51819065560528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116.06788310202234</v>
      </c>
      <c r="EB135" s="21">
        <f>EXP(-LN(2)/25)*EB134+(1-EXP(-LN(2)/25))/(LN(2)/25)*Calculateur!DW135*Calculateur!DY135*VLOOKUP('Données projet'!$B$14,Paramètres!$A$1:$I$89,3,0)*0.475*44/12</f>
        <v>23.80711501020706</v>
      </c>
      <c r="EC135" s="21">
        <f>EXP(-LN(2)/2)*EC134+(1-EXP(-LN(2)/2))/(LN(2)/2)*DW135*DZ135*VLOOKUP('Données projet'!$B$14,Paramètres!$A$1:$I$89,3,0)*0.475*44/12</f>
        <v>3.6394223473651275</v>
      </c>
      <c r="ED135" s="22">
        <f t="shared" si="126"/>
        <v>143.51442045959453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2.5579538487363607E-13</v>
      </c>
      <c r="EK135" s="17">
        <f>EJ135*VLOOKUP('Données projet'!$B$15,Paramètres!$A$1:$I$89,3,0)*VLOOKUP('Données projet'!$B$15,Paramètres!$A$1:$I$89,5,0)</f>
        <v>2.7533815227798186E-13</v>
      </c>
      <c r="EL135" s="13">
        <f t="shared" si="153"/>
        <v>3.6763598146902537E-12</v>
      </c>
      <c r="EM135" s="20">
        <f t="shared" si="127"/>
        <v>6.88254062580301E-12</v>
      </c>
      <c r="EN135" s="59">
        <f t="shared" si="128"/>
        <v>284.23438527370604</v>
      </c>
      <c r="EO135" s="59">
        <f ca="1">AVERAGE(OFFSET($EN$3,0,0,'Données projet'!$E$15+1,1))-AVERAGE(OFFSET($H$3,0,0,'Données projet'!$E$15+1,1))</f>
        <v>539.72194201710272</v>
      </c>
      <c r="EP135" s="59">
        <f t="shared" si="154"/>
        <v>340.76505385159362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129.1723215167668</v>
      </c>
      <c r="EW135" s="21">
        <f>EXP(-LN(2)/25)*EW134+(1-EXP(-LN(2)/25))/(LN(2)/25)*Calculateur!ER135*Calculateur!ET135*VLOOKUP('Données projet'!$B$15,Paramètres!$A$1:$I$89,3,0)*0.475*44/12</f>
        <v>26.495015092004632</v>
      </c>
      <c r="EX135" s="21">
        <f>EXP(-LN(2)/2)*EX134+(1-EXP(-LN(2)/2))/(LN(2)/2)*ER135*EU135*VLOOKUP('Données projet'!$B$15,Paramètres!$A$1:$I$89,3,0)*0.475*44/12</f>
        <v>4.0503248704547383</v>
      </c>
      <c r="EY135" s="22">
        <f t="shared" si="129"/>
        <v>159.71766147922617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>
        <f>FE135*VLOOKUP('Données projet'!$B$16,Paramètres!$A$1:$I$89,3,0)*VLOOKUP('Données projet'!$B$16,Paramètres!$A$1:$I$89,5,0)</f>
        <v>0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383.47860767209028</v>
      </c>
      <c r="FK135" s="59">
        <f t="shared" si="156"/>
        <v>370.49129421395628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18.925280430128687</v>
      </c>
      <c r="FR135" s="21">
        <f>EXP(-LN(2)/25)*FR134+(1-EXP(-LN(2)/25))/(LN(2)/25)*Calculateur!FM135*Calculateur!FO135*VLOOKUP('Données projet'!$B$16,Paramètres!$A$1:$I$89,3,0)*0.475*44/12</f>
        <v>12.376821589855624</v>
      </c>
      <c r="FS135" s="21">
        <f>EXP(-LN(2)/2)*FS134+(1-EXP(-LN(2)/2))/(LN(2)/2)*FM135*FP135*VLOOKUP('Données projet'!$B$16,Paramètres!$A$1:$I$89,3,0)*0.475*44/12</f>
        <v>9.4838840781148443E-7</v>
      </c>
      <c r="FT135" s="22">
        <f t="shared" si="132"/>
        <v>31.302102968372719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>
        <f>VLOOKUP(A135,'Données projet'!$A$243:$I$263,2,0)</f>
        <v>340.57</v>
      </c>
      <c r="FX135" s="12">
        <f>VLOOKUP(A135,'Données projet'!$A$243:$I$263,9,0)</f>
        <v>7.1129999999999995</v>
      </c>
      <c r="FY135" s="12">
        <f t="array" ref="FY135">INDEX(FX:FX,MIN(IF(ISNUMBER(FX135:FX331),ROW(FX135:FX331),"")))</f>
        <v>7.1129999999999995</v>
      </c>
      <c r="FZ135" s="12">
        <f>IF('Données projet'!$A$244&gt;35,FZ134+FY135-GH134,IF(A135&lt;'Données projet'!$A$244,$FW$205^A135,IF(A135='Données projet'!$A$244,'Données projet'!$B$244,FZ134+FY135-GH134)))</f>
        <v>340.57000000000005</v>
      </c>
      <c r="GA135" s="17">
        <f>FZ135*VLOOKUP('Données projet'!$B$17,Paramètres!$A$1:$I$89,3,0)*VLOOKUP('Données projet'!$B$17,Paramètres!$A$1:$I$89,5,0)</f>
        <v>387.84111600000006</v>
      </c>
      <c r="GB135" s="13">
        <f t="shared" si="157"/>
        <v>89.307227025248523</v>
      </c>
      <c r="GC135" s="20">
        <f t="shared" si="133"/>
        <v>831.03336410230793</v>
      </c>
      <c r="GD135" s="59">
        <f t="shared" si="134"/>
        <v>1115.267749376007</v>
      </c>
      <c r="GE135" s="59">
        <f ca="1">AVERAGE(OFFSET($GD$3,0,0,'Données projet'!$E$17+1,1))-AVERAGE(OFFSET($H$3,0,0,'Données projet'!$E$17+1,1))</f>
        <v>640.05156427113661</v>
      </c>
      <c r="GF135" s="59">
        <f t="shared" si="158"/>
        <v>308.77220155372902</v>
      </c>
      <c r="GG135" s="15">
        <f>IF(ISNA(VLOOKUP(A135,'Données projet'!$A$243:$I$263,3,0)),0,VLOOKUP(A135,'Données projet'!$A$243:$I$263,3,0))</f>
        <v>9</v>
      </c>
      <c r="GH135" s="15">
        <f>IF(ISNA(VLOOKUP(A135,'Données projet'!$A$243:$I$263,4,0)),0,VLOOKUP(A135,'Données projet'!$A$243:$I$263,4,0))</f>
        <v>48.699999999999989</v>
      </c>
      <c r="GI135" s="16">
        <f>IF(ISNA(VLOOKUP(A135,'Données projet'!$A$243:$I$263,5,0)),0%,VLOOKUP(A135,'Données projet'!$A$243:$I$263,5,0)*VLOOKUP('Données projet'!$B$17,Paramètres!$A$1:$I$89,7,0))</f>
        <v>0.15049999999999999</v>
      </c>
      <c r="GJ135" s="16">
        <f>IF(ISNA(VLOOKUP(A135,'Données projet'!$A$243:$I$263,6,0)),0%,VLOOKUP(A135,'Données projet'!$A$243:$I$263,6,0)*VLOOKUP('Données projet'!$B$17,Paramètres!$A$1:$I$89,7,0))</f>
        <v>8.6000000000000007E-2</v>
      </c>
      <c r="GK135" s="16">
        <f>IF(ISNA(VLOOKUP(A135,'Données projet'!$A$243:$I$263,7,0)),0%,VLOOKUP(A135,'Données projet'!$A$243:$I$263,7,0))</f>
        <v>0.1</v>
      </c>
      <c r="GL135" s="21">
        <f>EXP(-LN(2)/35)*GL134+(1-EXP(-LN(2)/35))/(LN(2)/35)*GH135*GI135*VLOOKUP('Données projet'!$B$17,Paramètres!$A$1:$I$89,3,0)*0.475*44/12</f>
        <v>32.755585529280239</v>
      </c>
      <c r="GM135" s="21">
        <f>EXP(-LN(2)/25)*GM134+(1-EXP(-LN(2)/25))/(LN(2)/25)*Calculateur!GH135*Calculateur!GJ135*VLOOKUP('Données projet'!$B$17,Paramètres!$A$1:$I$89,3,0)*0.475*44/12</f>
        <v>26.998376656320339</v>
      </c>
      <c r="GN135" s="21">
        <f>EXP(-LN(2)/2)*GN134+(1-EXP(-LN(2)/2))/(LN(2)/2)*GH135*GK135*VLOOKUP('Données projet'!$B$17,Paramètres!$A$1:$I$89,3,0)*0.475*44/12</f>
        <v>5.3930959233577047</v>
      </c>
      <c r="GO135" s="21">
        <f t="shared" si="135"/>
        <v>65.147058108958277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4.7884896048344674E-14</v>
      </c>
      <c r="P136" s="13">
        <f t="shared" si="141"/>
        <v>7.8374629847779921E-13</v>
      </c>
      <c r="Q136" s="20">
        <f t="shared" si="108"/>
        <v>1.4484243304663672E-12</v>
      </c>
      <c r="R136" s="59">
        <f t="shared" si="109"/>
        <v>284.39223168033482</v>
      </c>
      <c r="S136" s="59">
        <f ca="1">AVERAGE(OFFSET($R$3,0,0,'Données projet'!$E$9+1,1))-AVERAGE(OFFSET($H$3,0,0,'Données projet'!$E$9+1,1))</f>
        <v>456.35333554128226</v>
      </c>
      <c r="T136" s="59">
        <f t="shared" si="142"/>
        <v>296.4517290984877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71.672222404534281</v>
      </c>
      <c r="AA136" s="21">
        <f>EXP(-LN(2)/25)*AA135+(1-EXP(-LN(2)/25))/(LN(2)/25)*Calculateur!V136*Calculateur!X136*VLOOKUP('Données projet'!$B$9,Paramètres!$A$1:$I$89,3,0)*0.475*44/12</f>
        <v>13.235260985455135</v>
      </c>
      <c r="AB136" s="21">
        <f>EXP(-LN(2)/2)*AB135+(1-EXP(-LN(2)/2))/(LN(2)/2)*V136*Y136*VLOOKUP('Données projet'!$B$9,Paramètres!$A$1:$I$89,3,0)*0.475*44/12</f>
        <v>6.4073123430266046E-4</v>
      </c>
      <c r="AC136" s="22">
        <f t="shared" si="111"/>
        <v>84.908124121223707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408.246209980743</v>
      </c>
      <c r="AO136" s="59">
        <f t="shared" si="144"/>
        <v>394.10236303013903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19.981410856803986</v>
      </c>
      <c r="AV136" s="21">
        <f>EXP(-LN(2)/25)*AV135+(1-EXP(-LN(2)/25))/(LN(2)/25)*Calculateur!AQ136*Calculateur!AS136*VLOOKUP('Données projet'!$B$10,Paramètres!$A$1:$I$89,3,0)*0.475*44/12</f>
        <v>12.964405733582442</v>
      </c>
      <c r="AW136" s="21">
        <f>EXP(-LN(2)/2)*AW135+(1-EXP(-LN(2)/2))/(LN(2)/2)*AQ136*AT136*VLOOKUP('Données projet'!$B$10,Paramètres!$A$1:$I$89,3,0)*0.475*44/12</f>
        <v>7.2219740315930429E-7</v>
      </c>
      <c r="AX136" s="21">
        <f t="shared" si="114"/>
        <v>32.945817312583834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7.3375000000000012</v>
      </c>
      <c r="BD136" s="12">
        <f>IF('Données projet'!$A$88&gt;35,BD135+BC136-BL135,IF(A136&lt;'Données projet'!$A$88,$BA$205^A136,IF(A136='Données projet'!$A$88,'Données projet'!$B$88,BD135+BC136-BL135)))</f>
        <v>299.20750000000004</v>
      </c>
      <c r="BE136" s="13">
        <f>BD136*VLOOKUP('Données projet'!$B$11,Paramètres!$A$1:$I$89,3,0)*VLOOKUP('Données projet'!$B$11,Paramètres!$A$1:$I$89,5,0)</f>
        <v>303.39640500000007</v>
      </c>
      <c r="BF136" s="13">
        <f t="shared" si="145"/>
        <v>71.888013236043776</v>
      </c>
      <c r="BG136" s="20">
        <f t="shared" si="115"/>
        <v>653.62036176110962</v>
      </c>
      <c r="BH136" s="59">
        <f t="shared" si="116"/>
        <v>938.01259344144296</v>
      </c>
      <c r="BI136" s="59">
        <f ca="1">AVERAGE(OFFSET($BH$3,0,0,'Données projet'!$E$11+1,1))-AVERAGE(OFFSET($H$3,0,0,'Données projet'!$E$11+1,1))</f>
        <v>580.02848304986492</v>
      </c>
      <c r="BJ136" s="59">
        <f t="shared" si="146"/>
        <v>281.68891895586728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28.594006177247326</v>
      </c>
      <c r="BQ136" s="21">
        <f>EXP(-LN(2)/25)*BQ135+(1-EXP(-LN(2)/25))/(LN(2)/25)*Calculateur!BL136*Calculateur!BN136*VLOOKUP('Données projet'!$B$11,Paramètres!$A$1:$I$89,3,0)*0.475*44/12</f>
        <v>23.382284941733861</v>
      </c>
      <c r="BR136" s="21">
        <f>EXP(-LN(2)/2)*BR135+(1-EXP(-LN(2)/2))/(LN(2)/2)*BL136*BO136*VLOOKUP('Données projet'!$B$11,Paramètres!$A$1:$I$89,3,0)*0.475*44/12</f>
        <v>3.3955774717085516</v>
      </c>
      <c r="BS136" s="22">
        <f t="shared" si="117"/>
        <v>55.371868590689736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4.4337866711430253E-14</v>
      </c>
      <c r="CA136" s="13">
        <f t="shared" si="147"/>
        <v>7.3222115536967035E-13</v>
      </c>
      <c r="CB136" s="20">
        <f t="shared" si="118"/>
        <v>1.3525069634579169E-12</v>
      </c>
      <c r="CC136" s="59">
        <f t="shared" si="119"/>
        <v>284.39223168033476</v>
      </c>
      <c r="CD136" s="59">
        <f ca="1">AVERAGE(OFFSET($CC$3,0,0,'Données projet'!$E$12+1,1))-AVERAGE(OFFSET($H$3,0,0,'Données projet'!$E$12+1,1))</f>
        <v>308.85018589589453</v>
      </c>
      <c r="CE136" s="59">
        <f t="shared" si="148"/>
        <v>302.59481222418219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12.105960858904721</v>
      </c>
      <c r="CL136" s="21">
        <f>EXP(-LN(2)/25)*CL135+(1-EXP(-LN(2)/25))/(LN(2)/25)*Calculateur!CG136*Calculateur!CI136*VLOOKUP('Données projet'!$B$12,Paramètres!$A$1:$I$89,3,0)*0.475*44/12</f>
        <v>7.1790113745046584</v>
      </c>
      <c r="CM136" s="21">
        <f>EXP(-LN(2)/2)*CM135+(1-EXP(-LN(2)/2))/(LN(2)/2)*CG136*CJ136*VLOOKUP('Données projet'!$B$12,Paramètres!$A$1:$I$89,3,0)*0.475*44/12</f>
        <v>1.4145863627382434E-8</v>
      </c>
      <c r="CN136" s="22">
        <f t="shared" si="120"/>
        <v>19.284972247555245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2.2737367544323206E-13</v>
      </c>
      <c r="CU136" s="17">
        <f>CT136*VLOOKUP('Données projet'!$B$13,Paramètres!$A$1:$I$89,3,0)*VLOOKUP('Données projet'!$B$13,Paramètres!$A$1:$I$89,5,0)</f>
        <v>1.5252226148732008E-13</v>
      </c>
      <c r="CV136" s="13">
        <f t="shared" si="149"/>
        <v>2.1814502464536512E-12</v>
      </c>
      <c r="CW136" s="20">
        <f t="shared" si="121"/>
        <v>4.0650021179971913E-12</v>
      </c>
      <c r="CX136" s="59">
        <f t="shared" si="122"/>
        <v>284.39223168033749</v>
      </c>
      <c r="CY136" s="59">
        <f ca="1">AVERAGE(OFFSET($CX$3,0,0,'Données projet'!$E$13+1,1))-AVERAGE(OFFSET($H$3,0,0,'Données projet'!$E$13+1,1))</f>
        <v>335.73816489539837</v>
      </c>
      <c r="CZ136" s="59">
        <f t="shared" si="150"/>
        <v>254.09787950201044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23.754335223915945</v>
      </c>
      <c r="DG136" s="21">
        <f>EXP(-LN(2)/25)*DG135+(1-EXP(-LN(2)/25))/(LN(2)/25)*Calculateur!DB136*Calculateur!DD136*VLOOKUP('Données projet'!$B$13,Paramètres!$A$1:$I$89,3,0)*0.475*44/12</f>
        <v>20.037648198656214</v>
      </c>
      <c r="DH136" s="21">
        <f>EXP(-LN(2)/2)*DH135+(1-EXP(-LN(2)/2))/(LN(2)/2)*DB136*DE136*VLOOKUP('Données projet'!$B$13,Paramètres!$A$1:$I$89,3,0)*0.475*44/12</f>
        <v>1.6902764597100405E-2</v>
      </c>
      <c r="DI136" s="22">
        <f t="shared" si="123"/>
        <v>43.808886187169257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2.5579538487363607E-13</v>
      </c>
      <c r="DP136" s="17">
        <f>DO136*VLOOKUP('Données projet'!$B$14,Paramètres!$A$1:$I$89,3,0)*VLOOKUP('Données projet'!$B$14,Paramètres!$A$1:$I$89,5,0)</f>
        <v>2.4740529624978082E-13</v>
      </c>
      <c r="DQ136" s="13">
        <f t="shared" si="151"/>
        <v>3.3447853361996459E-12</v>
      </c>
      <c r="DR136" s="20">
        <f t="shared" si="124"/>
        <v>6.2563986848494188E-12</v>
      </c>
      <c r="DS136" s="59">
        <f t="shared" si="125"/>
        <v>284.39223168033965</v>
      </c>
      <c r="DT136" s="59">
        <f ca="1">AVERAGE(OFFSET($DS$3,0,0,'Données projet'!$E$14+1,1))-AVERAGE(OFFSET($H$3,0,0,'Données projet'!$E$14+1,1))</f>
        <v>493.03862850474161</v>
      </c>
      <c r="DU136" s="59">
        <f t="shared" si="152"/>
        <v>312.51819065560528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113.79186270881</v>
      </c>
      <c r="EB136" s="21">
        <f>EXP(-LN(2)/25)*EB135+(1-EXP(-LN(2)/25))/(LN(2)/25)*Calculateur!DW136*Calculateur!DY136*VLOOKUP('Données projet'!$B$14,Paramètres!$A$1:$I$89,3,0)*0.475*44/12</f>
        <v>23.156108198291182</v>
      </c>
      <c r="EC136" s="21">
        <f>EXP(-LN(2)/2)*EC135+(1-EXP(-LN(2)/2))/(LN(2)/2)*DW136*DZ136*VLOOKUP('Données projet'!$B$14,Paramètres!$A$1:$I$89,3,0)*0.475*44/12</f>
        <v>2.5734602214237445</v>
      </c>
      <c r="ED136" s="22">
        <f t="shared" si="126"/>
        <v>139.52143112852494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2.5579538487363607E-13</v>
      </c>
      <c r="EK136" s="17">
        <f>EJ136*VLOOKUP('Données projet'!$B$15,Paramètres!$A$1:$I$89,3,0)*VLOOKUP('Données projet'!$B$15,Paramètres!$A$1:$I$89,5,0)</f>
        <v>2.7533815227798186E-13</v>
      </c>
      <c r="EL136" s="13">
        <f t="shared" si="153"/>
        <v>3.6763598146902537E-12</v>
      </c>
      <c r="EM136" s="20">
        <f t="shared" si="127"/>
        <v>6.88254062580301E-12</v>
      </c>
      <c r="EN136" s="59">
        <f t="shared" si="128"/>
        <v>284.39223168034027</v>
      </c>
      <c r="EO136" s="59">
        <f ca="1">AVERAGE(OFFSET($EN$3,0,0,'Données projet'!$E$15+1,1))-AVERAGE(OFFSET($H$3,0,0,'Données projet'!$E$15+1,1))</f>
        <v>539.72194201710272</v>
      </c>
      <c r="EP136" s="59">
        <f t="shared" si="154"/>
        <v>340.76505385159362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126.63933107915952</v>
      </c>
      <c r="EW136" s="21">
        <f>EXP(-LN(2)/25)*EW135+(1-EXP(-LN(2)/25))/(LN(2)/25)*Calculateur!ER136*Calculateur!ET136*VLOOKUP('Données projet'!$B$15,Paramètres!$A$1:$I$89,3,0)*0.475*44/12</f>
        <v>25.770507511001476</v>
      </c>
      <c r="EX136" s="21">
        <f>EXP(-LN(2)/2)*EX135+(1-EXP(-LN(2)/2))/(LN(2)/2)*ER136*EU136*VLOOKUP('Données projet'!$B$15,Paramètres!$A$1:$I$89,3,0)*0.475*44/12</f>
        <v>2.8640121819070701</v>
      </c>
      <c r="EY136" s="22">
        <f t="shared" si="129"/>
        <v>155.27385077206807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>
        <f>FE136*VLOOKUP('Données projet'!$B$16,Paramètres!$A$1:$I$89,3,0)*VLOOKUP('Données projet'!$B$16,Paramètres!$A$1:$I$89,5,0)</f>
        <v>0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383.47860767209028</v>
      </c>
      <c r="FK136" s="59">
        <f t="shared" si="156"/>
        <v>370.49129421395628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18.554167224175121</v>
      </c>
      <c r="FR136" s="21">
        <f>EXP(-LN(2)/25)*FR135+(1-EXP(-LN(2)/25))/(LN(2)/25)*Calculateur!FM136*Calculateur!FO136*VLOOKUP('Données projet'!$B$16,Paramètres!$A$1:$I$89,3,0)*0.475*44/12</f>
        <v>12.038376752612262</v>
      </c>
      <c r="FS136" s="21">
        <f>EXP(-LN(2)/2)*FS135+(1-EXP(-LN(2)/2))/(LN(2)/2)*FM136*FP136*VLOOKUP('Données projet'!$B$16,Paramètres!$A$1:$I$89,3,0)*0.475*44/12</f>
        <v>6.7061187436221359E-7</v>
      </c>
      <c r="FT136" s="22">
        <f t="shared" si="132"/>
        <v>30.592544647399258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7.3375000000000012</v>
      </c>
      <c r="FZ136" s="12">
        <f>IF('Données projet'!$A$244&gt;35,FZ135+FY136-GH135,IF(A136&lt;'Données projet'!$A$244,$FW$205^A136,IF(A136='Données projet'!$A$244,'Données projet'!$B$244,FZ135+FY136-GH135)))</f>
        <v>299.20750000000004</v>
      </c>
      <c r="GA136" s="17">
        <f>FZ136*VLOOKUP('Données projet'!$B$17,Paramètres!$A$1:$I$89,3,0)*VLOOKUP('Données projet'!$B$17,Paramètres!$A$1:$I$89,5,0)</f>
        <v>340.73750100000001</v>
      </c>
      <c r="GB136" s="13">
        <f t="shared" si="157"/>
        <v>79.6522995773622</v>
      </c>
      <c r="GC136" s="20">
        <f t="shared" si="133"/>
        <v>732.17890267223913</v>
      </c>
      <c r="GD136" s="59">
        <f t="shared" si="134"/>
        <v>1016.5711343525725</v>
      </c>
      <c r="GE136" s="59">
        <f ca="1">AVERAGE(OFFSET($GD$3,0,0,'Données projet'!$E$17+1,1))-AVERAGE(OFFSET($H$3,0,0,'Données projet'!$E$17+1,1))</f>
        <v>640.05156427113661</v>
      </c>
      <c r="GF136" s="59">
        <f t="shared" si="158"/>
        <v>308.77220155372902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32.113268475985471</v>
      </c>
      <c r="GM136" s="21">
        <f>EXP(-LN(2)/25)*GM135+(1-EXP(-LN(2)/25))/(LN(2)/25)*Calculateur!GH136*Calculateur!GJ136*VLOOKUP('Données projet'!$B$17,Paramètres!$A$1:$I$89,3,0)*0.475*44/12</f>
        <v>26.260104626870337</v>
      </c>
      <c r="GN136" s="21">
        <f>EXP(-LN(2)/2)*GN135+(1-EXP(-LN(2)/2))/(LN(2)/2)*GH136*GK136*VLOOKUP('Données projet'!$B$17,Paramètres!$A$1:$I$89,3,0)*0.475*44/12</f>
        <v>3.8134946989957581</v>
      </c>
      <c r="GO136" s="21">
        <f t="shared" si="135"/>
        <v>62.186867801851569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4.7884896048344674E-14</v>
      </c>
      <c r="P137" s="13">
        <f t="shared" si="141"/>
        <v>7.8374629847779921E-13</v>
      </c>
      <c r="Q137" s="20">
        <f t="shared" si="108"/>
        <v>1.4484243304663672E-12</v>
      </c>
      <c r="R137" s="59">
        <f t="shared" si="109"/>
        <v>284.5473398047057</v>
      </c>
      <c r="S137" s="59">
        <f ca="1">AVERAGE(OFFSET($R$3,0,0,'Données projet'!$E$9+1,1))-AVERAGE(OFFSET($H$3,0,0,'Données projet'!$E$9+1,1))</f>
        <v>456.35333554128226</v>
      </c>
      <c r="T137" s="59">
        <f t="shared" si="142"/>
        <v>296.4517290984877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70.266773838920457</v>
      </c>
      <c r="AA137" s="21">
        <f>EXP(-LN(2)/25)*AA136+(1-EXP(-LN(2)/25))/(LN(2)/25)*Calculateur!V137*Calculateur!X137*VLOOKUP('Données projet'!$B$9,Paramètres!$A$1:$I$89,3,0)*0.475*44/12</f>
        <v>12.873342077795739</v>
      </c>
      <c r="AB137" s="21">
        <f>EXP(-LN(2)/2)*AB136+(1-EXP(-LN(2)/2))/(LN(2)/2)*V137*Y137*VLOOKUP('Données projet'!$B$9,Paramètres!$A$1:$I$89,3,0)*0.475*44/12</f>
        <v>4.5306540069343785E-4</v>
      </c>
      <c r="AC137" s="22">
        <f t="shared" si="111"/>
        <v>83.140568982116889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408.246209980743</v>
      </c>
      <c r="AO137" s="59">
        <f t="shared" si="144"/>
        <v>394.10236303013903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19.589587577359271</v>
      </c>
      <c r="AV137" s="21">
        <f>EXP(-LN(2)/25)*AV136+(1-EXP(-LN(2)/25))/(LN(2)/25)*Calculateur!AQ137*Calculateur!AS137*VLOOKUP('Données projet'!$B$10,Paramètres!$A$1:$I$89,3,0)*0.475*44/12</f>
        <v>12.609893377029163</v>
      </c>
      <c r="AW137" s="21">
        <f>EXP(-LN(2)/2)*AW136+(1-EXP(-LN(2)/2))/(LN(2)/2)*AQ137*AT137*VLOOKUP('Données projet'!$B$10,Paramètres!$A$1:$I$89,3,0)*0.475*44/12</f>
        <v>5.1067068112925902E-7</v>
      </c>
      <c r="AX137" s="21">
        <f t="shared" si="114"/>
        <v>32.199481465059115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7.3375000000000012</v>
      </c>
      <c r="BD137" s="12">
        <f>IF('Données projet'!$A$88&gt;35,BD136+BC137-BL136,IF(A137&lt;'Données projet'!$A$88,$BA$205^A137,IF(A137='Données projet'!$A$88,'Données projet'!$B$88,BD136+BC137-BL136)))</f>
        <v>306.54500000000002</v>
      </c>
      <c r="BE137" s="13">
        <f>BD137*VLOOKUP('Données projet'!$B$11,Paramètres!$A$1:$I$89,3,0)*VLOOKUP('Données projet'!$B$11,Paramètres!$A$1:$I$89,5,0)</f>
        <v>310.83663000000001</v>
      </c>
      <c r="BF137" s="13">
        <f t="shared" si="145"/>
        <v>73.443524398472576</v>
      </c>
      <c r="BG137" s="20">
        <f t="shared" si="115"/>
        <v>669.28793557733968</v>
      </c>
      <c r="BH137" s="59">
        <f t="shared" si="116"/>
        <v>953.83527538204396</v>
      </c>
      <c r="BI137" s="59">
        <f ca="1">AVERAGE(OFFSET($BH$3,0,0,'Données projet'!$E$11+1,1))-AVERAGE(OFFSET($H$3,0,0,'Données projet'!$E$11+1,1))</f>
        <v>580.02848304986492</v>
      </c>
      <c r="BJ137" s="59">
        <f t="shared" si="146"/>
        <v>281.68891895586728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28.033295156733157</v>
      </c>
      <c r="BQ137" s="21">
        <f>EXP(-LN(2)/25)*BQ136+(1-EXP(-LN(2)/25))/(LN(2)/25)*Calculateur!BL137*Calculateur!BN137*VLOOKUP('Données projet'!$B$11,Paramètres!$A$1:$I$89,3,0)*0.475*44/12</f>
        <v>22.742895130381225</v>
      </c>
      <c r="BR137" s="21">
        <f>EXP(-LN(2)/2)*BR136+(1-EXP(-LN(2)/2))/(LN(2)/2)*BL137*BO137*VLOOKUP('Données projet'!$B$11,Paramètres!$A$1:$I$89,3,0)*0.475*44/12</f>
        <v>2.4010358562893894</v>
      </c>
      <c r="BS137" s="22">
        <f t="shared" si="117"/>
        <v>53.177226143403772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4.4337866711430253E-14</v>
      </c>
      <c r="CA137" s="13">
        <f t="shared" si="147"/>
        <v>7.3222115536967035E-13</v>
      </c>
      <c r="CB137" s="20">
        <f t="shared" si="118"/>
        <v>1.3525069634579169E-12</v>
      </c>
      <c r="CC137" s="59">
        <f t="shared" si="119"/>
        <v>284.54733980470564</v>
      </c>
      <c r="CD137" s="59">
        <f ca="1">AVERAGE(OFFSET($CC$3,0,0,'Données projet'!$E$12+1,1))-AVERAGE(OFFSET($H$3,0,0,'Données projet'!$E$12+1,1))</f>
        <v>308.85018589589453</v>
      </c>
      <c r="CE137" s="59">
        <f t="shared" si="148"/>
        <v>302.59481222418219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11.868570350368623</v>
      </c>
      <c r="CL137" s="21">
        <f>EXP(-LN(2)/25)*CL136+(1-EXP(-LN(2)/25))/(LN(2)/25)*Calculateur!CG137*Calculateur!CI137*VLOOKUP('Données projet'!$B$12,Paramètres!$A$1:$I$89,3,0)*0.475*44/12</f>
        <v>6.9827009309410286</v>
      </c>
      <c r="CM137" s="21">
        <f>EXP(-LN(2)/2)*CM136+(1-EXP(-LN(2)/2))/(LN(2)/2)*CG137*CJ137*VLOOKUP('Données projet'!$B$12,Paramètres!$A$1:$I$89,3,0)*0.475*44/12</f>
        <v>1.0002636096662252E-8</v>
      </c>
      <c r="CN137" s="22">
        <f t="shared" si="120"/>
        <v>18.851271291312287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2.2737367544323206E-13</v>
      </c>
      <c r="CU137" s="17">
        <f>CT137*VLOOKUP('Données projet'!$B$13,Paramètres!$A$1:$I$89,3,0)*VLOOKUP('Données projet'!$B$13,Paramètres!$A$1:$I$89,5,0)</f>
        <v>1.5252226148732008E-13</v>
      </c>
      <c r="CV137" s="13">
        <f t="shared" si="149"/>
        <v>2.1814502464536512E-12</v>
      </c>
      <c r="CW137" s="20">
        <f t="shared" si="121"/>
        <v>4.0650021179971913E-12</v>
      </c>
      <c r="CX137" s="59">
        <f t="shared" si="122"/>
        <v>284.54733980470837</v>
      </c>
      <c r="CY137" s="59">
        <f ca="1">AVERAGE(OFFSET($CX$3,0,0,'Données projet'!$E$13+1,1))-AVERAGE(OFFSET($H$3,0,0,'Données projet'!$E$13+1,1))</f>
        <v>335.73816489539837</v>
      </c>
      <c r="CZ137" s="59">
        <f t="shared" si="150"/>
        <v>254.09787950201044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23.288527198888797</v>
      </c>
      <c r="DG137" s="21">
        <f>EXP(-LN(2)/25)*DG136+(1-EXP(-LN(2)/25))/(LN(2)/25)*Calculateur!DB137*Calculateur!DD137*VLOOKUP('Données projet'!$B$13,Paramètres!$A$1:$I$89,3,0)*0.475*44/12</f>
        <v>19.489717654929837</v>
      </c>
      <c r="DH137" s="21">
        <f>EXP(-LN(2)/2)*DH136+(1-EXP(-LN(2)/2))/(LN(2)/2)*DB137*DE137*VLOOKUP('Données projet'!$B$13,Paramètres!$A$1:$I$89,3,0)*0.475*44/12</f>
        <v>1.1952059467409598E-2</v>
      </c>
      <c r="DI137" s="22">
        <f t="shared" si="123"/>
        <v>42.790196913286046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2.5579538487363607E-13</v>
      </c>
      <c r="DP137" s="17">
        <f>DO137*VLOOKUP('Données projet'!$B$14,Paramètres!$A$1:$I$89,3,0)*VLOOKUP('Données projet'!$B$14,Paramètres!$A$1:$I$89,5,0)</f>
        <v>2.4740529624978082E-13</v>
      </c>
      <c r="DQ137" s="13">
        <f t="shared" si="151"/>
        <v>3.3447853361996459E-12</v>
      </c>
      <c r="DR137" s="20">
        <f t="shared" si="124"/>
        <v>6.2563986848494188E-12</v>
      </c>
      <c r="DS137" s="59">
        <f t="shared" si="125"/>
        <v>284.54733980471053</v>
      </c>
      <c r="DT137" s="59">
        <f ca="1">AVERAGE(OFFSET($DS$3,0,0,'Données projet'!$E$14+1,1))-AVERAGE(OFFSET($H$3,0,0,'Données projet'!$E$14+1,1))</f>
        <v>493.03862850474161</v>
      </c>
      <c r="DU137" s="59">
        <f t="shared" si="152"/>
        <v>312.51819065560528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111.5604736872732</v>
      </c>
      <c r="EB137" s="21">
        <f>EXP(-LN(2)/25)*EB136+(1-EXP(-LN(2)/25))/(LN(2)/25)*Calculateur!DW137*Calculateur!DY137*VLOOKUP('Données projet'!$B$14,Paramètres!$A$1:$I$89,3,0)*0.475*44/12</f>
        <v>22.522903201882105</v>
      </c>
      <c r="EC137" s="21">
        <f>EXP(-LN(2)/2)*EC136+(1-EXP(-LN(2)/2))/(LN(2)/2)*DW137*DZ137*VLOOKUP('Données projet'!$B$14,Paramètres!$A$1:$I$89,3,0)*0.475*44/12</f>
        <v>1.819711173682564</v>
      </c>
      <c r="ED137" s="22">
        <f t="shared" si="126"/>
        <v>135.9030880628379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2.5579538487363607E-13</v>
      </c>
      <c r="EK137" s="17">
        <f>EJ137*VLOOKUP('Données projet'!$B$15,Paramètres!$A$1:$I$89,3,0)*VLOOKUP('Données projet'!$B$15,Paramètres!$A$1:$I$89,5,0)</f>
        <v>2.7533815227798186E-13</v>
      </c>
      <c r="EL137" s="13">
        <f t="shared" si="153"/>
        <v>3.6763598146902537E-12</v>
      </c>
      <c r="EM137" s="20">
        <f t="shared" si="127"/>
        <v>6.88254062580301E-12</v>
      </c>
      <c r="EN137" s="59">
        <f t="shared" si="128"/>
        <v>284.54733980471116</v>
      </c>
      <c r="EO137" s="59">
        <f ca="1">AVERAGE(OFFSET($EN$3,0,0,'Données projet'!$E$15+1,1))-AVERAGE(OFFSET($H$3,0,0,'Données projet'!$E$15+1,1))</f>
        <v>539.72194201710272</v>
      </c>
      <c r="EP137" s="59">
        <f t="shared" si="154"/>
        <v>340.76505385159362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124.15601103906211</v>
      </c>
      <c r="EW137" s="21">
        <f>EXP(-LN(2)/25)*EW136+(1-EXP(-LN(2)/25))/(LN(2)/25)*Calculateur!ER137*Calculateur!ET137*VLOOKUP('Données projet'!$B$15,Paramètres!$A$1:$I$89,3,0)*0.475*44/12</f>
        <v>25.065811627901049</v>
      </c>
      <c r="EX137" s="21">
        <f>EXP(-LN(2)/2)*EX136+(1-EXP(-LN(2)/2))/(LN(2)/2)*ER137*EU137*VLOOKUP('Données projet'!$B$15,Paramètres!$A$1:$I$89,3,0)*0.475*44/12</f>
        <v>2.0251624352273692</v>
      </c>
      <c r="EY137" s="22">
        <f t="shared" si="129"/>
        <v>151.24698510219054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>
        <f>FE137*VLOOKUP('Données projet'!$B$16,Paramètres!$A$1:$I$89,3,0)*VLOOKUP('Données projet'!$B$16,Paramètres!$A$1:$I$89,5,0)</f>
        <v>0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383.47860767209028</v>
      </c>
      <c r="FK137" s="59">
        <f t="shared" si="156"/>
        <v>370.49129421395628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18.1903313218336</v>
      </c>
      <c r="FR137" s="21">
        <f>EXP(-LN(2)/25)*FR136+(1-EXP(-LN(2)/25))/(LN(2)/25)*Calculateur!FM137*Calculateur!FO137*VLOOKUP('Données projet'!$B$16,Paramètres!$A$1:$I$89,3,0)*0.475*44/12</f>
        <v>11.70918670724136</v>
      </c>
      <c r="FS137" s="21">
        <f>EXP(-LN(2)/2)*FS136+(1-EXP(-LN(2)/2))/(LN(2)/2)*FM137*FP137*VLOOKUP('Données projet'!$B$16,Paramètres!$A$1:$I$89,3,0)*0.475*44/12</f>
        <v>4.7419420390574232E-7</v>
      </c>
      <c r="FT137" s="22">
        <f t="shared" si="132"/>
        <v>29.899518503269167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7.3375000000000012</v>
      </c>
      <c r="FZ137" s="12">
        <f>IF('Données projet'!$A$244&gt;35,FZ136+FY137-GH136,IF(A137&lt;'Données projet'!$A$244,$FW$205^A137,IF(A137='Données projet'!$A$244,'Données projet'!$B$244,FZ136+FY137-GH136)))</f>
        <v>306.54500000000002</v>
      </c>
      <c r="GA137" s="17">
        <f>FZ137*VLOOKUP('Données projet'!$B$17,Paramètres!$A$1:$I$89,3,0)*VLOOKUP('Données projet'!$B$17,Paramètres!$A$1:$I$89,5,0)</f>
        <v>349.09344600000003</v>
      </c>
      <c r="GB137" s="13">
        <f t="shared" si="157"/>
        <v>81.375814187494555</v>
      </c>
      <c r="GC137" s="20">
        <f t="shared" si="133"/>
        <v>749.73396149321979</v>
      </c>
      <c r="GD137" s="59">
        <f t="shared" si="134"/>
        <v>1034.2813012979241</v>
      </c>
      <c r="GE137" s="59">
        <f ca="1">AVERAGE(OFFSET($GD$3,0,0,'Données projet'!$E$17+1,1))-AVERAGE(OFFSET($H$3,0,0,'Données projet'!$E$17+1,1))</f>
        <v>640.05156427113661</v>
      </c>
      <c r="GF137" s="59">
        <f t="shared" si="158"/>
        <v>308.77220155372902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31.483546868331096</v>
      </c>
      <c r="GM137" s="21">
        <f>EXP(-LN(2)/25)*GM136+(1-EXP(-LN(2)/25))/(LN(2)/25)*Calculateur!GH137*Calculateur!GJ137*VLOOKUP('Données projet'!$B$17,Paramètres!$A$1:$I$89,3,0)*0.475*44/12</f>
        <v>25.542020684889685</v>
      </c>
      <c r="GN137" s="21">
        <f>EXP(-LN(2)/2)*GN136+(1-EXP(-LN(2)/2))/(LN(2)/2)*GH137*GK137*VLOOKUP('Données projet'!$B$17,Paramètres!$A$1:$I$89,3,0)*0.475*44/12</f>
        <v>2.6965479616788528</v>
      </c>
      <c r="GO137" s="21">
        <f t="shared" si="135"/>
        <v>59.722115514899635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4.7884896048344674E-14</v>
      </c>
      <c r="P138" s="13">
        <f t="shared" si="141"/>
        <v>7.8374629847779921E-13</v>
      </c>
      <c r="Q138" s="20">
        <f t="shared" si="108"/>
        <v>1.4484243304663672E-12</v>
      </c>
      <c r="R138" s="59">
        <f t="shared" si="109"/>
        <v>284.69975714988857</v>
      </c>
      <c r="S138" s="59">
        <f ca="1">AVERAGE(OFFSET($R$3,0,0,'Données projet'!$E$9+1,1))-AVERAGE(OFFSET($H$3,0,0,'Données projet'!$E$9+1,1))</f>
        <v>456.35333554128226</v>
      </c>
      <c r="T138" s="59">
        <f t="shared" si="142"/>
        <v>296.4517290984877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68.888885262439345</v>
      </c>
      <c r="AA138" s="21">
        <f>EXP(-LN(2)/25)*AA137+(1-EXP(-LN(2)/25))/(LN(2)/25)*Calculateur!V138*Calculateur!X138*VLOOKUP('Données projet'!$B$9,Paramètres!$A$1:$I$89,3,0)*0.475*44/12</f>
        <v>12.521319861698776</v>
      </c>
      <c r="AB138" s="21">
        <f>EXP(-LN(2)/2)*AB137+(1-EXP(-LN(2)/2))/(LN(2)/2)*V138*Y138*VLOOKUP('Données projet'!$B$9,Paramètres!$A$1:$I$89,3,0)*0.475*44/12</f>
        <v>3.2036561715133023E-4</v>
      </c>
      <c r="AC138" s="22">
        <f t="shared" si="111"/>
        <v>81.410525489755273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408.246209980743</v>
      </c>
      <c r="AO138" s="59">
        <f t="shared" si="144"/>
        <v>394.10236303013903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19.205447713435866</v>
      </c>
      <c r="AV138" s="21">
        <f>EXP(-LN(2)/25)*AV137+(1-EXP(-LN(2)/25))/(LN(2)/25)*Calculateur!AQ138*Calculateur!AS138*VLOOKUP('Données projet'!$B$10,Paramètres!$A$1:$I$89,3,0)*0.475*44/12</f>
        <v>12.265075179508829</v>
      </c>
      <c r="AW138" s="21">
        <f>EXP(-LN(2)/2)*AW137+(1-EXP(-LN(2)/2))/(LN(2)/2)*AQ138*AT138*VLOOKUP('Données projet'!$B$10,Paramètres!$A$1:$I$89,3,0)*0.475*44/12</f>
        <v>3.6109870157965214E-7</v>
      </c>
      <c r="AX138" s="21">
        <f t="shared" si="114"/>
        <v>31.470523254043396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7.3375000000000012</v>
      </c>
      <c r="BD138" s="12">
        <f>IF('Données projet'!$A$88&gt;35,BD137+BC138-BL137,IF(A138&lt;'Données projet'!$A$88,$BA$205^A138,IF(A138='Données projet'!$A$88,'Données projet'!$B$88,BD137+BC138-BL137)))</f>
        <v>313.88249999999999</v>
      </c>
      <c r="BE138" s="13">
        <f>BD138*VLOOKUP('Données projet'!$B$11,Paramètres!$A$1:$I$89,3,0)*VLOOKUP('Données projet'!$B$11,Paramètres!$A$1:$I$89,5,0)</f>
        <v>318.27685500000001</v>
      </c>
      <c r="BF138" s="13">
        <f t="shared" si="145"/>
        <v>74.994707244966222</v>
      </c>
      <c r="BG138" s="20">
        <f t="shared" si="115"/>
        <v>684.94797090998281</v>
      </c>
      <c r="BH138" s="59">
        <f t="shared" si="116"/>
        <v>969.64772805986991</v>
      </c>
      <c r="BI138" s="59">
        <f ca="1">AVERAGE(OFFSET($BH$3,0,0,'Données projet'!$E$11+1,1))-AVERAGE(OFFSET($H$3,0,0,'Données projet'!$E$11+1,1))</f>
        <v>580.02848304986492</v>
      </c>
      <c r="BJ138" s="59">
        <f t="shared" si="146"/>
        <v>281.68891895586728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27.483579337331317</v>
      </c>
      <c r="BQ138" s="21">
        <f>EXP(-LN(2)/25)*BQ137+(1-EXP(-LN(2)/25))/(LN(2)/25)*Calculateur!BL138*Calculateur!BN138*VLOOKUP('Données projet'!$B$11,Paramètres!$A$1:$I$89,3,0)*0.475*44/12</f>
        <v>22.120989467044076</v>
      </c>
      <c r="BR138" s="21">
        <f>EXP(-LN(2)/2)*BR137+(1-EXP(-LN(2)/2))/(LN(2)/2)*BL138*BO138*VLOOKUP('Données projet'!$B$11,Paramètres!$A$1:$I$89,3,0)*0.475*44/12</f>
        <v>1.6977887358542763</v>
      </c>
      <c r="BS138" s="22">
        <f t="shared" si="117"/>
        <v>51.302357540229664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4.4337866711430253E-14</v>
      </c>
      <c r="CA138" s="13">
        <f t="shared" si="147"/>
        <v>7.3222115536967035E-13</v>
      </c>
      <c r="CB138" s="20">
        <f t="shared" si="118"/>
        <v>1.3525069634579169E-12</v>
      </c>
      <c r="CC138" s="59">
        <f t="shared" si="119"/>
        <v>284.69975714988851</v>
      </c>
      <c r="CD138" s="59">
        <f ca="1">AVERAGE(OFFSET($CC$3,0,0,'Données projet'!$E$12+1,1))-AVERAGE(OFFSET($H$3,0,0,'Données projet'!$E$12+1,1))</f>
        <v>308.85018589589453</v>
      </c>
      <c r="CE138" s="59">
        <f t="shared" si="148"/>
        <v>302.59481222418219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11.635834924911006</v>
      </c>
      <c r="CL138" s="21">
        <f>EXP(-LN(2)/25)*CL137+(1-EXP(-LN(2)/25))/(LN(2)/25)*Calculateur!CG138*Calculateur!CI138*VLOOKUP('Données projet'!$B$12,Paramètres!$A$1:$I$89,3,0)*0.475*44/12</f>
        <v>6.7917586067801636</v>
      </c>
      <c r="CM138" s="21">
        <f>EXP(-LN(2)/2)*CM137+(1-EXP(-LN(2)/2))/(LN(2)/2)*CG138*CJ138*VLOOKUP('Données projet'!$B$12,Paramètres!$A$1:$I$89,3,0)*0.475*44/12</f>
        <v>7.0729318136912169E-9</v>
      </c>
      <c r="CN138" s="22">
        <f t="shared" si="120"/>
        <v>18.4275935387641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2.2737367544323206E-13</v>
      </c>
      <c r="CU138" s="17">
        <f>CT138*VLOOKUP('Données projet'!$B$13,Paramètres!$A$1:$I$89,3,0)*VLOOKUP('Données projet'!$B$13,Paramètres!$A$1:$I$89,5,0)</f>
        <v>1.5252226148732008E-13</v>
      </c>
      <c r="CV138" s="13">
        <f t="shared" si="149"/>
        <v>2.1814502464536512E-12</v>
      </c>
      <c r="CW138" s="20">
        <f t="shared" si="121"/>
        <v>4.0650021179971913E-12</v>
      </c>
      <c r="CX138" s="59">
        <f t="shared" si="122"/>
        <v>284.69975714989124</v>
      </c>
      <c r="CY138" s="59">
        <f ca="1">AVERAGE(OFFSET($CX$3,0,0,'Données projet'!$E$13+1,1))-AVERAGE(OFFSET($H$3,0,0,'Données projet'!$E$13+1,1))</f>
        <v>335.73816489539837</v>
      </c>
      <c r="CZ138" s="59">
        <f t="shared" si="150"/>
        <v>254.09787950201044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22.83185338511759</v>
      </c>
      <c r="DG138" s="21">
        <f>EXP(-LN(2)/25)*DG137+(1-EXP(-LN(2)/25))/(LN(2)/25)*Calculateur!DB138*Calculateur!DD138*VLOOKUP('Données projet'!$B$13,Paramètres!$A$1:$I$89,3,0)*0.475*44/12</f>
        <v>18.956770300736075</v>
      </c>
      <c r="DH138" s="21">
        <f>EXP(-LN(2)/2)*DH137+(1-EXP(-LN(2)/2))/(LN(2)/2)*DB138*DE138*VLOOKUP('Données projet'!$B$13,Paramètres!$A$1:$I$89,3,0)*0.475*44/12</f>
        <v>8.4513822985502023E-3</v>
      </c>
      <c r="DI138" s="22">
        <f t="shared" si="123"/>
        <v>41.797075068152218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2.5579538487363607E-13</v>
      </c>
      <c r="DP138" s="17">
        <f>DO138*VLOOKUP('Données projet'!$B$14,Paramètres!$A$1:$I$89,3,0)*VLOOKUP('Données projet'!$B$14,Paramètres!$A$1:$I$89,5,0)</f>
        <v>2.4740529624978082E-13</v>
      </c>
      <c r="DQ138" s="13">
        <f t="shared" si="151"/>
        <v>3.3447853361996459E-12</v>
      </c>
      <c r="DR138" s="20">
        <f t="shared" si="124"/>
        <v>6.2563986848494188E-12</v>
      </c>
      <c r="DS138" s="59">
        <f t="shared" si="125"/>
        <v>284.6997571498934</v>
      </c>
      <c r="DT138" s="59">
        <f ca="1">AVERAGE(OFFSET($DS$3,0,0,'Données projet'!$E$14+1,1))-AVERAGE(OFFSET($H$3,0,0,'Données projet'!$E$14+1,1))</f>
        <v>493.03862850474161</v>
      </c>
      <c r="DU138" s="59">
        <f t="shared" si="152"/>
        <v>312.51819065560528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109.37284084343582</v>
      </c>
      <c r="EB138" s="21">
        <f>EXP(-LN(2)/25)*EB137+(1-EXP(-LN(2)/25))/(LN(2)/25)*Calculateur!DW138*Calculateur!DY138*VLOOKUP('Données projet'!$B$14,Paramètres!$A$1:$I$89,3,0)*0.475*44/12</f>
        <v>21.907013229398636</v>
      </c>
      <c r="EC138" s="21">
        <f>EXP(-LN(2)/2)*EC137+(1-EXP(-LN(2)/2))/(LN(2)/2)*DW138*DZ138*VLOOKUP('Données projet'!$B$14,Paramètres!$A$1:$I$89,3,0)*0.475*44/12</f>
        <v>1.2867301107118725</v>
      </c>
      <c r="ED138" s="22">
        <f t="shared" si="126"/>
        <v>132.56658418354635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2.5579538487363607E-13</v>
      </c>
      <c r="EK138" s="17">
        <f>EJ138*VLOOKUP('Données projet'!$B$15,Paramètres!$A$1:$I$89,3,0)*VLOOKUP('Données projet'!$B$15,Paramètres!$A$1:$I$89,5,0)</f>
        <v>2.7533815227798186E-13</v>
      </c>
      <c r="EL138" s="13">
        <f t="shared" si="153"/>
        <v>3.6763598146902537E-12</v>
      </c>
      <c r="EM138" s="20">
        <f t="shared" si="127"/>
        <v>6.88254062580301E-12</v>
      </c>
      <c r="EN138" s="59">
        <f t="shared" si="128"/>
        <v>284.69975714989403</v>
      </c>
      <c r="EO138" s="59">
        <f ca="1">AVERAGE(OFFSET($EN$3,0,0,'Données projet'!$E$15+1,1))-AVERAGE(OFFSET($H$3,0,0,'Données projet'!$E$15+1,1))</f>
        <v>539.72194201710272</v>
      </c>
      <c r="EP138" s="59">
        <f t="shared" si="154"/>
        <v>340.76505385159362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121.72138739027534</v>
      </c>
      <c r="EW138" s="21">
        <f>EXP(-LN(2)/25)*EW137+(1-EXP(-LN(2)/25))/(LN(2)/25)*Calculateur!ER138*Calculateur!ET138*VLOOKUP('Données projet'!$B$15,Paramètres!$A$1:$I$89,3,0)*0.475*44/12</f>
        <v>24.380385690782351</v>
      </c>
      <c r="EX138" s="21">
        <f>EXP(-LN(2)/2)*EX137+(1-EXP(-LN(2)/2))/(LN(2)/2)*ER138*EU138*VLOOKUP('Données projet'!$B$15,Paramètres!$A$1:$I$89,3,0)*0.475*44/12</f>
        <v>1.432006090953535</v>
      </c>
      <c r="EY138" s="22">
        <f t="shared" si="129"/>
        <v>147.53377917201124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>
        <f>FE138*VLOOKUP('Données projet'!$B$16,Paramètres!$A$1:$I$89,3,0)*VLOOKUP('Données projet'!$B$16,Paramètres!$A$1:$I$89,5,0)</f>
        <v>0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383.47860767209028</v>
      </c>
      <c r="FK138" s="59">
        <f t="shared" si="156"/>
        <v>370.49129421395628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17.833630019619008</v>
      </c>
      <c r="FR138" s="21">
        <f>EXP(-LN(2)/25)*FR137+(1-EXP(-LN(2)/25))/(LN(2)/25)*Calculateur!FM138*Calculateur!FO138*VLOOKUP('Données projet'!$B$16,Paramètres!$A$1:$I$89,3,0)*0.475*44/12</f>
        <v>11.388998380972478</v>
      </c>
      <c r="FS138" s="21">
        <f>EXP(-LN(2)/2)*FS137+(1-EXP(-LN(2)/2))/(LN(2)/2)*FM138*FP138*VLOOKUP('Données projet'!$B$16,Paramètres!$A$1:$I$89,3,0)*0.475*44/12</f>
        <v>3.3530593718110685E-7</v>
      </c>
      <c r="FT138" s="22">
        <f t="shared" si="132"/>
        <v>29.222628735897423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7.3375000000000012</v>
      </c>
      <c r="FZ138" s="12">
        <f>IF('Données projet'!$A$244&gt;35,FZ137+FY138-GH137,IF(A138&lt;'Données projet'!$A$244,$FW$205^A138,IF(A138='Données projet'!$A$244,'Données projet'!$B$244,FZ137+FY138-GH137)))</f>
        <v>313.88249999999999</v>
      </c>
      <c r="GA138" s="17">
        <f>FZ138*VLOOKUP('Données projet'!$B$17,Paramètres!$A$1:$I$89,3,0)*VLOOKUP('Données projet'!$B$17,Paramètres!$A$1:$I$89,5,0)</f>
        <v>357.44939099999999</v>
      </c>
      <c r="GB138" s="13">
        <f t="shared" si="157"/>
        <v>83.094533000636375</v>
      </c>
      <c r="GC138" s="20">
        <f t="shared" si="133"/>
        <v>767.28066763444167</v>
      </c>
      <c r="GD138" s="59">
        <f t="shared" si="134"/>
        <v>1051.9804247843288</v>
      </c>
      <c r="GE138" s="59">
        <f ca="1">AVERAGE(OFFSET($GD$3,0,0,'Données projet'!$E$17+1,1))-AVERAGE(OFFSET($H$3,0,0,'Données projet'!$E$17+1,1))</f>
        <v>640.05156427113661</v>
      </c>
      <c r="GF138" s="59">
        <f t="shared" si="158"/>
        <v>308.77220155372902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30.866173717310566</v>
      </c>
      <c r="GM138" s="21">
        <f>EXP(-LN(2)/25)*GM137+(1-EXP(-LN(2)/25))/(LN(2)/25)*Calculateur!GH138*Calculateur!GJ138*VLOOKUP('Données projet'!$B$17,Paramètres!$A$1:$I$89,3,0)*0.475*44/12</f>
        <v>24.843572786064886</v>
      </c>
      <c r="GN138" s="21">
        <f>EXP(-LN(2)/2)*GN137+(1-EXP(-LN(2)/2))/(LN(2)/2)*GH138*GK138*VLOOKUP('Données projet'!$B$17,Paramètres!$A$1:$I$89,3,0)*0.475*44/12</f>
        <v>1.9067473494978795</v>
      </c>
      <c r="GO138" s="21">
        <f t="shared" si="135"/>
        <v>57.616493852873333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4.7884896048344674E-14</v>
      </c>
      <c r="P139" s="13">
        <f t="shared" si="141"/>
        <v>7.8374629847779921E-13</v>
      </c>
      <c r="Q139" s="20">
        <f t="shared" si="108"/>
        <v>1.4484243304663672E-12</v>
      </c>
      <c r="R139" s="59">
        <f t="shared" si="109"/>
        <v>284.84953039488664</v>
      </c>
      <c r="S139" s="59">
        <f ca="1">AVERAGE(OFFSET($R$3,0,0,'Données projet'!$E$9+1,1))-AVERAGE(OFFSET($H$3,0,0,'Données projet'!$E$9+1,1))</f>
        <v>456.35333554128226</v>
      </c>
      <c r="T139" s="59">
        <f t="shared" si="142"/>
        <v>296.4517290984877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67.538016240513983</v>
      </c>
      <c r="AA139" s="21">
        <f>EXP(-LN(2)/25)*AA138+(1-EXP(-LN(2)/25))/(LN(2)/25)*Calculateur!V139*Calculateur!X139*VLOOKUP('Données projet'!$B$9,Paramètres!$A$1:$I$89,3,0)*0.475*44/12</f>
        <v>12.178923711613029</v>
      </c>
      <c r="AB139" s="21">
        <f>EXP(-LN(2)/2)*AB138+(1-EXP(-LN(2)/2))/(LN(2)/2)*V139*Y139*VLOOKUP('Données projet'!$B$9,Paramètres!$A$1:$I$89,3,0)*0.475*44/12</f>
        <v>2.2653270034671892E-4</v>
      </c>
      <c r="AC139" s="22">
        <f t="shared" si="111"/>
        <v>79.717166484827359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408.246209980743</v>
      </c>
      <c r="AO139" s="59">
        <f t="shared" si="144"/>
        <v>394.10236303013903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18.828840597941817</v>
      </c>
      <c r="AV139" s="21">
        <f>EXP(-LN(2)/25)*AV138+(1-EXP(-LN(2)/25))/(LN(2)/25)*Calculateur!AQ139*Calculateur!AS139*VLOOKUP('Données projet'!$B$10,Paramètres!$A$1:$I$89,3,0)*0.475*44/12</f>
        <v>11.929686053732889</v>
      </c>
      <c r="AW139" s="21">
        <f>EXP(-LN(2)/2)*AW138+(1-EXP(-LN(2)/2))/(LN(2)/2)*AQ139*AT139*VLOOKUP('Données projet'!$B$10,Paramètres!$A$1:$I$89,3,0)*0.475*44/12</f>
        <v>2.5533534056462951E-7</v>
      </c>
      <c r="AX139" s="21">
        <f t="shared" si="114"/>
        <v>30.758526907010047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7.3375000000000012</v>
      </c>
      <c r="BD139" s="12">
        <f>IF('Données projet'!$A$88&gt;35,BD138+BC139-BL138,IF(A139&lt;'Données projet'!$A$88,$BA$205^A139,IF(A139='Données projet'!$A$88,'Données projet'!$B$88,BD138+BC139-BL138)))</f>
        <v>321.21999999999997</v>
      </c>
      <c r="BE139" s="13">
        <f>BD139*VLOOKUP('Données projet'!$B$11,Paramètres!$A$1:$I$89,3,0)*VLOOKUP('Données projet'!$B$11,Paramètres!$A$1:$I$89,5,0)</f>
        <v>325.71707999999995</v>
      </c>
      <c r="BF139" s="13">
        <f t="shared" si="145"/>
        <v>76.54167460148193</v>
      </c>
      <c r="BG139" s="20">
        <f t="shared" si="115"/>
        <v>700.60066426424748</v>
      </c>
      <c r="BH139" s="59">
        <f t="shared" si="116"/>
        <v>985.45019465913265</v>
      </c>
      <c r="BI139" s="59">
        <f ca="1">AVERAGE(OFFSET($BH$3,0,0,'Données projet'!$E$11+1,1))-AVERAGE(OFFSET($H$3,0,0,'Données projet'!$E$11+1,1))</f>
        <v>580.02848304986492</v>
      </c>
      <c r="BJ139" s="59">
        <f t="shared" si="146"/>
        <v>281.68891895586728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26.944643109854404</v>
      </c>
      <c r="BQ139" s="21">
        <f>EXP(-LN(2)/25)*BQ138+(1-EXP(-LN(2)/25))/(LN(2)/25)*Calculateur!BL139*Calculateur!BN139*VLOOKUP('Données projet'!$B$11,Paramètres!$A$1:$I$89,3,0)*0.475*44/12</f>
        <v>21.516089846775479</v>
      </c>
      <c r="BR139" s="21">
        <f>EXP(-LN(2)/2)*BR138+(1-EXP(-LN(2)/2))/(LN(2)/2)*BL139*BO139*VLOOKUP('Données projet'!$B$11,Paramètres!$A$1:$I$89,3,0)*0.475*44/12</f>
        <v>1.2005179281446949</v>
      </c>
      <c r="BS139" s="22">
        <f t="shared" si="117"/>
        <v>49.661250884774574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4.4337866711430253E-14</v>
      </c>
      <c r="CA139" s="13">
        <f t="shared" si="147"/>
        <v>7.3222115536967035E-13</v>
      </c>
      <c r="CB139" s="20">
        <f t="shared" si="118"/>
        <v>1.3525069634579169E-12</v>
      </c>
      <c r="CC139" s="59">
        <f t="shared" si="119"/>
        <v>284.84953039488659</v>
      </c>
      <c r="CD139" s="59">
        <f ca="1">AVERAGE(OFFSET($CC$3,0,0,'Données projet'!$E$12+1,1))-AVERAGE(OFFSET($H$3,0,0,'Données projet'!$E$12+1,1))</f>
        <v>308.85018589589453</v>
      </c>
      <c r="CE139" s="59">
        <f t="shared" si="148"/>
        <v>302.59481222418219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11.407663299192018</v>
      </c>
      <c r="CL139" s="21">
        <f>EXP(-LN(2)/25)*CL138+(1-EXP(-LN(2)/25))/(LN(2)/25)*Calculateur!CG139*Calculateur!CI139*VLOOKUP('Données projet'!$B$12,Paramètres!$A$1:$I$89,3,0)*0.475*44/12</f>
        <v>6.6060376105146981</v>
      </c>
      <c r="CM139" s="21">
        <f>EXP(-LN(2)/2)*CM138+(1-EXP(-LN(2)/2))/(LN(2)/2)*CG139*CJ139*VLOOKUP('Données projet'!$B$12,Paramètres!$A$1:$I$89,3,0)*0.475*44/12</f>
        <v>5.0013180483311259E-9</v>
      </c>
      <c r="CN139" s="22">
        <f t="shared" si="120"/>
        <v>18.013700914708036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2.2737367544323206E-13</v>
      </c>
      <c r="CU139" s="17">
        <f>CT139*VLOOKUP('Données projet'!$B$13,Paramètres!$A$1:$I$89,3,0)*VLOOKUP('Données projet'!$B$13,Paramètres!$A$1:$I$89,5,0)</f>
        <v>1.5252226148732008E-13</v>
      </c>
      <c r="CV139" s="13">
        <f t="shared" si="149"/>
        <v>2.1814502464536512E-12</v>
      </c>
      <c r="CW139" s="20">
        <f t="shared" si="121"/>
        <v>4.0650021179971913E-12</v>
      </c>
      <c r="CX139" s="59">
        <f t="shared" si="122"/>
        <v>284.84953039488931</v>
      </c>
      <c r="CY139" s="59">
        <f ca="1">AVERAGE(OFFSET($CX$3,0,0,'Données projet'!$E$13+1,1))-AVERAGE(OFFSET($H$3,0,0,'Données projet'!$E$13+1,1))</f>
        <v>335.73816489539837</v>
      </c>
      <c r="CZ139" s="59">
        <f t="shared" si="150"/>
        <v>254.09787950201044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22.384134666290915</v>
      </c>
      <c r="DG139" s="21">
        <f>EXP(-LN(2)/25)*DG138+(1-EXP(-LN(2)/25))/(LN(2)/25)*Calculateur!DB139*Calculateur!DD139*VLOOKUP('Données projet'!$B$13,Paramètres!$A$1:$I$89,3,0)*0.475*44/12</f>
        <v>18.438396419969223</v>
      </c>
      <c r="DH139" s="21">
        <f>EXP(-LN(2)/2)*DH138+(1-EXP(-LN(2)/2))/(LN(2)/2)*DB139*DE139*VLOOKUP('Données projet'!$B$13,Paramètres!$A$1:$I$89,3,0)*0.475*44/12</f>
        <v>5.9760297337047991E-3</v>
      </c>
      <c r="DI139" s="22">
        <f t="shared" si="123"/>
        <v>40.828507115993844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2.5579538487363607E-13</v>
      </c>
      <c r="DP139" s="17">
        <f>DO139*VLOOKUP('Données projet'!$B$14,Paramètres!$A$1:$I$89,3,0)*VLOOKUP('Données projet'!$B$14,Paramètres!$A$1:$I$89,5,0)</f>
        <v>2.4740529624978082E-13</v>
      </c>
      <c r="DQ139" s="13">
        <f t="shared" si="151"/>
        <v>3.3447853361996459E-12</v>
      </c>
      <c r="DR139" s="20">
        <f t="shared" si="124"/>
        <v>6.2563986848494188E-12</v>
      </c>
      <c r="DS139" s="59">
        <f t="shared" si="125"/>
        <v>284.84953039489147</v>
      </c>
      <c r="DT139" s="59">
        <f ca="1">AVERAGE(OFFSET($DS$3,0,0,'Données projet'!$E$14+1,1))-AVERAGE(OFFSET($H$3,0,0,'Données projet'!$E$14+1,1))</f>
        <v>493.03862850474161</v>
      </c>
      <c r="DU139" s="59">
        <f t="shared" si="152"/>
        <v>312.51819065560528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107.22810614534181</v>
      </c>
      <c r="EB139" s="21">
        <f>EXP(-LN(2)/25)*EB138+(1-EXP(-LN(2)/25))/(LN(2)/25)*Calculateur!DW139*Calculateur!DY139*VLOOKUP('Données projet'!$B$14,Paramètres!$A$1:$I$89,3,0)*0.475*44/12</f>
        <v>21.307964800600974</v>
      </c>
      <c r="EC139" s="21">
        <f>EXP(-LN(2)/2)*EC138+(1-EXP(-LN(2)/2))/(LN(2)/2)*DW139*DZ139*VLOOKUP('Données projet'!$B$14,Paramètres!$A$1:$I$89,3,0)*0.475*44/12</f>
        <v>0.9098555868412822</v>
      </c>
      <c r="ED139" s="22">
        <f t="shared" si="126"/>
        <v>129.44592653278406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2.5579538487363607E-13</v>
      </c>
      <c r="EK139" s="17">
        <f>EJ139*VLOOKUP('Données projet'!$B$15,Paramètres!$A$1:$I$89,3,0)*VLOOKUP('Données projet'!$B$15,Paramètres!$A$1:$I$89,5,0)</f>
        <v>2.7533815227798186E-13</v>
      </c>
      <c r="EL139" s="13">
        <f t="shared" si="153"/>
        <v>3.6763598146902537E-12</v>
      </c>
      <c r="EM139" s="20">
        <f t="shared" si="127"/>
        <v>6.88254062580301E-12</v>
      </c>
      <c r="EN139" s="59">
        <f t="shared" si="128"/>
        <v>284.8495303948921</v>
      </c>
      <c r="EO139" s="59">
        <f ca="1">AVERAGE(OFFSET($EN$3,0,0,'Données projet'!$E$15+1,1))-AVERAGE(OFFSET($H$3,0,0,'Données projet'!$E$15+1,1))</f>
        <v>539.72194201710272</v>
      </c>
      <c r="EP139" s="59">
        <f t="shared" si="154"/>
        <v>340.76505385159362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119.3345052262675</v>
      </c>
      <c r="EW139" s="21">
        <f>EXP(-LN(2)/25)*EW138+(1-EXP(-LN(2)/25))/(LN(2)/25)*Calculateur!ER139*Calculateur!ET139*VLOOKUP('Données projet'!$B$15,Paramètres!$A$1:$I$89,3,0)*0.475*44/12</f>
        <v>23.713702761959148</v>
      </c>
      <c r="EX139" s="21">
        <f>EXP(-LN(2)/2)*EX138+(1-EXP(-LN(2)/2))/(LN(2)/2)*ER139*EU139*VLOOKUP('Données projet'!$B$15,Paramètres!$A$1:$I$89,3,0)*0.475*44/12</f>
        <v>1.0125812176136846</v>
      </c>
      <c r="EY139" s="22">
        <f t="shared" si="129"/>
        <v>144.06078920584031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>
        <f>FE139*VLOOKUP('Données projet'!$B$16,Paramètres!$A$1:$I$89,3,0)*VLOOKUP('Données projet'!$B$16,Paramètres!$A$1:$I$89,5,0)</f>
        <v>0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383.47860767209028</v>
      </c>
      <c r="FK139" s="59">
        <f t="shared" si="156"/>
        <v>370.49129421395628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17.483923412374534</v>
      </c>
      <c r="FR139" s="21">
        <f>EXP(-LN(2)/25)*FR138+(1-EXP(-LN(2)/25))/(LN(2)/25)*Calculateur!FM139*Calculateur!FO139*VLOOKUP('Données projet'!$B$16,Paramètres!$A$1:$I$89,3,0)*0.475*44/12</f>
        <v>11.077565621323391</v>
      </c>
      <c r="FS139" s="21">
        <f>EXP(-LN(2)/2)*FS138+(1-EXP(-LN(2)/2))/(LN(2)/2)*FM139*FP139*VLOOKUP('Données projet'!$B$16,Paramètres!$A$1:$I$89,3,0)*0.475*44/12</f>
        <v>2.3709710195287119E-7</v>
      </c>
      <c r="FT139" s="22">
        <f t="shared" si="132"/>
        <v>28.561489270795025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7.3375000000000012</v>
      </c>
      <c r="FZ139" s="12">
        <f>IF('Données projet'!$A$244&gt;35,FZ138+FY139-GH138,IF(A139&lt;'Données projet'!$A$244,$FW$205^A139,IF(A139='Données projet'!$A$244,'Données projet'!$B$244,FZ138+FY139-GH138)))</f>
        <v>321.21999999999997</v>
      </c>
      <c r="GA139" s="17">
        <f>FZ139*VLOOKUP('Données projet'!$B$17,Paramètres!$A$1:$I$89,3,0)*VLOOKUP('Données projet'!$B$17,Paramètres!$A$1:$I$89,5,0)</f>
        <v>365.80533599999995</v>
      </c>
      <c r="GB139" s="13">
        <f t="shared" si="157"/>
        <v>84.808581028546115</v>
      </c>
      <c r="GC139" s="20">
        <f t="shared" si="133"/>
        <v>784.81923882471767</v>
      </c>
      <c r="GD139" s="59">
        <f t="shared" si="134"/>
        <v>1069.6687692196028</v>
      </c>
      <c r="GE139" s="59">
        <f ca="1">AVERAGE(OFFSET($GD$3,0,0,'Données projet'!$E$17+1,1))-AVERAGE(OFFSET($H$3,0,0,'Données projet'!$E$17+1,1))</f>
        <v>640.05156427113661</v>
      </c>
      <c r="GF139" s="59">
        <f t="shared" si="158"/>
        <v>308.77220155372902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30.26090687722111</v>
      </c>
      <c r="GM139" s="21">
        <f>EXP(-LN(2)/25)*GM138+(1-EXP(-LN(2)/25))/(LN(2)/25)*Calculateur!GH139*Calculateur!GJ139*VLOOKUP('Données projet'!$B$17,Paramètres!$A$1:$I$89,3,0)*0.475*44/12</f>
        <v>24.164223981763229</v>
      </c>
      <c r="GN139" s="21">
        <f>EXP(-LN(2)/2)*GN138+(1-EXP(-LN(2)/2))/(LN(2)/2)*GH139*GK139*VLOOKUP('Données projet'!$B$17,Paramètres!$A$1:$I$89,3,0)*0.475*44/12</f>
        <v>1.3482739808394266</v>
      </c>
      <c r="GO139" s="21">
        <f t="shared" si="135"/>
        <v>55.773404839823769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4.7884896048344674E-14</v>
      </c>
      <c r="P140" s="13">
        <f t="shared" si="141"/>
        <v>7.8374629847779921E-13</v>
      </c>
      <c r="Q140" s="20">
        <f t="shared" si="108"/>
        <v>1.4484243304663672E-12</v>
      </c>
      <c r="R140" s="59">
        <f t="shared" si="109"/>
        <v>284.9967054089268</v>
      </c>
      <c r="S140" s="59">
        <f ca="1">AVERAGE(OFFSET($R$3,0,0,'Données projet'!$E$9+1,1))-AVERAGE(OFFSET($H$3,0,0,'Données projet'!$E$9+1,1))</f>
        <v>456.35333554128226</v>
      </c>
      <c r="T140" s="59">
        <f t="shared" si="142"/>
        <v>296.4517290984877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66.21363693615983</v>
      </c>
      <c r="AA140" s="21">
        <f>EXP(-LN(2)/25)*AA139+(1-EXP(-LN(2)/25))/(LN(2)/25)*Calculateur!V140*Calculateur!X140*VLOOKUP('Données projet'!$B$9,Paramètres!$A$1:$I$89,3,0)*0.475*44/12</f>
        <v>11.845890402257208</v>
      </c>
      <c r="AB140" s="21">
        <f>EXP(-LN(2)/2)*AB139+(1-EXP(-LN(2)/2))/(LN(2)/2)*V140*Y140*VLOOKUP('Données projet'!$B$9,Paramètres!$A$1:$I$89,3,0)*0.475*44/12</f>
        <v>1.6018280857566511E-4</v>
      </c>
      <c r="AC140" s="22">
        <f t="shared" si="111"/>
        <v>78.059687521225612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408.246209980743</v>
      </c>
      <c r="AO140" s="59">
        <f t="shared" si="144"/>
        <v>394.10236303013903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18.459618518274947</v>
      </c>
      <c r="AV140" s="21">
        <f>EXP(-LN(2)/25)*AV139+(1-EXP(-LN(2)/25))/(LN(2)/25)*Calculateur!AQ140*Calculateur!AS140*VLOOKUP('Données projet'!$B$10,Paramètres!$A$1:$I$89,3,0)*0.475*44/12</f>
        <v>11.60346816123864</v>
      </c>
      <c r="AW140" s="21">
        <f>EXP(-LN(2)/2)*AW139+(1-EXP(-LN(2)/2))/(LN(2)/2)*AQ140*AT140*VLOOKUP('Données projet'!$B$10,Paramètres!$A$1:$I$89,3,0)*0.475*44/12</f>
        <v>1.8054935078982607E-7</v>
      </c>
      <c r="AX140" s="21">
        <f t="shared" si="114"/>
        <v>30.063086860062938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7.3375000000000012</v>
      </c>
      <c r="BD140" s="12">
        <f>IF('Données projet'!$A$88&gt;35,BD139+BC140-BL139,IF(A140&lt;'Données projet'!$A$88,$BA$205^A140,IF(A140='Données projet'!$A$88,'Données projet'!$B$88,BD139+BC140-BL139)))</f>
        <v>328.55749999999995</v>
      </c>
      <c r="BE140" s="13">
        <f>BD140*VLOOKUP('Données projet'!$B$11,Paramètres!$A$1:$I$89,3,0)*VLOOKUP('Données projet'!$B$11,Paramètres!$A$1:$I$89,5,0)</f>
        <v>333.15730499999995</v>
      </c>
      <c r="BF140" s="13">
        <f t="shared" si="145"/>
        <v>78.084533845329503</v>
      </c>
      <c r="BG140" s="20">
        <f t="shared" si="115"/>
        <v>716.24620265561543</v>
      </c>
      <c r="BH140" s="59">
        <f t="shared" si="116"/>
        <v>1001.2429080645409</v>
      </c>
      <c r="BI140" s="59">
        <f ca="1">AVERAGE(OFFSET($BH$3,0,0,'Données projet'!$E$11+1,1))-AVERAGE(OFFSET($H$3,0,0,'Données projet'!$E$11+1,1))</f>
        <v>580.02848304986492</v>
      </c>
      <c r="BJ140" s="59">
        <f t="shared" si="146"/>
        <v>281.68891895586728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26.416275093079673</v>
      </c>
      <c r="BQ140" s="21">
        <f>EXP(-LN(2)/25)*BQ139+(1-EXP(-LN(2)/25))/(LN(2)/25)*Calculateur!BL140*Calculateur!BN140*VLOOKUP('Données projet'!$B$11,Paramètres!$A$1:$I$89,3,0)*0.475*44/12</f>
        <v>20.927731238433413</v>
      </c>
      <c r="BR140" s="21">
        <f>EXP(-LN(2)/2)*BR139+(1-EXP(-LN(2)/2))/(LN(2)/2)*BL140*BO140*VLOOKUP('Données projet'!$B$11,Paramètres!$A$1:$I$89,3,0)*0.475*44/12</f>
        <v>0.84889436792713824</v>
      </c>
      <c r="BS140" s="22">
        <f t="shared" si="117"/>
        <v>48.192900699440223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4.4337866711430253E-14</v>
      </c>
      <c r="CA140" s="13">
        <f t="shared" si="147"/>
        <v>7.3222115536967035E-13</v>
      </c>
      <c r="CB140" s="20">
        <f t="shared" si="118"/>
        <v>1.3525069634579169E-12</v>
      </c>
      <c r="CC140" s="59">
        <f t="shared" si="119"/>
        <v>284.99670540892674</v>
      </c>
      <c r="CD140" s="59">
        <f ca="1">AVERAGE(OFFSET($CC$3,0,0,'Données projet'!$E$12+1,1))-AVERAGE(OFFSET($H$3,0,0,'Données projet'!$E$12+1,1))</f>
        <v>308.85018589589453</v>
      </c>
      <c r="CE140" s="59">
        <f t="shared" si="148"/>
        <v>302.59481222418219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11.183965979882432</v>
      </c>
      <c r="CL140" s="21">
        <f>EXP(-LN(2)/25)*CL139+(1-EXP(-LN(2)/25))/(LN(2)/25)*Calculateur!CG140*Calculateur!CI140*VLOOKUP('Données projet'!$B$12,Paramètres!$A$1:$I$89,3,0)*0.475*44/12</f>
        <v>6.4253951646587542</v>
      </c>
      <c r="CM140" s="21">
        <f>EXP(-LN(2)/2)*CM139+(1-EXP(-LN(2)/2))/(LN(2)/2)*CG140*CJ140*VLOOKUP('Données projet'!$B$12,Paramètres!$A$1:$I$89,3,0)*0.475*44/12</f>
        <v>3.5364659068456084E-9</v>
      </c>
      <c r="CN140" s="22">
        <f t="shared" si="120"/>
        <v>17.609361148077653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2.2737367544323206E-13</v>
      </c>
      <c r="CU140" s="17">
        <f>CT140*VLOOKUP('Données projet'!$B$13,Paramètres!$A$1:$I$89,3,0)*VLOOKUP('Données projet'!$B$13,Paramètres!$A$1:$I$89,5,0)</f>
        <v>1.5252226148732008E-13</v>
      </c>
      <c r="CV140" s="13">
        <f t="shared" si="149"/>
        <v>2.1814502464536512E-12</v>
      </c>
      <c r="CW140" s="20">
        <f t="shared" si="121"/>
        <v>4.0650021179971913E-12</v>
      </c>
      <c r="CX140" s="59">
        <f t="shared" si="122"/>
        <v>284.99670540892947</v>
      </c>
      <c r="CY140" s="59">
        <f ca="1">AVERAGE(OFFSET($CX$3,0,0,'Données projet'!$E$13+1,1))-AVERAGE(OFFSET($H$3,0,0,'Données projet'!$E$13+1,1))</f>
        <v>335.73816489539837</v>
      </c>
      <c r="CZ140" s="59">
        <f t="shared" si="150"/>
        <v>254.09787950201044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21.945195438458978</v>
      </c>
      <c r="DG140" s="21">
        <f>EXP(-LN(2)/25)*DG139+(1-EXP(-LN(2)/25))/(LN(2)/25)*Calculateur!DB140*Calculateur!DD140*VLOOKUP('Données projet'!$B$13,Paramètres!$A$1:$I$89,3,0)*0.475*44/12</f>
        <v>17.934197500232038</v>
      </c>
      <c r="DH140" s="21">
        <f>EXP(-LN(2)/2)*DH139+(1-EXP(-LN(2)/2))/(LN(2)/2)*DB140*DE140*VLOOKUP('Données projet'!$B$13,Paramètres!$A$1:$I$89,3,0)*0.475*44/12</f>
        <v>4.2256911492751011E-3</v>
      </c>
      <c r="DI140" s="22">
        <f t="shared" si="123"/>
        <v>39.883618629840285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2.5579538487363607E-13</v>
      </c>
      <c r="DP140" s="17">
        <f>DO140*VLOOKUP('Données projet'!$B$14,Paramètres!$A$1:$I$89,3,0)*VLOOKUP('Données projet'!$B$14,Paramètres!$A$1:$I$89,5,0)</f>
        <v>2.4740529624978082E-13</v>
      </c>
      <c r="DQ140" s="13">
        <f t="shared" si="151"/>
        <v>3.3447853361996459E-12</v>
      </c>
      <c r="DR140" s="20">
        <f t="shared" si="124"/>
        <v>6.2563986848494188E-12</v>
      </c>
      <c r="DS140" s="59">
        <f t="shared" si="125"/>
        <v>284.99670540893163</v>
      </c>
      <c r="DT140" s="59">
        <f ca="1">AVERAGE(OFFSET($DS$3,0,0,'Données projet'!$E$14+1,1))-AVERAGE(OFFSET($H$3,0,0,'Données projet'!$E$14+1,1))</f>
        <v>493.03862850474161</v>
      </c>
      <c r="DU140" s="59">
        <f t="shared" si="152"/>
        <v>312.51819065560528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105.12542838651842</v>
      </c>
      <c r="EB140" s="21">
        <f>EXP(-LN(2)/25)*EB139+(1-EXP(-LN(2)/25))/(LN(2)/25)*Calculateur!DW140*Calculateur!DY140*VLOOKUP('Données projet'!$B$14,Paramètres!$A$1:$I$89,3,0)*0.475*44/12</f>
        <v>20.725297382591371</v>
      </c>
      <c r="EC140" s="21">
        <f>EXP(-LN(2)/2)*EC139+(1-EXP(-LN(2)/2))/(LN(2)/2)*DW140*DZ140*VLOOKUP('Données projet'!$B$14,Paramètres!$A$1:$I$89,3,0)*0.475*44/12</f>
        <v>0.64336505535593635</v>
      </c>
      <c r="ED140" s="22">
        <f t="shared" si="126"/>
        <v>126.49409082446574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2.5579538487363607E-13</v>
      </c>
      <c r="EK140" s="17">
        <f>EJ140*VLOOKUP('Données projet'!$B$15,Paramètres!$A$1:$I$89,3,0)*VLOOKUP('Données projet'!$B$15,Paramètres!$A$1:$I$89,5,0)</f>
        <v>2.7533815227798186E-13</v>
      </c>
      <c r="EL140" s="13">
        <f t="shared" si="153"/>
        <v>3.6763598146902537E-12</v>
      </c>
      <c r="EM140" s="20">
        <f t="shared" si="127"/>
        <v>6.88254062580301E-12</v>
      </c>
      <c r="EN140" s="59">
        <f t="shared" si="128"/>
        <v>284.99670540893226</v>
      </c>
      <c r="EO140" s="59">
        <f ca="1">AVERAGE(OFFSET($EN$3,0,0,'Données projet'!$E$15+1,1))-AVERAGE(OFFSET($H$3,0,0,'Données projet'!$E$15+1,1))</f>
        <v>539.72194201710272</v>
      </c>
      <c r="EP140" s="59">
        <f t="shared" si="154"/>
        <v>340.76505385159362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116.99442836564147</v>
      </c>
      <c r="EW140" s="21">
        <f>EXP(-LN(2)/25)*EW139+(1-EXP(-LN(2)/25))/(LN(2)/25)*Calculateur!ER140*Calculateur!ET140*VLOOKUP('Données projet'!$B$15,Paramètres!$A$1:$I$89,3,0)*0.475*44/12</f>
        <v>23.065250312883943</v>
      </c>
      <c r="EX140" s="21">
        <f>EXP(-LN(2)/2)*EX139+(1-EXP(-LN(2)/2))/(LN(2)/2)*ER140*EU140*VLOOKUP('Données projet'!$B$15,Paramètres!$A$1:$I$89,3,0)*0.475*44/12</f>
        <v>0.71600304547676752</v>
      </c>
      <c r="EY140" s="22">
        <f t="shared" si="129"/>
        <v>140.77568172400217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>
        <f>FE140*VLOOKUP('Données projet'!$B$16,Paramètres!$A$1:$I$89,3,0)*VLOOKUP('Données projet'!$B$16,Paramètres!$A$1:$I$89,5,0)</f>
        <v>0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383.47860767209028</v>
      </c>
      <c r="FK140" s="59">
        <f t="shared" si="156"/>
        <v>370.49129421395628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17.141074338398155</v>
      </c>
      <c r="FR140" s="21">
        <f>EXP(-LN(2)/25)*FR139+(1-EXP(-LN(2)/25))/(LN(2)/25)*Calculateur!FM140*Calculateur!FO140*VLOOKUP('Données projet'!$B$16,Paramètres!$A$1:$I$89,3,0)*0.475*44/12</f>
        <v>10.774649006864445</v>
      </c>
      <c r="FS140" s="21">
        <f>EXP(-LN(2)/2)*FS139+(1-EXP(-LN(2)/2))/(LN(2)/2)*FM140*FP140*VLOOKUP('Données projet'!$B$16,Paramètres!$A$1:$I$89,3,0)*0.475*44/12</f>
        <v>1.6765296859055345E-7</v>
      </c>
      <c r="FT140" s="22">
        <f t="shared" si="132"/>
        <v>27.915723512915566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7.3375000000000012</v>
      </c>
      <c r="FZ140" s="12">
        <f>IF('Données projet'!$A$244&gt;35,FZ139+FY140-GH139,IF(A140&lt;'Données projet'!$A$244,$FW$205^A140,IF(A140='Données projet'!$A$244,'Données projet'!$B$244,FZ139+FY140-GH139)))</f>
        <v>328.55749999999995</v>
      </c>
      <c r="GA140" s="17">
        <f>FZ140*VLOOKUP('Données projet'!$B$17,Paramètres!$A$1:$I$89,3,0)*VLOOKUP('Données projet'!$B$17,Paramètres!$A$1:$I$89,5,0)</f>
        <v>374.16128099999997</v>
      </c>
      <c r="GB140" s="13">
        <f t="shared" si="157"/>
        <v>86.518077245851956</v>
      </c>
      <c r="GC140" s="20">
        <f t="shared" si="133"/>
        <v>802.34988227819213</v>
      </c>
      <c r="GD140" s="59">
        <f t="shared" si="134"/>
        <v>1087.3465876871176</v>
      </c>
      <c r="GE140" s="59">
        <f ca="1">AVERAGE(OFFSET($GD$3,0,0,'Données projet'!$E$17+1,1))-AVERAGE(OFFSET($H$3,0,0,'Données projet'!$E$17+1,1))</f>
        <v>640.05156427113661</v>
      </c>
      <c r="GF140" s="59">
        <f t="shared" si="158"/>
        <v>308.77220155372902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29.667508950689488</v>
      </c>
      <c r="GM140" s="21">
        <f>EXP(-LN(2)/25)*GM139+(1-EXP(-LN(2)/25))/(LN(2)/25)*Calculateur!GH140*Calculateur!GJ140*VLOOKUP('Données projet'!$B$17,Paramètres!$A$1:$I$89,3,0)*0.475*44/12</f>
        <v>23.503452006240604</v>
      </c>
      <c r="GN140" s="21">
        <f>EXP(-LN(2)/2)*GN139+(1-EXP(-LN(2)/2))/(LN(2)/2)*GH140*GK140*VLOOKUP('Données projet'!$B$17,Paramètres!$A$1:$I$89,3,0)*0.475*44/12</f>
        <v>0.95337367474893986</v>
      </c>
      <c r="GO140" s="21">
        <f t="shared" si="135"/>
        <v>54.124334631679027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4.7884896048344674E-14</v>
      </c>
      <c r="P141" s="13">
        <f t="shared" si="141"/>
        <v>7.8374629847779921E-13</v>
      </c>
      <c r="Q141" s="20">
        <f t="shared" si="108"/>
        <v>1.4484243304663672E-12</v>
      </c>
      <c r="R141" s="59">
        <f t="shared" si="109"/>
        <v>285.14132726550736</v>
      </c>
      <c r="S141" s="59">
        <f ca="1">AVERAGE(OFFSET($R$3,0,0,'Données projet'!$E$9+1,1))-AVERAGE(OFFSET($H$3,0,0,'Données projet'!$E$9+1,1))</f>
        <v>456.35333554128226</v>
      </c>
      <c r="T141" s="59">
        <f t="shared" si="142"/>
        <v>296.4517290984877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64.915227902172447</v>
      </c>
      <c r="AA141" s="21">
        <f>EXP(-LN(2)/25)*AA140+(1-EXP(-LN(2)/25))/(LN(2)/25)*Calculateur!V141*Calculateur!X141*VLOOKUP('Données projet'!$B$9,Paramètres!$A$1:$I$89,3,0)*0.475*44/12</f>
        <v>11.521963906259183</v>
      </c>
      <c r="AB141" s="21">
        <f>EXP(-LN(2)/2)*AB140+(1-EXP(-LN(2)/2))/(LN(2)/2)*V141*Y141*VLOOKUP('Données projet'!$B$9,Paramètres!$A$1:$I$89,3,0)*0.475*44/12</f>
        <v>1.1326635017335946E-4</v>
      </c>
      <c r="AC141" s="22">
        <f t="shared" si="111"/>
        <v>76.437305074781804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408.246209980743</v>
      </c>
      <c r="AO141" s="59">
        <f t="shared" si="144"/>
        <v>394.10236303013903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18.097636658387113</v>
      </c>
      <c r="AV141" s="21">
        <f>EXP(-LN(2)/25)*AV140+(1-EXP(-LN(2)/25))/(LN(2)/25)*Calculateur!AQ141*Calculateur!AS141*VLOOKUP('Données projet'!$B$10,Paramètres!$A$1:$I$89,3,0)*0.475*44/12</f>
        <v>11.286170714169698</v>
      </c>
      <c r="AW141" s="21">
        <f>EXP(-LN(2)/2)*AW140+(1-EXP(-LN(2)/2))/(LN(2)/2)*AQ141*AT141*VLOOKUP('Données projet'!$B$10,Paramètres!$A$1:$I$89,3,0)*0.475*44/12</f>
        <v>1.2766767028231475E-7</v>
      </c>
      <c r="AX141" s="21">
        <f t="shared" si="114"/>
        <v>29.383807500224481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7.3375000000000012</v>
      </c>
      <c r="BD141" s="12">
        <f>IF('Données projet'!$A$88&gt;35,BD140+BC141-BL140,IF(A141&lt;'Données projet'!$A$88,$BA$205^A141,IF(A141='Données projet'!$A$88,'Données projet'!$B$88,BD140+BC141-BL140)))</f>
        <v>335.89499999999992</v>
      </c>
      <c r="BE141" s="13">
        <f>BD141*VLOOKUP('Données projet'!$B$11,Paramètres!$A$1:$I$89,3,0)*VLOOKUP('Données projet'!$B$11,Paramètres!$A$1:$I$89,5,0)</f>
        <v>340.59752999999995</v>
      </c>
      <c r="BF141" s="13">
        <f t="shared" si="145"/>
        <v>79.623387284014498</v>
      </c>
      <c r="BG141" s="20">
        <f t="shared" si="115"/>
        <v>731.88476426965838</v>
      </c>
      <c r="BH141" s="59">
        <f t="shared" si="116"/>
        <v>1017.0260915351644</v>
      </c>
      <c r="BI141" s="59">
        <f ca="1">AVERAGE(OFFSET($BH$3,0,0,'Données projet'!$E$11+1,1))-AVERAGE(OFFSET($H$3,0,0,'Données projet'!$E$11+1,1))</f>
        <v>580.02848304986492</v>
      </c>
      <c r="BJ141" s="59">
        <f t="shared" si="146"/>
        <v>281.68891895586728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25.898268050841224</v>
      </c>
      <c r="BQ141" s="21">
        <f>EXP(-LN(2)/25)*BQ140+(1-EXP(-LN(2)/25))/(LN(2)/25)*Calculateur!BL141*Calculateur!BN141*VLOOKUP('Données projet'!$B$11,Paramètres!$A$1:$I$89,3,0)*0.475*44/12</f>
        <v>20.355461327176897</v>
      </c>
      <c r="BR141" s="21">
        <f>EXP(-LN(2)/2)*BR140+(1-EXP(-LN(2)/2))/(LN(2)/2)*BL141*BO141*VLOOKUP('Données projet'!$B$11,Paramètres!$A$1:$I$89,3,0)*0.475*44/12</f>
        <v>0.60025896407234758</v>
      </c>
      <c r="BS141" s="22">
        <f t="shared" si="117"/>
        <v>46.853988342090467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4.4337866711430253E-14</v>
      </c>
      <c r="CA141" s="13">
        <f t="shared" si="147"/>
        <v>7.3222115536967035E-13</v>
      </c>
      <c r="CB141" s="20">
        <f t="shared" si="118"/>
        <v>1.3525069634579169E-12</v>
      </c>
      <c r="CC141" s="59">
        <f t="shared" si="119"/>
        <v>285.1413272655073</v>
      </c>
      <c r="CD141" s="59">
        <f ca="1">AVERAGE(OFFSET($CC$3,0,0,'Données projet'!$E$12+1,1))-AVERAGE(OFFSET($H$3,0,0,'Données projet'!$E$12+1,1))</f>
        <v>308.85018589589453</v>
      </c>
      <c r="CE141" s="59">
        <f t="shared" si="148"/>
        <v>302.59481222418219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10.964655228562613</v>
      </c>
      <c r="CL141" s="21">
        <f>EXP(-LN(2)/25)*CL140+(1-EXP(-LN(2)/25))/(LN(2)/25)*Calculateur!CG141*Calculateur!CI141*VLOOKUP('Données projet'!$B$12,Paramètres!$A$1:$I$89,3,0)*0.475*44/12</f>
        <v>6.2496923959843143</v>
      </c>
      <c r="CM141" s="21">
        <f>EXP(-LN(2)/2)*CM140+(1-EXP(-LN(2)/2))/(LN(2)/2)*CG141*CJ141*VLOOKUP('Données projet'!$B$12,Paramètres!$A$1:$I$89,3,0)*0.475*44/12</f>
        <v>2.500659024165563E-9</v>
      </c>
      <c r="CN141" s="22">
        <f t="shared" si="120"/>
        <v>17.214347627047587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2.2737367544323206E-13</v>
      </c>
      <c r="CU141" s="17">
        <f>CT141*VLOOKUP('Données projet'!$B$13,Paramètres!$A$1:$I$89,3,0)*VLOOKUP('Données projet'!$B$13,Paramètres!$A$1:$I$89,5,0)</f>
        <v>1.5252226148732008E-13</v>
      </c>
      <c r="CV141" s="13">
        <f t="shared" si="149"/>
        <v>2.1814502464536512E-12</v>
      </c>
      <c r="CW141" s="20">
        <f t="shared" si="121"/>
        <v>4.0650021179971913E-12</v>
      </c>
      <c r="CX141" s="59">
        <f t="shared" si="122"/>
        <v>285.14132726551003</v>
      </c>
      <c r="CY141" s="59">
        <f ca="1">AVERAGE(OFFSET($CX$3,0,0,'Données projet'!$E$13+1,1))-AVERAGE(OFFSET($H$3,0,0,'Données projet'!$E$13+1,1))</f>
        <v>335.73816489539837</v>
      </c>
      <c r="CZ141" s="59">
        <f t="shared" si="150"/>
        <v>254.09787950201044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21.514863541158331</v>
      </c>
      <c r="DG141" s="21">
        <f>EXP(-LN(2)/25)*DG140+(1-EXP(-LN(2)/25))/(LN(2)/25)*Calculateur!DB141*Calculateur!DD141*VLOOKUP('Données projet'!$B$13,Paramètres!$A$1:$I$89,3,0)*0.475*44/12</f>
        <v>17.443785926469737</v>
      </c>
      <c r="DH141" s="21">
        <f>EXP(-LN(2)/2)*DH140+(1-EXP(-LN(2)/2))/(LN(2)/2)*DB141*DE141*VLOOKUP('Données projet'!$B$13,Paramètres!$A$1:$I$89,3,0)*0.475*44/12</f>
        <v>2.9880148668523995E-3</v>
      </c>
      <c r="DI141" s="22">
        <f t="shared" si="123"/>
        <v>38.961637482494915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2.5579538487363607E-13</v>
      </c>
      <c r="DP141" s="17">
        <f>DO141*VLOOKUP('Données projet'!$B$14,Paramètres!$A$1:$I$89,3,0)*VLOOKUP('Données projet'!$B$14,Paramètres!$A$1:$I$89,5,0)</f>
        <v>2.4740529624978082E-13</v>
      </c>
      <c r="DQ141" s="13">
        <f t="shared" si="151"/>
        <v>3.3447853361996459E-12</v>
      </c>
      <c r="DR141" s="20">
        <f t="shared" si="124"/>
        <v>6.2563986848494188E-12</v>
      </c>
      <c r="DS141" s="59">
        <f t="shared" si="125"/>
        <v>285.14132726551219</v>
      </c>
      <c r="DT141" s="59">
        <f ca="1">AVERAGE(OFFSET($DS$3,0,0,'Données projet'!$E$14+1,1))-AVERAGE(OFFSET($H$3,0,0,'Données projet'!$E$14+1,1))</f>
        <v>493.03862850474161</v>
      </c>
      <c r="DU141" s="59">
        <f t="shared" si="152"/>
        <v>312.51819065560528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103.06398285603876</v>
      </c>
      <c r="EB141" s="21">
        <f>EXP(-LN(2)/25)*EB140+(1-EXP(-LN(2)/25))/(LN(2)/25)*Calculateur!DW141*Calculateur!DY141*VLOOKUP('Données projet'!$B$14,Paramètres!$A$1:$I$89,3,0)*0.475*44/12</f>
        <v>20.158563035768388</v>
      </c>
      <c r="EC141" s="21">
        <f>EXP(-LN(2)/2)*EC140+(1-EXP(-LN(2)/2))/(LN(2)/2)*DW141*DZ141*VLOOKUP('Données projet'!$B$14,Paramètres!$A$1:$I$89,3,0)*0.475*44/12</f>
        <v>0.45492779342064116</v>
      </c>
      <c r="ED141" s="22">
        <f t="shared" si="126"/>
        <v>123.6774736852278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2.5579538487363607E-13</v>
      </c>
      <c r="EK141" s="17">
        <f>EJ141*VLOOKUP('Données projet'!$B$15,Paramètres!$A$1:$I$89,3,0)*VLOOKUP('Données projet'!$B$15,Paramètres!$A$1:$I$89,5,0)</f>
        <v>2.7533815227798186E-13</v>
      </c>
      <c r="EL141" s="13">
        <f t="shared" si="153"/>
        <v>3.6763598146902537E-12</v>
      </c>
      <c r="EM141" s="20">
        <f t="shared" si="127"/>
        <v>6.88254062580301E-12</v>
      </c>
      <c r="EN141" s="59">
        <f t="shared" si="128"/>
        <v>285.14132726551281</v>
      </c>
      <c r="EO141" s="59">
        <f ca="1">AVERAGE(OFFSET($EN$3,0,0,'Données projet'!$E$15+1,1))-AVERAGE(OFFSET($H$3,0,0,'Données projet'!$E$15+1,1))</f>
        <v>539.72194201710272</v>
      </c>
      <c r="EP141" s="59">
        <f t="shared" si="154"/>
        <v>340.76505385159362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114.70023898494637</v>
      </c>
      <c r="EW141" s="21">
        <f>EXP(-LN(2)/25)*EW140+(1-EXP(-LN(2)/25))/(LN(2)/25)*Calculateur!ER141*Calculateur!ET141*VLOOKUP('Données projet'!$B$15,Paramètres!$A$1:$I$89,3,0)*0.475*44/12</f>
        <v>22.434529830129335</v>
      </c>
      <c r="EX141" s="21">
        <f>EXP(-LN(2)/2)*EX140+(1-EXP(-LN(2)/2))/(LN(2)/2)*ER141*EU141*VLOOKUP('Données projet'!$B$15,Paramètres!$A$1:$I$89,3,0)*0.475*44/12</f>
        <v>0.50629060880684229</v>
      </c>
      <c r="EY141" s="22">
        <f t="shared" si="129"/>
        <v>137.64105942388252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>
        <f>FE141*VLOOKUP('Données projet'!$B$16,Paramètres!$A$1:$I$89,3,0)*VLOOKUP('Données projet'!$B$16,Paramètres!$A$1:$I$89,5,0)</f>
        <v>0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383.47860767209028</v>
      </c>
      <c r="FK141" s="59">
        <f t="shared" si="156"/>
        <v>370.49129421395628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16.804948325645167</v>
      </c>
      <c r="FR141" s="21">
        <f>EXP(-LN(2)/25)*FR140+(1-EXP(-LN(2)/25))/(LN(2)/25)*Calculateur!FM141*Calculateur!FO141*VLOOKUP('Données projet'!$B$16,Paramètres!$A$1:$I$89,3,0)*0.475*44/12</f>
        <v>10.480015663157571</v>
      </c>
      <c r="FS141" s="21">
        <f>EXP(-LN(2)/2)*FS140+(1-EXP(-LN(2)/2))/(LN(2)/2)*FM141*FP141*VLOOKUP('Données projet'!$B$16,Paramètres!$A$1:$I$89,3,0)*0.475*44/12</f>
        <v>1.1854855097643561E-7</v>
      </c>
      <c r="FT141" s="22">
        <f t="shared" si="132"/>
        <v>27.284964107351289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7.3375000000000012</v>
      </c>
      <c r="FZ141" s="12">
        <f>IF('Données projet'!$A$244&gt;35,FZ140+FY141-GH140,IF(A141&lt;'Données projet'!$A$244,$FW$205^A141,IF(A141='Données projet'!$A$244,'Données projet'!$B$244,FZ140+FY141-GH140)))</f>
        <v>335.89499999999992</v>
      </c>
      <c r="GA141" s="17">
        <f>FZ141*VLOOKUP('Données projet'!$B$17,Paramètres!$A$1:$I$89,3,0)*VLOOKUP('Données projet'!$B$17,Paramètres!$A$1:$I$89,5,0)</f>
        <v>382.51722599999994</v>
      </c>
      <c r="GB141" s="13">
        <f t="shared" si="157"/>
        <v>88.223135009812083</v>
      </c>
      <c r="GC141" s="20">
        <f t="shared" si="133"/>
        <v>819.87279542542262</v>
      </c>
      <c r="GD141" s="59">
        <f t="shared" si="134"/>
        <v>1105.0141226909286</v>
      </c>
      <c r="GE141" s="59">
        <f ca="1">AVERAGE(OFFSET($GD$3,0,0,'Données projet'!$E$17+1,1))-AVERAGE(OFFSET($H$3,0,0,'Données projet'!$E$17+1,1))</f>
        <v>640.05156427113661</v>
      </c>
      <c r="GF141" s="59">
        <f t="shared" si="158"/>
        <v>308.77220155372902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29.085747195560156</v>
      </c>
      <c r="GM141" s="21">
        <f>EXP(-LN(2)/25)*GM140+(1-EXP(-LN(2)/25))/(LN(2)/25)*Calculateur!GH141*Calculateur!GJ141*VLOOKUP('Données projet'!$B$17,Paramètres!$A$1:$I$89,3,0)*0.475*44/12</f>
        <v>22.86074887513713</v>
      </c>
      <c r="GN141" s="21">
        <f>EXP(-LN(2)/2)*GN140+(1-EXP(-LN(2)/2))/(LN(2)/2)*GH141*GK141*VLOOKUP('Données projet'!$B$17,Paramètres!$A$1:$I$89,3,0)*0.475*44/12</f>
        <v>0.67413699041971342</v>
      </c>
      <c r="GO141" s="21">
        <f t="shared" si="135"/>
        <v>52.620633061116997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4.7884896048344674E-14</v>
      </c>
      <c r="P142" s="13">
        <f t="shared" si="141"/>
        <v>7.8374629847779921E-13</v>
      </c>
      <c r="Q142" s="20">
        <f t="shared" si="108"/>
        <v>1.4484243304663672E-12</v>
      </c>
      <c r="R142" s="59">
        <f t="shared" si="109"/>
        <v>285.28344025620231</v>
      </c>
      <c r="S142" s="59">
        <f ca="1">AVERAGE(OFFSET($R$3,0,0,'Données projet'!$E$9+1,1))-AVERAGE(OFFSET($H$3,0,0,'Données projet'!$E$9+1,1))</f>
        <v>456.35333554128226</v>
      </c>
      <c r="T142" s="59">
        <f t="shared" si="142"/>
        <v>296.4517290984877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63.642279877390244</v>
      </c>
      <c r="AA142" s="21">
        <f>EXP(-LN(2)/25)*AA141+(1-EXP(-LN(2)/25))/(LN(2)/25)*Calculateur!V142*Calculateur!X142*VLOOKUP('Données projet'!$B$9,Paramètres!$A$1:$I$89,3,0)*0.475*44/12</f>
        <v>11.206895197328777</v>
      </c>
      <c r="AB142" s="21">
        <f>EXP(-LN(2)/2)*AB141+(1-EXP(-LN(2)/2))/(LN(2)/2)*V142*Y142*VLOOKUP('Données projet'!$B$9,Paramètres!$A$1:$I$89,3,0)*0.475*44/12</f>
        <v>8.0091404287832557E-5</v>
      </c>
      <c r="AC142" s="22">
        <f t="shared" si="111"/>
        <v>74.849255166123314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408.246209980743</v>
      </c>
      <c r="AO142" s="59">
        <f t="shared" si="144"/>
        <v>394.10236303013903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17.742753041984546</v>
      </c>
      <c r="AV142" s="21">
        <f>EXP(-LN(2)/25)*AV141+(1-EXP(-LN(2)/25))/(LN(2)/25)*Calculateur!AQ142*Calculateur!AS142*VLOOKUP('Données projet'!$B$10,Paramètres!$A$1:$I$89,3,0)*0.475*44/12</f>
        <v>10.977549782476805</v>
      </c>
      <c r="AW142" s="21">
        <f>EXP(-LN(2)/2)*AW141+(1-EXP(-LN(2)/2))/(LN(2)/2)*AQ142*AT142*VLOOKUP('Données projet'!$B$10,Paramètres!$A$1:$I$89,3,0)*0.475*44/12</f>
        <v>9.0274675394913036E-8</v>
      </c>
      <c r="AX142" s="21">
        <f t="shared" si="114"/>
        <v>28.720302914736024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7.3375000000000012</v>
      </c>
      <c r="BD142" s="12">
        <f>IF('Données projet'!$A$88&gt;35,BD141+BC142-BL141,IF(A142&lt;'Données projet'!$A$88,$BA$205^A142,IF(A142='Données projet'!$A$88,'Données projet'!$B$88,BD141+BC142-BL141)))</f>
        <v>343.2324999999999</v>
      </c>
      <c r="BE142" s="13">
        <f>BD142*VLOOKUP('Données projet'!$B$11,Paramètres!$A$1:$I$89,3,0)*VLOOKUP('Données projet'!$B$11,Paramètres!$A$1:$I$89,5,0)</f>
        <v>348.03775499999989</v>
      </c>
      <c r="BF142" s="13">
        <f t="shared" si="145"/>
        <v>81.158332500044466</v>
      </c>
      <c r="BG142" s="20">
        <f t="shared" si="115"/>
        <v>747.51651906257723</v>
      </c>
      <c r="BH142" s="59">
        <f t="shared" si="116"/>
        <v>1032.7999593187781</v>
      </c>
      <c r="BI142" s="59">
        <f ca="1">AVERAGE(OFFSET($BH$3,0,0,'Données projet'!$E$11+1,1))-AVERAGE(OFFSET($H$3,0,0,'Données projet'!$E$11+1,1))</f>
        <v>580.02848304986492</v>
      </c>
      <c r="BJ142" s="59">
        <f t="shared" si="146"/>
        <v>281.68891895586728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25.390418810747974</v>
      </c>
      <c r="BQ142" s="21">
        <f>EXP(-LN(2)/25)*BQ141+(1-EXP(-LN(2)/25))/(LN(2)/25)*Calculateur!BL142*Calculateur!BN142*VLOOKUP('Données projet'!$B$11,Paramètres!$A$1:$I$89,3,0)*0.475*44/12</f>
        <v>19.798840166738056</v>
      </c>
      <c r="BR142" s="21">
        <f>EXP(-LN(2)/2)*BR141+(1-EXP(-LN(2)/2))/(LN(2)/2)*BL142*BO142*VLOOKUP('Données projet'!$B$11,Paramètres!$A$1:$I$89,3,0)*0.475*44/12</f>
        <v>0.42444718396356917</v>
      </c>
      <c r="BS142" s="22">
        <f t="shared" si="117"/>
        <v>45.613706161449606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4.4337866711430253E-14</v>
      </c>
      <c r="CA142" s="13">
        <f t="shared" si="147"/>
        <v>7.3222115536967035E-13</v>
      </c>
      <c r="CB142" s="20">
        <f t="shared" si="118"/>
        <v>1.3525069634579169E-12</v>
      </c>
      <c r="CC142" s="59">
        <f t="shared" si="119"/>
        <v>285.28344025620225</v>
      </c>
      <c r="CD142" s="59">
        <f ca="1">AVERAGE(OFFSET($CC$3,0,0,'Données projet'!$E$12+1,1))-AVERAGE(OFFSET($H$3,0,0,'Données projet'!$E$12+1,1))</f>
        <v>308.85018589589453</v>
      </c>
      <c r="CE142" s="59">
        <f t="shared" si="148"/>
        <v>302.59481222418219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10.749645027309827</v>
      </c>
      <c r="CL142" s="21">
        <f>EXP(-LN(2)/25)*CL141+(1-EXP(-LN(2)/25))/(LN(2)/25)*Calculateur!CG142*Calculateur!CI142*VLOOKUP('Données projet'!$B$12,Paramètres!$A$1:$I$89,3,0)*0.475*44/12</f>
        <v>6.0787942287590839</v>
      </c>
      <c r="CM142" s="21">
        <f>EXP(-LN(2)/2)*CM141+(1-EXP(-LN(2)/2))/(LN(2)/2)*CG142*CJ142*VLOOKUP('Données projet'!$B$12,Paramètres!$A$1:$I$89,3,0)*0.475*44/12</f>
        <v>1.7682329534228042E-9</v>
      </c>
      <c r="CN142" s="22">
        <f t="shared" si="120"/>
        <v>16.828439257837143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2.2737367544323206E-13</v>
      </c>
      <c r="CU142" s="17">
        <f>CT142*VLOOKUP('Données projet'!$B$13,Paramètres!$A$1:$I$89,3,0)*VLOOKUP('Données projet'!$B$13,Paramètres!$A$1:$I$89,5,0)</f>
        <v>1.5252226148732008E-13</v>
      </c>
      <c r="CV142" s="13">
        <f t="shared" si="149"/>
        <v>2.1814502464536512E-12</v>
      </c>
      <c r="CW142" s="20">
        <f t="shared" si="121"/>
        <v>4.0650021179971913E-12</v>
      </c>
      <c r="CX142" s="59">
        <f t="shared" si="122"/>
        <v>285.28344025620498</v>
      </c>
      <c r="CY142" s="59">
        <f ca="1">AVERAGE(OFFSET($CX$3,0,0,'Données projet'!$E$13+1,1))-AVERAGE(OFFSET($H$3,0,0,'Données projet'!$E$13+1,1))</f>
        <v>335.73816489539837</v>
      </c>
      <c r="CZ142" s="59">
        <f t="shared" si="150"/>
        <v>254.09787950201044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21.092970189887211</v>
      </c>
      <c r="DG142" s="21">
        <f>EXP(-LN(2)/25)*DG141+(1-EXP(-LN(2)/25))/(LN(2)/25)*Calculateur!DB142*Calculateur!DD142*VLOOKUP('Données projet'!$B$13,Paramètres!$A$1:$I$89,3,0)*0.475*44/12</f>
        <v>16.966784682981586</v>
      </c>
      <c r="DH142" s="21">
        <f>EXP(-LN(2)/2)*DH141+(1-EXP(-LN(2)/2))/(LN(2)/2)*DB142*DE142*VLOOKUP('Données projet'!$B$13,Paramètres!$A$1:$I$89,3,0)*0.475*44/12</f>
        <v>2.1128455746375506E-3</v>
      </c>
      <c r="DI142" s="22">
        <f t="shared" si="123"/>
        <v>38.06186771844343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2.5579538487363607E-13</v>
      </c>
      <c r="DP142" s="17">
        <f>DO142*VLOOKUP('Données projet'!$B$14,Paramètres!$A$1:$I$89,3,0)*VLOOKUP('Données projet'!$B$14,Paramètres!$A$1:$I$89,5,0)</f>
        <v>2.4740529624978082E-13</v>
      </c>
      <c r="DQ142" s="13">
        <f t="shared" si="151"/>
        <v>3.3447853361996459E-12</v>
      </c>
      <c r="DR142" s="20">
        <f t="shared" si="124"/>
        <v>6.2563986848494188E-12</v>
      </c>
      <c r="DS142" s="59">
        <f t="shared" si="125"/>
        <v>285.28344025620714</v>
      </c>
      <c r="DT142" s="59">
        <f ca="1">AVERAGE(OFFSET($DS$3,0,0,'Données projet'!$E$14+1,1))-AVERAGE(OFFSET($H$3,0,0,'Données projet'!$E$14+1,1))</f>
        <v>493.03862850474161</v>
      </c>
      <c r="DU142" s="59">
        <f t="shared" si="152"/>
        <v>312.51819065560528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101.0429610150542</v>
      </c>
      <c r="EB142" s="21">
        <f>EXP(-LN(2)/25)*EB141+(1-EXP(-LN(2)/25))/(LN(2)/25)*Calculateur!DW142*Calculateur!DY142*VLOOKUP('Données projet'!$B$14,Paramètres!$A$1:$I$89,3,0)*0.475*44/12</f>
        <v>19.607326069462545</v>
      </c>
      <c r="EC142" s="21">
        <f>EXP(-LN(2)/2)*EC141+(1-EXP(-LN(2)/2))/(LN(2)/2)*DW142*DZ142*VLOOKUP('Données projet'!$B$14,Paramètres!$A$1:$I$89,3,0)*0.475*44/12</f>
        <v>0.32168252767796823</v>
      </c>
      <c r="ED142" s="22">
        <f t="shared" si="126"/>
        <v>120.97196961219471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2.5579538487363607E-13</v>
      </c>
      <c r="EK142" s="17">
        <f>EJ142*VLOOKUP('Données projet'!$B$15,Paramètres!$A$1:$I$89,3,0)*VLOOKUP('Données projet'!$B$15,Paramètres!$A$1:$I$89,5,0)</f>
        <v>2.7533815227798186E-13</v>
      </c>
      <c r="EL142" s="13">
        <f t="shared" si="153"/>
        <v>3.6763598146902537E-12</v>
      </c>
      <c r="EM142" s="20">
        <f t="shared" si="127"/>
        <v>6.88254062580301E-12</v>
      </c>
      <c r="EN142" s="59">
        <f t="shared" si="128"/>
        <v>285.28344025620777</v>
      </c>
      <c r="EO142" s="59">
        <f ca="1">AVERAGE(OFFSET($EN$3,0,0,'Données projet'!$E$15+1,1))-AVERAGE(OFFSET($H$3,0,0,'Données projet'!$E$15+1,1))</f>
        <v>539.72194201710272</v>
      </c>
      <c r="EP142" s="59">
        <f t="shared" si="154"/>
        <v>340.76505385159362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112.45103725868935</v>
      </c>
      <c r="EW142" s="21">
        <f>EXP(-LN(2)/25)*EW141+(1-EXP(-LN(2)/25))/(LN(2)/25)*Calculateur!ER142*Calculateur!ET142*VLOOKUP('Données projet'!$B$15,Paramètres!$A$1:$I$89,3,0)*0.475*44/12</f>
        <v>21.821056432143799</v>
      </c>
      <c r="EX142" s="21">
        <f>EXP(-LN(2)/2)*EX141+(1-EXP(-LN(2)/2))/(LN(2)/2)*ER142*EU142*VLOOKUP('Données projet'!$B$15,Paramètres!$A$1:$I$89,3,0)*0.475*44/12</f>
        <v>0.35800152273838376</v>
      </c>
      <c r="EY142" s="22">
        <f t="shared" si="129"/>
        <v>134.63009521357154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>
        <f>FE142*VLOOKUP('Données projet'!$B$16,Paramètres!$A$1:$I$89,3,0)*VLOOKUP('Données projet'!$B$16,Paramètres!$A$1:$I$89,5,0)</f>
        <v>0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383.47860767209028</v>
      </c>
      <c r="FK142" s="59">
        <f t="shared" si="156"/>
        <v>370.49129421395628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16.475413538985642</v>
      </c>
      <c r="FR142" s="21">
        <f>EXP(-LN(2)/25)*FR141+(1-EXP(-LN(2)/25))/(LN(2)/25)*Calculateur!FM142*Calculateur!FO142*VLOOKUP('Données projet'!$B$16,Paramètres!$A$1:$I$89,3,0)*0.475*44/12</f>
        <v>10.193439083728457</v>
      </c>
      <c r="FS142" s="21">
        <f>EXP(-LN(2)/2)*FS141+(1-EXP(-LN(2)/2))/(LN(2)/2)*FM142*FP142*VLOOKUP('Données projet'!$B$16,Paramètres!$A$1:$I$89,3,0)*0.475*44/12</f>
        <v>8.3826484295276739E-8</v>
      </c>
      <c r="FT142" s="22">
        <f t="shared" si="132"/>
        <v>26.668852706540584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7.3375000000000012</v>
      </c>
      <c r="FZ142" s="12">
        <f>IF('Données projet'!$A$244&gt;35,FZ141+FY142-GH141,IF(A142&lt;'Données projet'!$A$244,$FW$205^A142,IF(A142='Données projet'!$A$244,'Données projet'!$B$244,FZ141+FY142-GH141)))</f>
        <v>343.2324999999999</v>
      </c>
      <c r="GA142" s="17">
        <f>FZ142*VLOOKUP('Données projet'!$B$17,Paramètres!$A$1:$I$89,3,0)*VLOOKUP('Données projet'!$B$17,Paramètres!$A$1:$I$89,5,0)</f>
        <v>390.8731709999999</v>
      </c>
      <c r="GB142" s="13">
        <f t="shared" si="157"/>
        <v>89.923862442362179</v>
      </c>
      <c r="GC142" s="20">
        <f t="shared" si="133"/>
        <v>837.38816657878067</v>
      </c>
      <c r="GD142" s="59">
        <f t="shared" si="134"/>
        <v>1122.6716068349815</v>
      </c>
      <c r="GE142" s="59">
        <f ca="1">AVERAGE(OFFSET($GD$3,0,0,'Données projet'!$E$17+1,1))-AVERAGE(OFFSET($H$3,0,0,'Données projet'!$E$17+1,1))</f>
        <v>640.05156427113661</v>
      </c>
      <c r="GF142" s="59">
        <f t="shared" si="158"/>
        <v>308.77220155372902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28.515393433609276</v>
      </c>
      <c r="GM142" s="21">
        <f>EXP(-LN(2)/25)*GM141+(1-EXP(-LN(2)/25))/(LN(2)/25)*Calculateur!GH142*Calculateur!GJ142*VLOOKUP('Données projet'!$B$17,Paramètres!$A$1:$I$89,3,0)*0.475*44/12</f>
        <v>22.23562049495197</v>
      </c>
      <c r="GN142" s="21">
        <f>EXP(-LN(2)/2)*GN141+(1-EXP(-LN(2)/2))/(LN(2)/2)*GH142*GK142*VLOOKUP('Données projet'!$B$17,Paramètres!$A$1:$I$89,3,0)*0.475*44/12</f>
        <v>0.47668683737447004</v>
      </c>
      <c r="GO142" s="21">
        <f t="shared" si="135"/>
        <v>51.227700765935722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4.7884896048344674E-14</v>
      </c>
      <c r="P143" s="13">
        <f t="shared" si="141"/>
        <v>7.8374629847779921E-13</v>
      </c>
      <c r="Q143" s="20">
        <f t="shared" si="108"/>
        <v>1.4484243304663672E-12</v>
      </c>
      <c r="R143" s="59">
        <f t="shared" si="109"/>
        <v>285.42308790422578</v>
      </c>
      <c r="S143" s="59">
        <f ca="1">AVERAGE(OFFSET($R$3,0,0,'Données projet'!$E$9+1,1))-AVERAGE(OFFSET($H$3,0,0,'Données projet'!$E$9+1,1))</f>
        <v>456.35333554128226</v>
      </c>
      <c r="T143" s="59">
        <f t="shared" si="142"/>
        <v>296.4517290984877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62.394293586952394</v>
      </c>
      <c r="AA143" s="21">
        <f>EXP(-LN(2)/25)*AA142+(1-EXP(-LN(2)/25))/(LN(2)/25)*Calculateur!V143*Calculateur!X143*VLOOKUP('Données projet'!$B$9,Paramètres!$A$1:$I$89,3,0)*0.475*44/12</f>
        <v>10.900442058812816</v>
      </c>
      <c r="AB143" s="21">
        <f>EXP(-LN(2)/2)*AB142+(1-EXP(-LN(2)/2))/(LN(2)/2)*V143*Y143*VLOOKUP('Données projet'!$B$9,Paramètres!$A$1:$I$89,3,0)*0.475*44/12</f>
        <v>5.6633175086679731E-5</v>
      </c>
      <c r="AC143" s="22">
        <f t="shared" si="111"/>
        <v>73.294792278940307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408.246209980743</v>
      </c>
      <c r="AO143" s="59">
        <f t="shared" si="144"/>
        <v>394.10236303013903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17.394828476842001</v>
      </c>
      <c r="AV143" s="21">
        <f>EXP(-LN(2)/25)*AV142+(1-EXP(-LN(2)/25))/(LN(2)/25)*Calculateur!AQ143*Calculateur!AS143*VLOOKUP('Données projet'!$B$10,Paramètres!$A$1:$I$89,3,0)*0.475*44/12</f>
        <v>10.677368106390723</v>
      </c>
      <c r="AW143" s="21">
        <f>EXP(-LN(2)/2)*AW142+(1-EXP(-LN(2)/2))/(LN(2)/2)*AQ143*AT143*VLOOKUP('Données projet'!$B$10,Paramètres!$A$1:$I$89,3,0)*0.475*44/12</f>
        <v>6.3833835141157377E-8</v>
      </c>
      <c r="AX143" s="21">
        <f t="shared" si="114"/>
        <v>28.072196647066558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7.3375000000000012</v>
      </c>
      <c r="BD143" s="12">
        <f>IF('Données projet'!$A$88&gt;35,BD142+BC143-BL142,IF(A143&lt;'Données projet'!$A$88,$BA$205^A143,IF(A143='Données projet'!$A$88,'Données projet'!$B$88,BD142+BC143-BL142)))</f>
        <v>350.56999999999988</v>
      </c>
      <c r="BE143" s="13">
        <f>BD143*VLOOKUP('Données projet'!$B$11,Paramètres!$A$1:$I$89,3,0)*VLOOKUP('Données projet'!$B$11,Paramètres!$A$1:$I$89,5,0)</f>
        <v>355.47797999999989</v>
      </c>
      <c r="BF143" s="13">
        <f t="shared" si="145"/>
        <v>82.689462665419711</v>
      </c>
      <c r="BG143" s="20">
        <f t="shared" si="115"/>
        <v>763.14162930893906</v>
      </c>
      <c r="BH143" s="59">
        <f t="shared" si="116"/>
        <v>1048.5647172131635</v>
      </c>
      <c r="BI143" s="59">
        <f ca="1">AVERAGE(OFFSET($BH$3,0,0,'Données projet'!$E$11+1,1))-AVERAGE(OFFSET($H$3,0,0,'Données projet'!$E$11+1,1))</f>
        <v>580.02848304986492</v>
      </c>
      <c r="BJ143" s="59">
        <f t="shared" si="146"/>
        <v>281.68891895586728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24.892528184495504</v>
      </c>
      <c r="BQ143" s="21">
        <f>EXP(-LN(2)/25)*BQ142+(1-EXP(-LN(2)/25))/(LN(2)/25)*Calculateur!BL143*Calculateur!BN143*VLOOKUP('Données projet'!$B$11,Paramètres!$A$1:$I$89,3,0)*0.475*44/12</f>
        <v>19.257439841202849</v>
      </c>
      <c r="BR143" s="21">
        <f>EXP(-LN(2)/2)*BR142+(1-EXP(-LN(2)/2))/(LN(2)/2)*BL143*BO143*VLOOKUP('Données projet'!$B$11,Paramètres!$A$1:$I$89,3,0)*0.475*44/12</f>
        <v>0.30012948203617379</v>
      </c>
      <c r="BS143" s="22">
        <f t="shared" si="117"/>
        <v>44.450097507734533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4.4337866711430253E-14</v>
      </c>
      <c r="CA143" s="13">
        <f t="shared" si="147"/>
        <v>7.3222115536967035E-13</v>
      </c>
      <c r="CB143" s="20">
        <f t="shared" si="118"/>
        <v>1.3525069634579169E-12</v>
      </c>
      <c r="CC143" s="59">
        <f t="shared" si="119"/>
        <v>285.42308790422572</v>
      </c>
      <c r="CD143" s="59">
        <f ca="1">AVERAGE(OFFSET($CC$3,0,0,'Données projet'!$E$12+1,1))-AVERAGE(OFFSET($H$3,0,0,'Données projet'!$E$12+1,1))</f>
        <v>308.85018589589453</v>
      </c>
      <c r="CE143" s="59">
        <f t="shared" si="148"/>
        <v>302.59481222418219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10.538851044960333</v>
      </c>
      <c r="CL143" s="21">
        <f>EXP(-LN(2)/25)*CL142+(1-EXP(-LN(2)/25))/(LN(2)/25)*Calculateur!CG143*Calculateur!CI143*VLOOKUP('Données projet'!$B$12,Paramètres!$A$1:$I$89,3,0)*0.475*44/12</f>
        <v>5.9125692809037718</v>
      </c>
      <c r="CM143" s="21">
        <f>EXP(-LN(2)/2)*CM142+(1-EXP(-LN(2)/2))/(LN(2)/2)*CG143*CJ143*VLOOKUP('Données projet'!$B$12,Paramètres!$A$1:$I$89,3,0)*0.475*44/12</f>
        <v>1.2503295120827815E-9</v>
      </c>
      <c r="CN143" s="22">
        <f t="shared" si="120"/>
        <v>16.451420327114434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2.2737367544323206E-13</v>
      </c>
      <c r="CU143" s="17">
        <f>CT143*VLOOKUP('Données projet'!$B$13,Paramètres!$A$1:$I$89,3,0)*VLOOKUP('Données projet'!$B$13,Paramètres!$A$1:$I$89,5,0)</f>
        <v>1.5252226148732008E-13</v>
      </c>
      <c r="CV143" s="13">
        <f t="shared" si="149"/>
        <v>2.1814502464536512E-12</v>
      </c>
      <c r="CW143" s="20">
        <f t="shared" si="121"/>
        <v>4.0650021179971913E-12</v>
      </c>
      <c r="CX143" s="59">
        <f t="shared" si="122"/>
        <v>285.42308790422845</v>
      </c>
      <c r="CY143" s="59">
        <f ca="1">AVERAGE(OFFSET($CX$3,0,0,'Données projet'!$E$13+1,1))-AVERAGE(OFFSET($H$3,0,0,'Données projet'!$E$13+1,1))</f>
        <v>335.73816489539837</v>
      </c>
      <c r="CZ143" s="59">
        <f t="shared" si="150"/>
        <v>254.09787950201044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20.679349909904982</v>
      </c>
      <c r="DG143" s="21">
        <f>EXP(-LN(2)/25)*DG142+(1-EXP(-LN(2)/25))/(LN(2)/25)*Calculateur!DB143*Calculateur!DD143*VLOOKUP('Données projet'!$B$13,Paramètres!$A$1:$I$89,3,0)*0.475*44/12</f>
        <v>16.502827063581027</v>
      </c>
      <c r="DH143" s="21">
        <f>EXP(-LN(2)/2)*DH142+(1-EXP(-LN(2)/2))/(LN(2)/2)*DB143*DE143*VLOOKUP('Données projet'!$B$13,Paramètres!$A$1:$I$89,3,0)*0.475*44/12</f>
        <v>1.4940074334261998E-3</v>
      </c>
      <c r="DI143" s="22">
        <f t="shared" si="123"/>
        <v>37.183670980919437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2.5579538487363607E-13</v>
      </c>
      <c r="DP143" s="17">
        <f>DO143*VLOOKUP('Données projet'!$B$14,Paramètres!$A$1:$I$89,3,0)*VLOOKUP('Données projet'!$B$14,Paramètres!$A$1:$I$89,5,0)</f>
        <v>2.4740529624978082E-13</v>
      </c>
      <c r="DQ143" s="13">
        <f t="shared" si="151"/>
        <v>3.3447853361996459E-12</v>
      </c>
      <c r="DR143" s="20">
        <f t="shared" si="124"/>
        <v>6.2563986848494188E-12</v>
      </c>
      <c r="DS143" s="59">
        <f t="shared" si="125"/>
        <v>285.42308790423061</v>
      </c>
      <c r="DT143" s="59">
        <f ca="1">AVERAGE(OFFSET($DS$3,0,0,'Données projet'!$E$14+1,1))-AVERAGE(OFFSET($H$3,0,0,'Données projet'!$E$14+1,1))</f>
        <v>493.03862850474161</v>
      </c>
      <c r="DU143" s="59">
        <f t="shared" si="152"/>
        <v>312.51819065560528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99.061570179669744</v>
      </c>
      <c r="EB143" s="21">
        <f>EXP(-LN(2)/25)*EB142+(1-EXP(-LN(2)/25))/(LN(2)/25)*Calculateur!DW143*Calculateur!DY143*VLOOKUP('Données projet'!$B$14,Paramètres!$A$1:$I$89,3,0)*0.475*44/12</f>
        <v>19.071162706988627</v>
      </c>
      <c r="EC143" s="21">
        <f>EXP(-LN(2)/2)*EC142+(1-EXP(-LN(2)/2))/(LN(2)/2)*DW143*DZ143*VLOOKUP('Données projet'!$B$14,Paramètres!$A$1:$I$89,3,0)*0.475*44/12</f>
        <v>0.22746389671032061</v>
      </c>
      <c r="ED143" s="22">
        <f t="shared" si="126"/>
        <v>118.36019678336869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2.5579538487363607E-13</v>
      </c>
      <c r="EK143" s="17">
        <f>EJ143*VLOOKUP('Données projet'!$B$15,Paramètres!$A$1:$I$89,3,0)*VLOOKUP('Données projet'!$B$15,Paramètres!$A$1:$I$89,5,0)</f>
        <v>2.7533815227798186E-13</v>
      </c>
      <c r="EL143" s="13">
        <f t="shared" si="153"/>
        <v>3.6763598146902537E-12</v>
      </c>
      <c r="EM143" s="20">
        <f t="shared" si="127"/>
        <v>6.88254062580301E-12</v>
      </c>
      <c r="EN143" s="59">
        <f t="shared" si="128"/>
        <v>285.42308790423124</v>
      </c>
      <c r="EO143" s="59">
        <f ca="1">AVERAGE(OFFSET($EN$3,0,0,'Données projet'!$E$15+1,1))-AVERAGE(OFFSET($H$3,0,0,'Données projet'!$E$15+1,1))</f>
        <v>539.72194201710272</v>
      </c>
      <c r="EP143" s="59">
        <f t="shared" si="154"/>
        <v>340.76505385159362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110.24594100640664</v>
      </c>
      <c r="EW143" s="21">
        <f>EXP(-LN(2)/25)*EW142+(1-EXP(-LN(2)/25))/(LN(2)/25)*Calculateur!ER143*Calculateur!ET143*VLOOKUP('Données projet'!$B$15,Paramètres!$A$1:$I$89,3,0)*0.475*44/12</f>
        <v>21.224358496487341</v>
      </c>
      <c r="EX143" s="21">
        <f>EXP(-LN(2)/2)*EX142+(1-EXP(-LN(2)/2))/(LN(2)/2)*ER143*EU143*VLOOKUP('Données projet'!$B$15,Paramètres!$A$1:$I$89,3,0)*0.475*44/12</f>
        <v>0.25314530440342115</v>
      </c>
      <c r="EY143" s="22">
        <f t="shared" si="129"/>
        <v>131.7234448072974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>
        <f>FE143*VLOOKUP('Données projet'!$B$16,Paramètres!$A$1:$I$89,3,0)*VLOOKUP('Données projet'!$B$16,Paramètres!$A$1:$I$89,5,0)</f>
        <v>0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383.47860767209028</v>
      </c>
      <c r="FK143" s="59">
        <f t="shared" si="156"/>
        <v>370.49129421395628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16.152340728496135</v>
      </c>
      <c r="FR143" s="21">
        <f>EXP(-LN(2)/25)*FR142+(1-EXP(-LN(2)/25))/(LN(2)/25)*Calculateur!FM143*Calculateur!FO143*VLOOKUP('Données projet'!$B$16,Paramètres!$A$1:$I$89,3,0)*0.475*44/12</f>
        <v>9.914698955934238</v>
      </c>
      <c r="FS143" s="21">
        <f>EXP(-LN(2)/2)*FS142+(1-EXP(-LN(2)/2))/(LN(2)/2)*FM143*FP143*VLOOKUP('Données projet'!$B$16,Paramètres!$A$1:$I$89,3,0)*0.475*44/12</f>
        <v>5.9274275488217817E-8</v>
      </c>
      <c r="FT143" s="22">
        <f t="shared" si="132"/>
        <v>26.067039743704647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7.3375000000000012</v>
      </c>
      <c r="FZ143" s="12">
        <f>IF('Données projet'!$A$244&gt;35,FZ142+FY143-GH142,IF(A143&lt;'Données projet'!$A$244,$FW$205^A143,IF(A143='Données projet'!$A$244,'Données projet'!$B$244,FZ142+FY143-GH142)))</f>
        <v>350.56999999999988</v>
      </c>
      <c r="GA143" s="17">
        <f>FZ143*VLOOKUP('Données projet'!$B$17,Paramètres!$A$1:$I$89,3,0)*VLOOKUP('Données projet'!$B$17,Paramètres!$A$1:$I$89,5,0)</f>
        <v>399.22911599999986</v>
      </c>
      <c r="GB143" s="13">
        <f t="shared" si="157"/>
        <v>91.620362778572016</v>
      </c>
      <c r="GC143" s="20">
        <f t="shared" si="133"/>
        <v>854.89617553934602</v>
      </c>
      <c r="GD143" s="59">
        <f t="shared" si="134"/>
        <v>1140.3192634435704</v>
      </c>
      <c r="GE143" s="59">
        <f ca="1">AVERAGE(OFFSET($GD$3,0,0,'Données projet'!$E$17+1,1))-AVERAGE(OFFSET($H$3,0,0,'Données projet'!$E$17+1,1))</f>
        <v>640.05156427113661</v>
      </c>
      <c r="GF143" s="59">
        <f t="shared" si="158"/>
        <v>308.77220155372902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27.95622396104881</v>
      </c>
      <c r="GM143" s="21">
        <f>EXP(-LN(2)/25)*GM142+(1-EXP(-LN(2)/25))/(LN(2)/25)*Calculateur!GH143*Calculateur!GJ143*VLOOKUP('Données projet'!$B$17,Paramètres!$A$1:$I$89,3,0)*0.475*44/12</f>
        <v>21.627586283197047</v>
      </c>
      <c r="GN143" s="21">
        <f>EXP(-LN(2)/2)*GN142+(1-EXP(-LN(2)/2))/(LN(2)/2)*GH143*GK143*VLOOKUP('Données projet'!$B$17,Paramètres!$A$1:$I$89,3,0)*0.475*44/12</f>
        <v>0.33706849520985677</v>
      </c>
      <c r="GO143" s="21">
        <f t="shared" si="135"/>
        <v>49.920878739455709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4.7884896048344674E-14</v>
      </c>
      <c r="P144" s="13">
        <f t="shared" si="141"/>
        <v>7.8374629847779921E-13</v>
      </c>
      <c r="Q144" s="20">
        <f t="shared" si="108"/>
        <v>1.4484243304663672E-12</v>
      </c>
      <c r="R144" s="59">
        <f t="shared" si="109"/>
        <v>285.56031297776144</v>
      </c>
      <c r="S144" s="59">
        <f ca="1">AVERAGE(OFFSET($R$3,0,0,'Données projet'!$E$9+1,1))-AVERAGE(OFFSET($H$3,0,0,'Données projet'!$E$9+1,1))</f>
        <v>456.35333554128226</v>
      </c>
      <c r="T144" s="59">
        <f t="shared" si="142"/>
        <v>296.4517290984877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61.170779546473554</v>
      </c>
      <c r="AA144" s="21">
        <f>EXP(-LN(2)/25)*AA143+(1-EXP(-LN(2)/25))/(LN(2)/25)*Calculateur!V144*Calculateur!X144*VLOOKUP('Données projet'!$B$9,Paramètres!$A$1:$I$89,3,0)*0.475*44/12</f>
        <v>10.602368897485245</v>
      </c>
      <c r="AB144" s="21">
        <f>EXP(-LN(2)/2)*AB143+(1-EXP(-LN(2)/2))/(LN(2)/2)*V144*Y144*VLOOKUP('Données projet'!$B$9,Paramètres!$A$1:$I$89,3,0)*0.475*44/12</f>
        <v>4.0045702143916279E-5</v>
      </c>
      <c r="AC144" s="22">
        <f t="shared" si="111"/>
        <v>71.773188489660953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408.246209980743</v>
      </c>
      <c r="AO144" s="59">
        <f t="shared" si="144"/>
        <v>394.10236303013903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17.053726500208871</v>
      </c>
      <c r="AV144" s="21">
        <f>EXP(-LN(2)/25)*AV143+(1-EXP(-LN(2)/25))/(LN(2)/25)*Calculateur!AQ144*Calculateur!AS144*VLOOKUP('Données projet'!$B$10,Paramètres!$A$1:$I$89,3,0)*0.475*44/12</f>
        <v>10.385394914023085</v>
      </c>
      <c r="AW144" s="21">
        <f>EXP(-LN(2)/2)*AW143+(1-EXP(-LN(2)/2))/(LN(2)/2)*AQ144*AT144*VLOOKUP('Données projet'!$B$10,Paramètres!$A$1:$I$89,3,0)*0.475*44/12</f>
        <v>4.5137337697456518E-8</v>
      </c>
      <c r="AX144" s="21">
        <f t="shared" si="114"/>
        <v>27.439121459369293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7.3375000000000012</v>
      </c>
      <c r="BD144" s="12">
        <f>IF('Données projet'!$A$88&gt;35,BD143+BC144-BL143,IF(A144&lt;'Données projet'!$A$88,$BA$205^A144,IF(A144='Données projet'!$A$88,'Données projet'!$B$88,BD143+BC144-BL143)))</f>
        <v>357.90749999999986</v>
      </c>
      <c r="BE144" s="13">
        <f>BD144*VLOOKUP('Données projet'!$B$11,Paramètres!$A$1:$I$89,3,0)*VLOOKUP('Données projet'!$B$11,Paramètres!$A$1:$I$89,5,0)</f>
        <v>362.91820499999989</v>
      </c>
      <c r="BF144" s="13">
        <f t="shared" si="145"/>
        <v>84.216866829050204</v>
      </c>
      <c r="BG144" s="20">
        <f t="shared" si="115"/>
        <v>778.76025010226238</v>
      </c>
      <c r="BH144" s="59">
        <f t="shared" si="116"/>
        <v>1064.3205630800223</v>
      </c>
      <c r="BI144" s="59">
        <f ca="1">AVERAGE(OFFSET($BH$3,0,0,'Données projet'!$E$11+1,1))-AVERAGE(OFFSET($H$3,0,0,'Données projet'!$E$11+1,1))</f>
        <v>580.02848304986492</v>
      </c>
      <c r="BJ144" s="59">
        <f t="shared" si="146"/>
        <v>281.68891895586728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24.404400889740547</v>
      </c>
      <c r="BQ144" s="21">
        <f>EXP(-LN(2)/25)*BQ143+(1-EXP(-LN(2)/25))/(LN(2)/25)*Calculateur!BL144*Calculateur!BN144*VLOOKUP('Données projet'!$B$11,Paramètres!$A$1:$I$89,3,0)*0.475*44/12</f>
        <v>18.73084413604041</v>
      </c>
      <c r="BR144" s="21">
        <f>EXP(-LN(2)/2)*BR143+(1-EXP(-LN(2)/2))/(LN(2)/2)*BL144*BO144*VLOOKUP('Données projet'!$B$11,Paramètres!$A$1:$I$89,3,0)*0.475*44/12</f>
        <v>0.21222359198178459</v>
      </c>
      <c r="BS144" s="22">
        <f t="shared" si="117"/>
        <v>43.347468617762743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4.4337866711430253E-14</v>
      </c>
      <c r="CA144" s="13">
        <f t="shared" si="147"/>
        <v>7.3222115536967035E-13</v>
      </c>
      <c r="CB144" s="20">
        <f t="shared" si="118"/>
        <v>1.3525069634579169E-12</v>
      </c>
      <c r="CC144" s="59">
        <f t="shared" si="119"/>
        <v>285.56031297776138</v>
      </c>
      <c r="CD144" s="59">
        <f ca="1">AVERAGE(OFFSET($CC$3,0,0,'Données projet'!$E$12+1,1))-AVERAGE(OFFSET($H$3,0,0,'Données projet'!$E$12+1,1))</f>
        <v>308.85018589589453</v>
      </c>
      <c r="CE144" s="59">
        <f t="shared" si="148"/>
        <v>302.59481222418219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10.33219060403308</v>
      </c>
      <c r="CL144" s="21">
        <f>EXP(-LN(2)/25)*CL143+(1-EXP(-LN(2)/25))/(LN(2)/25)*Calculateur!CG144*Calculateur!CI144*VLOOKUP('Données projet'!$B$12,Paramètres!$A$1:$I$89,3,0)*0.475*44/12</f>
        <v>5.7508897629889528</v>
      </c>
      <c r="CM144" s="21">
        <f>EXP(-LN(2)/2)*CM143+(1-EXP(-LN(2)/2))/(LN(2)/2)*CG144*CJ144*VLOOKUP('Données projet'!$B$12,Paramètres!$A$1:$I$89,3,0)*0.475*44/12</f>
        <v>8.8411647671140211E-10</v>
      </c>
      <c r="CN144" s="22">
        <f t="shared" si="120"/>
        <v>16.083080367906152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2.2737367544323206E-13</v>
      </c>
      <c r="CU144" s="17">
        <f>CT144*VLOOKUP('Données projet'!$B$13,Paramètres!$A$1:$I$89,3,0)*VLOOKUP('Données projet'!$B$13,Paramètres!$A$1:$I$89,5,0)</f>
        <v>1.5252226148732008E-13</v>
      </c>
      <c r="CV144" s="13">
        <f t="shared" si="149"/>
        <v>2.1814502464536512E-12</v>
      </c>
      <c r="CW144" s="20">
        <f t="shared" si="121"/>
        <v>4.0650021179971913E-12</v>
      </c>
      <c r="CX144" s="59">
        <f t="shared" si="122"/>
        <v>285.56031297776411</v>
      </c>
      <c r="CY144" s="59">
        <f ca="1">AVERAGE(OFFSET($CX$3,0,0,'Données projet'!$E$13+1,1))-AVERAGE(OFFSET($H$3,0,0,'Données projet'!$E$13+1,1))</f>
        <v>335.73816489539837</v>
      </c>
      <c r="CZ144" s="59">
        <f t="shared" si="150"/>
        <v>254.09787950201044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20.273840471329745</v>
      </c>
      <c r="DG144" s="21">
        <f>EXP(-LN(2)/25)*DG143+(1-EXP(-LN(2)/25))/(LN(2)/25)*Calculateur!DB144*Calculateur!DD144*VLOOKUP('Données projet'!$B$13,Paramètres!$A$1:$I$89,3,0)*0.475*44/12</f>
        <v>16.051556389681444</v>
      </c>
      <c r="DH144" s="21">
        <f>EXP(-LN(2)/2)*DH143+(1-EXP(-LN(2)/2))/(LN(2)/2)*DB144*DE144*VLOOKUP('Données projet'!$B$13,Paramètres!$A$1:$I$89,3,0)*0.475*44/12</f>
        <v>1.0564227873187753E-3</v>
      </c>
      <c r="DI144" s="22">
        <f t="shared" si="123"/>
        <v>36.326453283798507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2.5579538487363607E-13</v>
      </c>
      <c r="DP144" s="17">
        <f>DO144*VLOOKUP('Données projet'!$B$14,Paramètres!$A$1:$I$89,3,0)*VLOOKUP('Données projet'!$B$14,Paramètres!$A$1:$I$89,5,0)</f>
        <v>2.4740529624978082E-13</v>
      </c>
      <c r="DQ144" s="13">
        <f t="shared" si="151"/>
        <v>3.3447853361996459E-12</v>
      </c>
      <c r="DR144" s="20">
        <f t="shared" si="124"/>
        <v>6.2563986848494188E-12</v>
      </c>
      <c r="DS144" s="59">
        <f t="shared" si="125"/>
        <v>285.56031297776627</v>
      </c>
      <c r="DT144" s="59">
        <f ca="1">AVERAGE(OFFSET($DS$3,0,0,'Données projet'!$E$14+1,1))-AVERAGE(OFFSET($H$3,0,0,'Données projet'!$E$14+1,1))</f>
        <v>493.03862850474161</v>
      </c>
      <c r="DU144" s="59">
        <f t="shared" si="152"/>
        <v>312.51819065560528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97.119033210038097</v>
      </c>
      <c r="EB144" s="21">
        <f>EXP(-LN(2)/25)*EB143+(1-EXP(-LN(2)/25))/(LN(2)/25)*Calculateur!DW144*Calculateur!DY144*VLOOKUP('Données projet'!$B$14,Paramètres!$A$1:$I$89,3,0)*0.475*44/12</f>
        <v>18.549660759857165</v>
      </c>
      <c r="EC144" s="21">
        <f>EXP(-LN(2)/2)*EC143+(1-EXP(-LN(2)/2))/(LN(2)/2)*DW144*DZ144*VLOOKUP('Données projet'!$B$14,Paramètres!$A$1:$I$89,3,0)*0.475*44/12</f>
        <v>0.16084126383898414</v>
      </c>
      <c r="ED144" s="22">
        <f t="shared" si="126"/>
        <v>115.82953523373425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2.5579538487363607E-13</v>
      </c>
      <c r="EK144" s="17">
        <f>EJ144*VLOOKUP('Données projet'!$B$15,Paramètres!$A$1:$I$89,3,0)*VLOOKUP('Données projet'!$B$15,Paramètres!$A$1:$I$89,5,0)</f>
        <v>2.7533815227798186E-13</v>
      </c>
      <c r="EL144" s="13">
        <f t="shared" si="153"/>
        <v>3.6763598146902537E-12</v>
      </c>
      <c r="EM144" s="20">
        <f t="shared" si="127"/>
        <v>6.88254062580301E-12</v>
      </c>
      <c r="EN144" s="59">
        <f t="shared" si="128"/>
        <v>285.5603129777669</v>
      </c>
      <c r="EO144" s="59">
        <f ca="1">AVERAGE(OFFSET($EN$3,0,0,'Données projet'!$E$15+1,1))-AVERAGE(OFFSET($H$3,0,0,'Données projet'!$E$15+1,1))</f>
        <v>539.72194201710272</v>
      </c>
      <c r="EP144" s="59">
        <f t="shared" si="154"/>
        <v>340.76505385159362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108.08408534665529</v>
      </c>
      <c r="EW144" s="21">
        <f>EXP(-LN(2)/25)*EW143+(1-EXP(-LN(2)/25))/(LN(2)/25)*Calculateur!ER144*Calculateur!ET144*VLOOKUP('Données projet'!$B$15,Paramètres!$A$1:$I$89,3,0)*0.475*44/12</f>
        <v>20.643977297260388</v>
      </c>
      <c r="EX144" s="21">
        <f>EXP(-LN(2)/2)*EX143+(1-EXP(-LN(2)/2))/(LN(2)/2)*ER144*EU144*VLOOKUP('Données projet'!$B$15,Paramètres!$A$1:$I$89,3,0)*0.475*44/12</f>
        <v>0.17900076136919188</v>
      </c>
      <c r="EY144" s="22">
        <f t="shared" si="129"/>
        <v>128.90706340528487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>
        <f>FE144*VLOOKUP('Données projet'!$B$16,Paramètres!$A$1:$I$89,3,0)*VLOOKUP('Données projet'!$B$16,Paramètres!$A$1:$I$89,5,0)</f>
        <v>0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383.47860767209028</v>
      </c>
      <c r="FK144" s="59">
        <f t="shared" si="156"/>
        <v>370.49129421395628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15.835603178765371</v>
      </c>
      <c r="FR144" s="21">
        <f>EXP(-LN(2)/25)*FR143+(1-EXP(-LN(2)/25))/(LN(2)/25)*Calculateur!FM144*Calculateur!FO144*VLOOKUP('Données projet'!$B$16,Paramètres!$A$1:$I$89,3,0)*0.475*44/12</f>
        <v>9.6435809915928576</v>
      </c>
      <c r="FS144" s="21">
        <f>EXP(-LN(2)/2)*FS143+(1-EXP(-LN(2)/2))/(LN(2)/2)*FM144*FP144*VLOOKUP('Données projet'!$B$16,Paramètres!$A$1:$I$89,3,0)*0.475*44/12</f>
        <v>4.1913242147638376E-8</v>
      </c>
      <c r="FT144" s="22">
        <f t="shared" si="132"/>
        <v>25.479184212271473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7.3375000000000012</v>
      </c>
      <c r="FZ144" s="12">
        <f>IF('Données projet'!$A$244&gt;35,FZ143+FY144-GH143,IF(A144&lt;'Données projet'!$A$244,$FW$205^A144,IF(A144='Données projet'!$A$244,'Données projet'!$B$244,FZ143+FY144-GH143)))</f>
        <v>357.90749999999986</v>
      </c>
      <c r="GA144" s="17">
        <f>FZ144*VLOOKUP('Données projet'!$B$17,Paramètres!$A$1:$I$89,3,0)*VLOOKUP('Données projet'!$B$17,Paramètres!$A$1:$I$89,5,0)</f>
        <v>407.58506099999983</v>
      </c>
      <c r="GB144" s="13">
        <f t="shared" si="157"/>
        <v>93.312734685105752</v>
      </c>
      <c r="GC144" s="20">
        <f t="shared" si="133"/>
        <v>872.39699415155883</v>
      </c>
      <c r="GD144" s="59">
        <f t="shared" si="134"/>
        <v>1157.9573071293189</v>
      </c>
      <c r="GE144" s="59">
        <f ca="1">AVERAGE(OFFSET($GD$3,0,0,'Données projet'!$E$17+1,1))-AVERAGE(OFFSET($H$3,0,0,'Données projet'!$E$17+1,1))</f>
        <v>640.05156427113661</v>
      </c>
      <c r="GF144" s="59">
        <f t="shared" si="158"/>
        <v>308.77220155372902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27.408019460785553</v>
      </c>
      <c r="GM144" s="21">
        <f>EXP(-LN(2)/25)*GM143+(1-EXP(-LN(2)/25))/(LN(2)/25)*Calculateur!GH144*Calculateur!GJ144*VLOOKUP('Données projet'!$B$17,Paramètres!$A$1:$I$89,3,0)*0.475*44/12</f>
        <v>21.036178798937691</v>
      </c>
      <c r="GN144" s="21">
        <f>EXP(-LN(2)/2)*GN143+(1-EXP(-LN(2)/2))/(LN(2)/2)*GH144*GK144*VLOOKUP('Données projet'!$B$17,Paramètres!$A$1:$I$89,3,0)*0.475*44/12</f>
        <v>0.23834341868723505</v>
      </c>
      <c r="GO144" s="21">
        <f t="shared" si="135"/>
        <v>48.68254167841048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4.7884896048344674E-14</v>
      </c>
      <c r="P145" s="13">
        <f t="shared" si="141"/>
        <v>7.8374629847779921E-13</v>
      </c>
      <c r="Q145" s="20">
        <f t="shared" si="108"/>
        <v>1.4484243304663672E-12</v>
      </c>
      <c r="R145" s="59">
        <f t="shared" si="109"/>
        <v>285.6951575030605</v>
      </c>
      <c r="S145" s="59">
        <f ca="1">AVERAGE(OFFSET($R$3,0,0,'Données projet'!$E$9+1,1))-AVERAGE(OFFSET($H$3,0,0,'Données projet'!$E$9+1,1))</f>
        <v>456.35333554128226</v>
      </c>
      <c r="T145" s="59">
        <f t="shared" si="142"/>
        <v>296.4517290984877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59.971257870058629</v>
      </c>
      <c r="AA145" s="21">
        <f>EXP(-LN(2)/25)*AA144+(1-EXP(-LN(2)/25))/(LN(2)/25)*Calculateur!V145*Calculateur!X145*VLOOKUP('Données projet'!$B$9,Paramètres!$A$1:$I$89,3,0)*0.475*44/12</f>
        <v>10.312446562429162</v>
      </c>
      <c r="AB145" s="21">
        <f>EXP(-LN(2)/2)*AB144+(1-EXP(-LN(2)/2))/(LN(2)/2)*V145*Y145*VLOOKUP('Données projet'!$B$9,Paramètres!$A$1:$I$89,3,0)*0.475*44/12</f>
        <v>2.8316587543339866E-5</v>
      </c>
      <c r="AC145" s="22">
        <f t="shared" si="111"/>
        <v>70.283732749075341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408.246209980743</v>
      </c>
      <c r="AO145" s="59">
        <f t="shared" si="144"/>
        <v>394.10236303013903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16.719313325285853</v>
      </c>
      <c r="AV145" s="21">
        <f>EXP(-LN(2)/25)*AV144+(1-EXP(-LN(2)/25))/(LN(2)/25)*Calculateur!AQ145*Calculateur!AS145*VLOOKUP('Données projet'!$B$10,Paramètres!$A$1:$I$89,3,0)*0.475*44/12</f>
        <v>10.10140574395494</v>
      </c>
      <c r="AW145" s="21">
        <f>EXP(-LN(2)/2)*AW144+(1-EXP(-LN(2)/2))/(LN(2)/2)*AQ145*AT145*VLOOKUP('Données projet'!$B$10,Paramètres!$A$1:$I$89,3,0)*0.475*44/12</f>
        <v>3.1916917570578688E-8</v>
      </c>
      <c r="AX145" s="21">
        <f t="shared" si="114"/>
        <v>26.820719101157714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7.3375000000000012</v>
      </c>
      <c r="BD145" s="12">
        <f>IF('Données projet'!$A$88&gt;35,BD144+BC145-BL144,IF(A145&lt;'Données projet'!$A$88,$BA$205^A145,IF(A145='Données projet'!$A$88,'Données projet'!$B$88,BD144+BC145-BL144)))</f>
        <v>365.24499999999983</v>
      </c>
      <c r="BE145" s="13">
        <f>BD145*VLOOKUP('Données projet'!$B$11,Paramètres!$A$1:$I$89,3,0)*VLOOKUP('Données projet'!$B$11,Paramètres!$A$1:$I$89,5,0)</f>
        <v>370.35842999999988</v>
      </c>
      <c r="BF145" s="13">
        <f t="shared" si="145"/>
        <v>85.740630179938449</v>
      </c>
      <c r="BG145" s="20">
        <f t="shared" si="115"/>
        <v>794.37252981339236</v>
      </c>
      <c r="BH145" s="59">
        <f t="shared" si="116"/>
        <v>1080.0676873164514</v>
      </c>
      <c r="BI145" s="59">
        <f ca="1">AVERAGE(OFFSET($BH$3,0,0,'Données projet'!$E$11+1,1))-AVERAGE(OFFSET($H$3,0,0,'Données projet'!$E$11+1,1))</f>
        <v>580.02848304986492</v>
      </c>
      <c r="BJ145" s="59">
        <f t="shared" si="146"/>
        <v>281.68891895586728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23.925845473507486</v>
      </c>
      <c r="BQ145" s="21">
        <f>EXP(-LN(2)/25)*BQ144+(1-EXP(-LN(2)/25))/(LN(2)/25)*Calculateur!BL145*Calculateur!BN145*VLOOKUP('Données projet'!$B$11,Paramètres!$A$1:$I$89,3,0)*0.475*44/12</f>
        <v>18.218648218128102</v>
      </c>
      <c r="BR145" s="21">
        <f>EXP(-LN(2)/2)*BR144+(1-EXP(-LN(2)/2))/(LN(2)/2)*BL145*BO145*VLOOKUP('Données projet'!$B$11,Paramètres!$A$1:$I$89,3,0)*0.475*44/12</f>
        <v>0.15006474101808689</v>
      </c>
      <c r="BS145" s="22">
        <f t="shared" si="117"/>
        <v>42.294558432653673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4.4337866711430253E-14</v>
      </c>
      <c r="CA145" s="13">
        <f t="shared" si="147"/>
        <v>7.3222115536967035E-13</v>
      </c>
      <c r="CB145" s="20">
        <f t="shared" si="118"/>
        <v>1.3525069634579169E-12</v>
      </c>
      <c r="CC145" s="59">
        <f t="shared" si="119"/>
        <v>285.69515750306044</v>
      </c>
      <c r="CD145" s="59">
        <f ca="1">AVERAGE(OFFSET($CC$3,0,0,'Données projet'!$E$12+1,1))-AVERAGE(OFFSET($H$3,0,0,'Données projet'!$E$12+1,1))</f>
        <v>308.85018589589453</v>
      </c>
      <c r="CE145" s="59">
        <f t="shared" si="148"/>
        <v>302.59481222418219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10.129582648301987</v>
      </c>
      <c r="CL145" s="21">
        <f>EXP(-LN(2)/25)*CL144+(1-EXP(-LN(2)/25))/(LN(2)/25)*Calculateur!CG145*Calculateur!CI145*VLOOKUP('Données projet'!$B$12,Paramètres!$A$1:$I$89,3,0)*0.475*44/12</f>
        <v>5.5936313799938713</v>
      </c>
      <c r="CM145" s="21">
        <f>EXP(-LN(2)/2)*CM144+(1-EXP(-LN(2)/2))/(LN(2)/2)*CG145*CJ145*VLOOKUP('Données projet'!$B$12,Paramètres!$A$1:$I$89,3,0)*0.475*44/12</f>
        <v>6.2516475604139074E-10</v>
      </c>
      <c r="CN145" s="22">
        <f t="shared" si="120"/>
        <v>15.723214028921022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2.2737367544323206E-13</v>
      </c>
      <c r="CU145" s="17">
        <f>CT145*VLOOKUP('Données projet'!$B$13,Paramètres!$A$1:$I$89,3,0)*VLOOKUP('Données projet'!$B$13,Paramètres!$A$1:$I$89,5,0)</f>
        <v>1.5252226148732008E-13</v>
      </c>
      <c r="CV145" s="13">
        <f t="shared" si="149"/>
        <v>2.1814502464536512E-12</v>
      </c>
      <c r="CW145" s="20">
        <f t="shared" si="121"/>
        <v>4.0650021179971913E-12</v>
      </c>
      <c r="CX145" s="59">
        <f t="shared" si="122"/>
        <v>285.69515750306317</v>
      </c>
      <c r="CY145" s="59">
        <f ca="1">AVERAGE(OFFSET($CX$3,0,0,'Données projet'!$E$13+1,1))-AVERAGE(OFFSET($H$3,0,0,'Données projet'!$E$13+1,1))</f>
        <v>335.73816489539837</v>
      </c>
      <c r="CZ145" s="59">
        <f t="shared" si="150"/>
        <v>254.09787950201044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19.876282825508632</v>
      </c>
      <c r="DG145" s="21">
        <f>EXP(-LN(2)/25)*DG144+(1-EXP(-LN(2)/25))/(LN(2)/25)*Calculateur!DB145*Calculateur!DD145*VLOOKUP('Données projet'!$B$13,Paramètres!$A$1:$I$89,3,0)*0.475*44/12</f>
        <v>15.612625736090941</v>
      </c>
      <c r="DH145" s="21">
        <f>EXP(-LN(2)/2)*DH144+(1-EXP(-LN(2)/2))/(LN(2)/2)*DB145*DE145*VLOOKUP('Données projet'!$B$13,Paramètres!$A$1:$I$89,3,0)*0.475*44/12</f>
        <v>7.4700371671309988E-4</v>
      </c>
      <c r="DI145" s="22">
        <f t="shared" si="123"/>
        <v>35.489655565316284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2.5579538487363607E-13</v>
      </c>
      <c r="DP145" s="17">
        <f>DO145*VLOOKUP('Données projet'!$B$14,Paramètres!$A$1:$I$89,3,0)*VLOOKUP('Données projet'!$B$14,Paramètres!$A$1:$I$89,5,0)</f>
        <v>2.4740529624978082E-13</v>
      </c>
      <c r="DQ145" s="13">
        <f t="shared" si="151"/>
        <v>3.3447853361996459E-12</v>
      </c>
      <c r="DR145" s="20">
        <f t="shared" si="124"/>
        <v>6.2563986848494188E-12</v>
      </c>
      <c r="DS145" s="59">
        <f t="shared" si="125"/>
        <v>285.69515750306533</v>
      </c>
      <c r="DT145" s="59">
        <f ca="1">AVERAGE(OFFSET($DS$3,0,0,'Données projet'!$E$14+1,1))-AVERAGE(OFFSET($H$3,0,0,'Données projet'!$E$14+1,1))</f>
        <v>493.03862850474161</v>
      </c>
      <c r="DU145" s="59">
        <f t="shared" si="152"/>
        <v>312.51819065560528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95.214588205550371</v>
      </c>
      <c r="EB145" s="21">
        <f>EXP(-LN(2)/25)*EB144+(1-EXP(-LN(2)/25))/(LN(2)/25)*Calculateur!DW145*Calculateur!DY145*VLOOKUP('Données projet'!$B$14,Paramètres!$A$1:$I$89,3,0)*0.475*44/12</f>
        <v>18.042419310894608</v>
      </c>
      <c r="EC145" s="21">
        <f>EXP(-LN(2)/2)*EC144+(1-EXP(-LN(2)/2))/(LN(2)/2)*DW145*DZ145*VLOOKUP('Données projet'!$B$14,Paramètres!$A$1:$I$89,3,0)*0.475*44/12</f>
        <v>0.11373194835516033</v>
      </c>
      <c r="ED145" s="22">
        <f t="shared" si="126"/>
        <v>113.37073946480015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2.5579538487363607E-13</v>
      </c>
      <c r="EK145" s="17">
        <f>EJ145*VLOOKUP('Données projet'!$B$15,Paramètres!$A$1:$I$89,3,0)*VLOOKUP('Données projet'!$B$15,Paramètres!$A$1:$I$89,5,0)</f>
        <v>2.7533815227798186E-13</v>
      </c>
      <c r="EL145" s="13">
        <f t="shared" si="153"/>
        <v>3.6763598146902537E-12</v>
      </c>
      <c r="EM145" s="20">
        <f t="shared" si="127"/>
        <v>6.88254062580301E-12</v>
      </c>
      <c r="EN145" s="59">
        <f t="shared" si="128"/>
        <v>285.69515750306596</v>
      </c>
      <c r="EO145" s="59">
        <f ca="1">AVERAGE(OFFSET($EN$3,0,0,'Données projet'!$E$15+1,1))-AVERAGE(OFFSET($H$3,0,0,'Données projet'!$E$15+1,1))</f>
        <v>539.72194201710272</v>
      </c>
      <c r="EP145" s="59">
        <f t="shared" si="154"/>
        <v>340.76505385159362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105.96462235778991</v>
      </c>
      <c r="EW145" s="21">
        <f>EXP(-LN(2)/25)*EW144+(1-EXP(-LN(2)/25))/(LN(2)/25)*Calculateur!ER145*Calculateur!ET145*VLOOKUP('Données projet'!$B$15,Paramètres!$A$1:$I$89,3,0)*0.475*44/12</f>
        <v>20.07946665244722</v>
      </c>
      <c r="EX145" s="21">
        <f>EXP(-LN(2)/2)*EX144+(1-EXP(-LN(2)/2))/(LN(2)/2)*ER145*EU145*VLOOKUP('Données projet'!$B$15,Paramètres!$A$1:$I$89,3,0)*0.475*44/12</f>
        <v>0.12657265220171057</v>
      </c>
      <c r="EY145" s="22">
        <f t="shared" si="129"/>
        <v>126.17066166243885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>
        <f>FE145*VLOOKUP('Données projet'!$B$16,Paramètres!$A$1:$I$89,3,0)*VLOOKUP('Données projet'!$B$16,Paramètres!$A$1:$I$89,5,0)</f>
        <v>0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383.47860767209028</v>
      </c>
      <c r="FK145" s="59">
        <f t="shared" si="156"/>
        <v>370.49129421395628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15.525076659193997</v>
      </c>
      <c r="FR145" s="21">
        <f>EXP(-LN(2)/25)*FR144+(1-EXP(-LN(2)/25))/(LN(2)/25)*Calculateur!FM145*Calculateur!FO145*VLOOKUP('Données projet'!$B$16,Paramètres!$A$1:$I$89,3,0)*0.475*44/12</f>
        <v>9.3798767622438675</v>
      </c>
      <c r="FS145" s="21">
        <f>EXP(-LN(2)/2)*FS144+(1-EXP(-LN(2)/2))/(LN(2)/2)*FM145*FP145*VLOOKUP('Données projet'!$B$16,Paramètres!$A$1:$I$89,3,0)*0.475*44/12</f>
        <v>2.9637137744108912E-8</v>
      </c>
      <c r="FT145" s="22">
        <f t="shared" si="132"/>
        <v>24.904953451075006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7.3375000000000012</v>
      </c>
      <c r="FZ145" s="12">
        <f>IF('Données projet'!$A$244&gt;35,FZ144+FY145-GH144,IF(A145&lt;'Données projet'!$A$244,$FW$205^A145,IF(A145='Données projet'!$A$244,'Données projet'!$B$244,FZ144+FY145-GH144)))</f>
        <v>365.24499999999983</v>
      </c>
      <c r="GA145" s="17">
        <f>FZ145*VLOOKUP('Données projet'!$B$17,Paramètres!$A$1:$I$89,3,0)*VLOOKUP('Données projet'!$B$17,Paramètres!$A$1:$I$89,5,0)</f>
        <v>415.94100599999985</v>
      </c>
      <c r="GB145" s="13">
        <f t="shared" si="157"/>
        <v>95.001072551829481</v>
      </c>
      <c r="GC145" s="20">
        <f t="shared" si="133"/>
        <v>889.89078681110277</v>
      </c>
      <c r="GD145" s="59">
        <f t="shared" si="134"/>
        <v>1175.5859443141619</v>
      </c>
      <c r="GE145" s="59">
        <f ca="1">AVERAGE(OFFSET($GD$3,0,0,'Données projet'!$E$17+1,1))-AVERAGE(OFFSET($H$3,0,0,'Données projet'!$E$17+1,1))</f>
        <v>640.05156427113661</v>
      </c>
      <c r="GF145" s="59">
        <f t="shared" si="158"/>
        <v>308.77220155372902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26.870564916400728</v>
      </c>
      <c r="GM145" s="21">
        <f>EXP(-LN(2)/25)*GM144+(1-EXP(-LN(2)/25))/(LN(2)/25)*Calculateur!GH145*Calculateur!GJ145*VLOOKUP('Données projet'!$B$17,Paramètres!$A$1:$I$89,3,0)*0.475*44/12</f>
        <v>20.460943383436174</v>
      </c>
      <c r="GN145" s="21">
        <f>EXP(-LN(2)/2)*GN144+(1-EXP(-LN(2)/2))/(LN(2)/2)*GH145*GK145*VLOOKUP('Données projet'!$B$17,Paramètres!$A$1:$I$89,3,0)*0.475*44/12</f>
        <v>0.16853424760492841</v>
      </c>
      <c r="GO145" s="21">
        <f t="shared" si="135"/>
        <v>47.500042547441829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4.7884896048344674E-14</v>
      </c>
      <c r="P146" s="13">
        <f t="shared" si="141"/>
        <v>7.8374629847779921E-13</v>
      </c>
      <c r="Q146" s="20">
        <f t="shared" si="108"/>
        <v>1.4484243304663672E-12</v>
      </c>
      <c r="R146" s="59">
        <f t="shared" si="109"/>
        <v>285.82766277731287</v>
      </c>
      <c r="S146" s="59">
        <f ca="1">AVERAGE(OFFSET($R$3,0,0,'Données projet'!$E$9+1,1))-AVERAGE(OFFSET($H$3,0,0,'Données projet'!$E$9+1,1))</f>
        <v>456.35333554128226</v>
      </c>
      <c r="T146" s="59">
        <f t="shared" si="142"/>
        <v>296.4517290984877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58.795258082082221</v>
      </c>
      <c r="AA146" s="21">
        <f>EXP(-LN(2)/25)*AA145+(1-EXP(-LN(2)/25))/(LN(2)/25)*Calculateur!V146*Calculateur!X146*VLOOKUP('Données projet'!$B$9,Paramètres!$A$1:$I$89,3,0)*0.475*44/12</f>
        <v>10.030452168871541</v>
      </c>
      <c r="AB146" s="21">
        <f>EXP(-LN(2)/2)*AB145+(1-EXP(-LN(2)/2))/(LN(2)/2)*V146*Y146*VLOOKUP('Données projet'!$B$9,Paramètres!$A$1:$I$89,3,0)*0.475*44/12</f>
        <v>2.0022851071958139E-5</v>
      </c>
      <c r="AC146" s="22">
        <f t="shared" si="111"/>
        <v>68.825730273804837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408.246209980743</v>
      </c>
      <c r="AO146" s="59">
        <f t="shared" si="144"/>
        <v>394.10236303013903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16.391457788751179</v>
      </c>
      <c r="AV146" s="21">
        <f>EXP(-LN(2)/25)*AV145+(1-EXP(-LN(2)/25))/(LN(2)/25)*Calculateur!AQ146*Calculateur!AS146*VLOOKUP('Données projet'!$B$10,Paramètres!$A$1:$I$89,3,0)*0.475*44/12</f>
        <v>9.8251822726766509</v>
      </c>
      <c r="AW146" s="21">
        <f>EXP(-LN(2)/2)*AW145+(1-EXP(-LN(2)/2))/(LN(2)/2)*AQ146*AT146*VLOOKUP('Données projet'!$B$10,Paramètres!$A$1:$I$89,3,0)*0.475*44/12</f>
        <v>2.2568668848728259E-8</v>
      </c>
      <c r="AX146" s="21">
        <f t="shared" si="114"/>
        <v>26.216640083996502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7.3375000000000012</v>
      </c>
      <c r="BD146" s="12">
        <f>IF('Données projet'!$A$88&gt;35,BD145+BC146-BL145,IF(A146&lt;'Données projet'!$A$88,$BA$205^A146,IF(A146='Données projet'!$A$88,'Données projet'!$B$88,BD145+BC146-BL145)))</f>
        <v>372.58249999999981</v>
      </c>
      <c r="BE146" s="13">
        <f>BD146*VLOOKUP('Données projet'!$B$11,Paramètres!$A$1:$I$89,3,0)*VLOOKUP('Données projet'!$B$11,Paramètres!$A$1:$I$89,5,0)</f>
        <v>377.79865499999983</v>
      </c>
      <c r="BF146" s="13">
        <f t="shared" si="145"/>
        <v>87.260834288615982</v>
      </c>
      <c r="BG146" s="20">
        <f t="shared" si="115"/>
        <v>809.97861051100574</v>
      </c>
      <c r="BH146" s="59">
        <f t="shared" si="116"/>
        <v>1095.8062732883172</v>
      </c>
      <c r="BI146" s="59">
        <f ca="1">AVERAGE(OFFSET($BH$3,0,0,'Données projet'!$E$11+1,1))-AVERAGE(OFFSET($H$3,0,0,'Données projet'!$E$11+1,1))</f>
        <v>580.02848304986492</v>
      </c>
      <c r="BJ146" s="59">
        <f t="shared" si="146"/>
        <v>281.68891895586728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23.456674237096774</v>
      </c>
      <c r="BQ146" s="21">
        <f>EXP(-LN(2)/25)*BQ145+(1-EXP(-LN(2)/25))/(LN(2)/25)*Calculateur!BL146*Calculateur!BN146*VLOOKUP('Données projet'!$B$11,Paramètres!$A$1:$I$89,3,0)*0.475*44/12</f>
        <v>17.720458324526319</v>
      </c>
      <c r="BR146" s="21">
        <f>EXP(-LN(2)/2)*BR145+(1-EXP(-LN(2)/2))/(LN(2)/2)*BL146*BO146*VLOOKUP('Données projet'!$B$11,Paramètres!$A$1:$I$89,3,0)*0.475*44/12</f>
        <v>0.10611179599089229</v>
      </c>
      <c r="BS146" s="22">
        <f t="shared" si="117"/>
        <v>41.283244357613988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4.4337866711430253E-14</v>
      </c>
      <c r="CA146" s="13">
        <f t="shared" si="147"/>
        <v>7.3222115536967035E-13</v>
      </c>
      <c r="CB146" s="20">
        <f t="shared" si="118"/>
        <v>1.3525069634579169E-12</v>
      </c>
      <c r="CC146" s="59">
        <f t="shared" si="119"/>
        <v>285.82766277731281</v>
      </c>
      <c r="CD146" s="59">
        <f ca="1">AVERAGE(OFFSET($CC$3,0,0,'Données projet'!$E$12+1,1))-AVERAGE(OFFSET($H$3,0,0,'Données projet'!$E$12+1,1))</f>
        <v>308.85018589589453</v>
      </c>
      <c r="CE146" s="59">
        <f t="shared" si="148"/>
        <v>302.59481222418219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9.9309477110041318</v>
      </c>
      <c r="CL146" s="21">
        <f>EXP(-LN(2)/25)*CL145+(1-EXP(-LN(2)/25))/(LN(2)/25)*Calculateur!CG146*Calculateur!CI146*VLOOKUP('Données projet'!$B$12,Paramètres!$A$1:$I$89,3,0)*0.475*44/12</f>
        <v>5.4406732357516487</v>
      </c>
      <c r="CM146" s="21">
        <f>EXP(-LN(2)/2)*CM145+(1-EXP(-LN(2)/2))/(LN(2)/2)*CG146*CJ146*VLOOKUP('Données projet'!$B$12,Paramètres!$A$1:$I$89,3,0)*0.475*44/12</f>
        <v>4.4205823835570105E-10</v>
      </c>
      <c r="CN146" s="22">
        <f t="shared" si="120"/>
        <v>15.371620947197838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2.2737367544323206E-13</v>
      </c>
      <c r="CU146" s="17">
        <f>CT146*VLOOKUP('Données projet'!$B$13,Paramètres!$A$1:$I$89,3,0)*VLOOKUP('Données projet'!$B$13,Paramètres!$A$1:$I$89,5,0)</f>
        <v>1.5252226148732008E-13</v>
      </c>
      <c r="CV146" s="13">
        <f t="shared" si="149"/>
        <v>2.1814502464536512E-12</v>
      </c>
      <c r="CW146" s="20">
        <f t="shared" si="121"/>
        <v>4.0650021179971913E-12</v>
      </c>
      <c r="CX146" s="59">
        <f t="shared" si="122"/>
        <v>285.82766277731554</v>
      </c>
      <c r="CY146" s="59">
        <f ca="1">AVERAGE(OFFSET($CX$3,0,0,'Données projet'!$E$13+1,1))-AVERAGE(OFFSET($H$3,0,0,'Données projet'!$E$13+1,1))</f>
        <v>335.73816489539837</v>
      </c>
      <c r="CZ146" s="59">
        <f t="shared" si="150"/>
        <v>254.09787950201044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19.48652104263585</v>
      </c>
      <c r="DG146" s="21">
        <f>EXP(-LN(2)/25)*DG145+(1-EXP(-LN(2)/25))/(LN(2)/25)*Calculateur!DB146*Calculateur!DD146*VLOOKUP('Données projet'!$B$13,Paramètres!$A$1:$I$89,3,0)*0.475*44/12</f>
        <v>15.185697664305229</v>
      </c>
      <c r="DH146" s="21">
        <f>EXP(-LN(2)/2)*DH145+(1-EXP(-LN(2)/2))/(LN(2)/2)*DB146*DE146*VLOOKUP('Données projet'!$B$13,Paramètres!$A$1:$I$89,3,0)*0.475*44/12</f>
        <v>5.2821139365938764E-4</v>
      </c>
      <c r="DI146" s="22">
        <f t="shared" si="123"/>
        <v>34.672746918334738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2.5579538487363607E-13</v>
      </c>
      <c r="DP146" s="17">
        <f>DO146*VLOOKUP('Données projet'!$B$14,Paramètres!$A$1:$I$89,3,0)*VLOOKUP('Données projet'!$B$14,Paramètres!$A$1:$I$89,5,0)</f>
        <v>2.4740529624978082E-13</v>
      </c>
      <c r="DQ146" s="13">
        <f t="shared" si="151"/>
        <v>3.3447853361996459E-12</v>
      </c>
      <c r="DR146" s="20">
        <f t="shared" si="124"/>
        <v>6.2563986848494188E-12</v>
      </c>
      <c r="DS146" s="59">
        <f t="shared" si="125"/>
        <v>285.8276627773177</v>
      </c>
      <c r="DT146" s="59">
        <f ca="1">AVERAGE(OFFSET($DS$3,0,0,'Données projet'!$E$14+1,1))-AVERAGE(OFFSET($H$3,0,0,'Données projet'!$E$14+1,1))</f>
        <v>493.03862850474161</v>
      </c>
      <c r="DU146" s="59">
        <f t="shared" si="152"/>
        <v>312.51819065560528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93.347488206003888</v>
      </c>
      <c r="EB146" s="21">
        <f>EXP(-LN(2)/25)*EB145+(1-EXP(-LN(2)/25))/(LN(2)/25)*Calculateur!DW146*Calculateur!DY146*VLOOKUP('Données projet'!$B$14,Paramètres!$A$1:$I$89,3,0)*0.475*44/12</f>
        <v>17.5490484060286</v>
      </c>
      <c r="EC146" s="21">
        <f>EXP(-LN(2)/2)*EC145+(1-EXP(-LN(2)/2))/(LN(2)/2)*DW146*DZ146*VLOOKUP('Données projet'!$B$14,Paramètres!$A$1:$I$89,3,0)*0.475*44/12</f>
        <v>8.0420631919492086E-2</v>
      </c>
      <c r="ED146" s="22">
        <f t="shared" si="126"/>
        <v>110.97695724395199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2.5579538487363607E-13</v>
      </c>
      <c r="EK146" s="17">
        <f>EJ146*VLOOKUP('Données projet'!$B$15,Paramètres!$A$1:$I$89,3,0)*VLOOKUP('Données projet'!$B$15,Paramètres!$A$1:$I$89,5,0)</f>
        <v>2.7533815227798186E-13</v>
      </c>
      <c r="EL146" s="13">
        <f t="shared" si="153"/>
        <v>3.6763598146902537E-12</v>
      </c>
      <c r="EM146" s="20">
        <f t="shared" si="127"/>
        <v>6.88254062580301E-12</v>
      </c>
      <c r="EN146" s="59">
        <f t="shared" si="128"/>
        <v>285.82766277731832</v>
      </c>
      <c r="EO146" s="59">
        <f ca="1">AVERAGE(OFFSET($EN$3,0,0,'Données projet'!$E$15+1,1))-AVERAGE(OFFSET($H$3,0,0,'Données projet'!$E$15+1,1))</f>
        <v>539.72194201710272</v>
      </c>
      <c r="EP146" s="59">
        <f t="shared" si="154"/>
        <v>340.76505385159362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103.8867207453914</v>
      </c>
      <c r="EW146" s="21">
        <f>EXP(-LN(2)/25)*EW145+(1-EXP(-LN(2)/25))/(LN(2)/25)*Calculateur!ER146*Calculateur!ET146*VLOOKUP('Données projet'!$B$15,Paramètres!$A$1:$I$89,3,0)*0.475*44/12</f>
        <v>19.530392580902792</v>
      </c>
      <c r="EX146" s="21">
        <f>EXP(-LN(2)/2)*EX145+(1-EXP(-LN(2)/2))/(LN(2)/2)*ER146*EU146*VLOOKUP('Données projet'!$B$15,Paramètres!$A$1:$I$89,3,0)*0.475*44/12</f>
        <v>8.950038068459594E-2</v>
      </c>
      <c r="EY146" s="22">
        <f t="shared" si="129"/>
        <v>123.50661370697878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>
        <f>FE146*VLOOKUP('Données projet'!$B$16,Paramètres!$A$1:$I$89,3,0)*VLOOKUP('Données projet'!$B$16,Paramètres!$A$1:$I$89,5,0)</f>
        <v>0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383.47860767209028</v>
      </c>
      <c r="FK146" s="59">
        <f t="shared" si="156"/>
        <v>370.49129421395628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15.220639375268943</v>
      </c>
      <c r="FR146" s="21">
        <f>EXP(-LN(2)/25)*FR145+(1-EXP(-LN(2)/25))/(LN(2)/25)*Calculateur!FM146*Calculateur!FO146*VLOOKUP('Données projet'!$B$16,Paramètres!$A$1:$I$89,3,0)*0.475*44/12</f>
        <v>9.1233835389140285</v>
      </c>
      <c r="FS146" s="21">
        <f>EXP(-LN(2)/2)*FS145+(1-EXP(-LN(2)/2))/(LN(2)/2)*FM146*FP146*VLOOKUP('Données projet'!$B$16,Paramètres!$A$1:$I$89,3,0)*0.475*44/12</f>
        <v>2.0956621073819191E-8</v>
      </c>
      <c r="FT146" s="22">
        <f t="shared" si="132"/>
        <v>24.344022935139591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7.3375000000000012</v>
      </c>
      <c r="FZ146" s="12">
        <f>IF('Données projet'!$A$244&gt;35,FZ145+FY146-GH145,IF(A146&lt;'Données projet'!$A$244,$FW$205^A146,IF(A146='Données projet'!$A$244,'Données projet'!$B$244,FZ145+FY146-GH145)))</f>
        <v>372.58249999999981</v>
      </c>
      <c r="GA146" s="17">
        <f>FZ146*VLOOKUP('Données projet'!$B$17,Paramètres!$A$1:$I$89,3,0)*VLOOKUP('Données projet'!$B$17,Paramètres!$A$1:$I$89,5,0)</f>
        <v>424.29695099999975</v>
      </c>
      <c r="GB146" s="13">
        <f t="shared" si="157"/>
        <v>96.685466759324626</v>
      </c>
      <c r="GC146" s="20">
        <f t="shared" si="133"/>
        <v>907.37771093082313</v>
      </c>
      <c r="GD146" s="59">
        <f t="shared" si="134"/>
        <v>1193.2053737081346</v>
      </c>
      <c r="GE146" s="59">
        <f ca="1">AVERAGE(OFFSET($GD$3,0,0,'Données projet'!$E$17+1,1))-AVERAGE(OFFSET($H$3,0,0,'Données projet'!$E$17+1,1))</f>
        <v>640.05156427113661</v>
      </c>
      <c r="GF146" s="59">
        <f t="shared" si="158"/>
        <v>308.77220155372902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26.343649527816385</v>
      </c>
      <c r="GM146" s="21">
        <f>EXP(-LN(2)/25)*GM145+(1-EXP(-LN(2)/25))/(LN(2)/25)*Calculateur!GH146*Calculateur!GJ146*VLOOKUP('Données projet'!$B$17,Paramètres!$A$1:$I$89,3,0)*0.475*44/12</f>
        <v>19.901437810621864</v>
      </c>
      <c r="GN146" s="21">
        <f>EXP(-LN(2)/2)*GN145+(1-EXP(-LN(2)/2))/(LN(2)/2)*GH146*GK146*VLOOKUP('Données projet'!$B$17,Paramètres!$A$1:$I$89,3,0)*0.475*44/12</f>
        <v>0.11917170934361754</v>
      </c>
      <c r="GO146" s="21">
        <f t="shared" si="135"/>
        <v>46.364259047781871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4.7884896048344674E-14</v>
      </c>
      <c r="P147" s="13">
        <f t="shared" si="141"/>
        <v>7.8374629847779921E-13</v>
      </c>
      <c r="Q147" s="20">
        <f t="shared" si="108"/>
        <v>1.4484243304663672E-12</v>
      </c>
      <c r="R147" s="59">
        <f t="shared" si="109"/>
        <v>285.9578693812943</v>
      </c>
      <c r="S147" s="59">
        <f ca="1">AVERAGE(OFFSET($R$3,0,0,'Données projet'!$E$9+1,1))-AVERAGE(OFFSET($H$3,0,0,'Données projet'!$E$9+1,1))</f>
        <v>456.35333554128226</v>
      </c>
      <c r="T147" s="59">
        <f t="shared" si="142"/>
        <v>296.4517290984877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57.642318932658981</v>
      </c>
      <c r="AA147" s="21">
        <f>EXP(-LN(2)/25)*AA146+(1-EXP(-LN(2)/25))/(LN(2)/25)*Calculateur!V147*Calculateur!X147*VLOOKUP('Données projet'!$B$9,Paramètres!$A$1:$I$89,3,0)*0.475*44/12</f>
        <v>9.7561689268351941</v>
      </c>
      <c r="AB147" s="21">
        <f>EXP(-LN(2)/2)*AB146+(1-EXP(-LN(2)/2))/(LN(2)/2)*V147*Y147*VLOOKUP('Données projet'!$B$9,Paramètres!$A$1:$I$89,3,0)*0.475*44/12</f>
        <v>1.4158293771669933E-5</v>
      </c>
      <c r="AC147" s="22">
        <f t="shared" si="111"/>
        <v>67.398502017787933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408.246209980743</v>
      </c>
      <c r="AO147" s="59">
        <f t="shared" si="144"/>
        <v>394.10236303013903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16.070031299315819</v>
      </c>
      <c r="AV147" s="21">
        <f>EXP(-LN(2)/25)*AV146+(1-EXP(-LN(2)/25))/(LN(2)/25)*Calculateur!AQ147*Calculateur!AS147*VLOOKUP('Données projet'!$B$10,Paramètres!$A$1:$I$89,3,0)*0.475*44/12</f>
        <v>9.556512146746428</v>
      </c>
      <c r="AW147" s="21">
        <f>EXP(-LN(2)/2)*AW146+(1-EXP(-LN(2)/2))/(LN(2)/2)*AQ147*AT147*VLOOKUP('Données projet'!$B$10,Paramètres!$A$1:$I$89,3,0)*0.475*44/12</f>
        <v>1.5958458785289344E-8</v>
      </c>
      <c r="AX147" s="21">
        <f t="shared" si="114"/>
        <v>25.626543462020706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379.92</v>
      </c>
      <c r="BB147" s="12">
        <f>VLOOKUP(A147,'Données projet'!$A$87:$I$107,9,0)</f>
        <v>7.3375000000000012</v>
      </c>
      <c r="BC147" s="12">
        <f t="array" ref="BC147">INDEX(BB:BB,MIN(IF(ISNUMBER(BB147:BB343),ROW(BB147:BB343),"")))</f>
        <v>7.3375000000000012</v>
      </c>
      <c r="BD147" s="12">
        <f>IF('Données projet'!$A$88&gt;35,BD146+BC147-BL146,IF(A147&lt;'Données projet'!$A$88,$BA$205^A147,IF(A147='Données projet'!$A$88,'Données projet'!$B$88,BD146+BC147-BL146)))</f>
        <v>379.91999999999979</v>
      </c>
      <c r="BE147" s="13">
        <f>BD147*VLOOKUP('Données projet'!$B$11,Paramètres!$A$1:$I$89,3,0)*VLOOKUP('Données projet'!$B$11,Paramètres!$A$1:$I$89,5,0)</f>
        <v>385.23887999999982</v>
      </c>
      <c r="BF147" s="13">
        <f t="shared" si="145"/>
        <v>88.777557329023793</v>
      </c>
      <c r="BG147" s="20">
        <f t="shared" si="115"/>
        <v>825.57862834804939</v>
      </c>
      <c r="BH147" s="59">
        <f t="shared" si="116"/>
        <v>1111.5364977293423</v>
      </c>
      <c r="BI147" s="59">
        <f ca="1">AVERAGE(OFFSET($BH$3,0,0,'Données projet'!$E$11+1,1))-AVERAGE(OFFSET($H$3,0,0,'Données projet'!$E$11+1,1))</f>
        <v>580.02848304986492</v>
      </c>
      <c r="BJ147" s="59">
        <f t="shared" si="146"/>
        <v>281.68891895586728</v>
      </c>
      <c r="BK147" s="15">
        <f>IF(ISNA(VLOOKUP(A147,'Données projet'!$A$87:$I$107,3,0)),0,VLOOKUP(A147,'Données projet'!$A$87:$I$107,3,0))</f>
        <v>10</v>
      </c>
      <c r="BL147" s="15">
        <f>IF(ISNA(VLOOKUP(A147,'Données projet'!$A$87:$I$107,4,0)),0,VLOOKUP(A147,'Données projet'!$A$87:$I$107,4,0))</f>
        <v>60.949999999999989</v>
      </c>
      <c r="BM147" s="16">
        <f>IF(ISNA(VLOOKUP(A147,'Données projet'!$A$87:$I$107,5,0)),0%,VLOOKUP(A147,'Données projet'!$A$87:$I$107,5,0)*VLOOKUP('Données projet'!$B$11,Paramètres!$A$1:$I$89,7,0))</f>
        <v>0.15049999999999999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0.1</v>
      </c>
      <c r="BP147" s="21">
        <f>EXP(-LN(2)/35)*BP146+(1-EXP(-LN(2)/35))/(LN(2)/35)*BL147*BM147*VLOOKUP('Données projet'!$B$11,Paramètres!$A$1:$I$89,3,0)*0.475*44/12</f>
        <v>33.279121647327884</v>
      </c>
      <c r="BQ147" s="21">
        <f>EXP(-LN(2)/25)*BQ146+(1-EXP(-LN(2)/25))/(LN(2)/25)*Calculateur!BL147*Calculateur!BN147*VLOOKUP('Données projet'!$B$11,Paramètres!$A$1:$I$89,3,0)*0.475*44/12</f>
        <v>23.088424422837178</v>
      </c>
      <c r="BR147" s="21">
        <f>EXP(-LN(2)/2)*BR146+(1-EXP(-LN(2)/2))/(LN(2)/2)*BL147*BO147*VLOOKUP('Données projet'!$B$11,Paramètres!$A$1:$I$89,3,0)*0.475*44/12</f>
        <v>5.9063400666521613</v>
      </c>
      <c r="BS147" s="22">
        <f t="shared" si="117"/>
        <v>62.273886136817225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4.4337866711430253E-14</v>
      </c>
      <c r="CA147" s="13">
        <f t="shared" si="147"/>
        <v>7.3222115536967035E-13</v>
      </c>
      <c r="CB147" s="20">
        <f t="shared" si="118"/>
        <v>1.3525069634579169E-12</v>
      </c>
      <c r="CC147" s="59">
        <f t="shared" si="119"/>
        <v>285.95786938129424</v>
      </c>
      <c r="CD147" s="59">
        <f ca="1">AVERAGE(OFFSET($CC$3,0,0,'Données projet'!$E$12+1,1))-AVERAGE(OFFSET($H$3,0,0,'Données projet'!$E$12+1,1))</f>
        <v>308.85018589589453</v>
      </c>
      <c r="CE147" s="59">
        <f t="shared" si="148"/>
        <v>302.59481222418219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9.7362078836713373</v>
      </c>
      <c r="CL147" s="21">
        <f>EXP(-LN(2)/25)*CL146+(1-EXP(-LN(2)/25))/(LN(2)/25)*Calculateur!CG147*Calculateur!CI147*VLOOKUP('Données projet'!$B$12,Paramètres!$A$1:$I$89,3,0)*0.475*44/12</f>
        <v>5.2918977400074496</v>
      </c>
      <c r="CM147" s="21">
        <f>EXP(-LN(2)/2)*CM146+(1-EXP(-LN(2)/2))/(LN(2)/2)*CG147*CJ147*VLOOKUP('Données projet'!$B$12,Paramètres!$A$1:$I$89,3,0)*0.475*44/12</f>
        <v>3.1258237802069537E-10</v>
      </c>
      <c r="CN147" s="22">
        <f t="shared" si="120"/>
        <v>15.028105623991369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2.2737367544323206E-13</v>
      </c>
      <c r="CU147" s="17">
        <f>CT147*VLOOKUP('Données projet'!$B$13,Paramètres!$A$1:$I$89,3,0)*VLOOKUP('Données projet'!$B$13,Paramètres!$A$1:$I$89,5,0)</f>
        <v>1.5252226148732008E-13</v>
      </c>
      <c r="CV147" s="13">
        <f t="shared" si="149"/>
        <v>2.1814502464536512E-12</v>
      </c>
      <c r="CW147" s="20">
        <f t="shared" si="121"/>
        <v>4.0650021179971913E-12</v>
      </c>
      <c r="CX147" s="59">
        <f t="shared" si="122"/>
        <v>285.95786938129697</v>
      </c>
      <c r="CY147" s="59">
        <f ca="1">AVERAGE(OFFSET($CX$3,0,0,'Données projet'!$E$13+1,1))-AVERAGE(OFFSET($H$3,0,0,'Données projet'!$E$13+1,1))</f>
        <v>335.73816489539837</v>
      </c>
      <c r="CZ147" s="59">
        <f t="shared" si="150"/>
        <v>254.09787950201044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19.104402250593992</v>
      </c>
      <c r="DG147" s="21">
        <f>EXP(-LN(2)/25)*DG146+(1-EXP(-LN(2)/25))/(LN(2)/25)*Calculateur!DB147*Calculateur!DD147*VLOOKUP('Données projet'!$B$13,Paramètres!$A$1:$I$89,3,0)*0.475*44/12</f>
        <v>14.770443963093669</v>
      </c>
      <c r="DH147" s="21">
        <f>EXP(-LN(2)/2)*DH146+(1-EXP(-LN(2)/2))/(LN(2)/2)*DB147*DE147*VLOOKUP('Données projet'!$B$13,Paramètres!$A$1:$I$89,3,0)*0.475*44/12</f>
        <v>3.7350185835654994E-4</v>
      </c>
      <c r="DI147" s="22">
        <f t="shared" si="123"/>
        <v>33.875219715546017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2.5579538487363607E-13</v>
      </c>
      <c r="DP147" s="17">
        <f>DO147*VLOOKUP('Données projet'!$B$14,Paramètres!$A$1:$I$89,3,0)*VLOOKUP('Données projet'!$B$14,Paramètres!$A$1:$I$89,5,0)</f>
        <v>2.4740529624978082E-13</v>
      </c>
      <c r="DQ147" s="13">
        <f t="shared" si="151"/>
        <v>3.3447853361996459E-12</v>
      </c>
      <c r="DR147" s="20">
        <f t="shared" si="124"/>
        <v>6.2563986848494188E-12</v>
      </c>
      <c r="DS147" s="59">
        <f t="shared" si="125"/>
        <v>285.95786938129913</v>
      </c>
      <c r="DT147" s="59">
        <f ca="1">AVERAGE(OFFSET($DS$3,0,0,'Données projet'!$E$14+1,1))-AVERAGE(OFFSET($H$3,0,0,'Données projet'!$E$14+1,1))</f>
        <v>493.03862850474161</v>
      </c>
      <c r="DU147" s="59">
        <f t="shared" si="152"/>
        <v>312.51819065560528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91.517000898629959</v>
      </c>
      <c r="EB147" s="21">
        <f>EXP(-LN(2)/25)*EB146+(1-EXP(-LN(2)/25))/(LN(2)/25)*Calculateur!DW147*Calculateur!DY147*VLOOKUP('Données projet'!$B$14,Paramètres!$A$1:$I$89,3,0)*0.475*44/12</f>
        <v>17.069168754501401</v>
      </c>
      <c r="EC147" s="21">
        <f>EXP(-LN(2)/2)*EC146+(1-EXP(-LN(2)/2))/(LN(2)/2)*DW147*DZ147*VLOOKUP('Données projet'!$B$14,Paramètres!$A$1:$I$89,3,0)*0.475*44/12</f>
        <v>5.6865974177580172E-2</v>
      </c>
      <c r="ED147" s="22">
        <f t="shared" si="126"/>
        <v>108.64303562730895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2.5579538487363607E-13</v>
      </c>
      <c r="EK147" s="17">
        <f>EJ147*VLOOKUP('Données projet'!$B$15,Paramètres!$A$1:$I$89,3,0)*VLOOKUP('Données projet'!$B$15,Paramètres!$A$1:$I$89,5,0)</f>
        <v>2.7533815227798186E-13</v>
      </c>
      <c r="EL147" s="13">
        <f t="shared" si="153"/>
        <v>3.6763598146902537E-12</v>
      </c>
      <c r="EM147" s="20">
        <f t="shared" si="127"/>
        <v>6.88254062580301E-12</v>
      </c>
      <c r="EN147" s="59">
        <f t="shared" si="128"/>
        <v>285.95786938129976</v>
      </c>
      <c r="EO147" s="59">
        <f ca="1">AVERAGE(OFFSET($EN$3,0,0,'Données projet'!$E$15+1,1))-AVERAGE(OFFSET($H$3,0,0,'Données projet'!$E$15+1,1))</f>
        <v>539.72194201710272</v>
      </c>
      <c r="EP147" s="59">
        <f t="shared" si="154"/>
        <v>340.76505385159362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101.8495655162172</v>
      </c>
      <c r="EW147" s="21">
        <f>EXP(-LN(2)/25)*EW146+(1-EXP(-LN(2)/25))/(LN(2)/25)*Calculateur!ER147*Calculateur!ET147*VLOOKUP('Données projet'!$B$15,Paramètres!$A$1:$I$89,3,0)*0.475*44/12</f>
        <v>18.996332968719297</v>
      </c>
      <c r="EX147" s="21">
        <f>EXP(-LN(2)/2)*EX146+(1-EXP(-LN(2)/2))/(LN(2)/2)*ER147*EU147*VLOOKUP('Données projet'!$B$15,Paramètres!$A$1:$I$89,3,0)*0.475*44/12</f>
        <v>6.3286326100855286E-2</v>
      </c>
      <c r="EY147" s="22">
        <f t="shared" si="129"/>
        <v>120.90918481103735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>
        <f>FE147*VLOOKUP('Données projet'!$B$16,Paramètres!$A$1:$I$89,3,0)*VLOOKUP('Données projet'!$B$16,Paramètres!$A$1:$I$89,5,0)</f>
        <v>0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383.47860767209028</v>
      </c>
      <c r="FK147" s="59">
        <f t="shared" si="156"/>
        <v>370.49129421395628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14.922171920793252</v>
      </c>
      <c r="FR147" s="21">
        <f>EXP(-LN(2)/25)*FR146+(1-EXP(-LN(2)/25))/(LN(2)/25)*Calculateur!FM147*Calculateur!FO147*VLOOKUP('Données projet'!$B$16,Paramètres!$A$1:$I$89,3,0)*0.475*44/12</f>
        <v>8.8739041362645352</v>
      </c>
      <c r="FS147" s="21">
        <f>EXP(-LN(2)/2)*FS146+(1-EXP(-LN(2)/2))/(LN(2)/2)*FM147*FP147*VLOOKUP('Données projet'!$B$16,Paramètres!$A$1:$I$89,3,0)*0.475*44/12</f>
        <v>1.4818568872054459E-8</v>
      </c>
      <c r="FT147" s="22">
        <f t="shared" si="132"/>
        <v>23.796076071876357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>
        <f>VLOOKUP(A147,'Données projet'!$A$243:$I$263,2,0)</f>
        <v>379.92</v>
      </c>
      <c r="FX147" s="12">
        <f>VLOOKUP(A147,'Données projet'!$A$243:$I$263,9,0)</f>
        <v>7.3375000000000012</v>
      </c>
      <c r="FY147" s="12">
        <f t="array" ref="FY147">INDEX(FX:FX,MIN(IF(ISNUMBER(FX147:FX343),ROW(FX147:FX343),"")))</f>
        <v>7.3375000000000012</v>
      </c>
      <c r="FZ147" s="12">
        <f>IF('Données projet'!$A$244&gt;35,FZ146+FY147-GH146,IF(A147&lt;'Données projet'!$A$244,$FW$205^A147,IF(A147='Données projet'!$A$244,'Données projet'!$B$244,FZ146+FY147-GH146)))</f>
        <v>379.91999999999979</v>
      </c>
      <c r="GA147" s="17">
        <f>FZ147*VLOOKUP('Données projet'!$B$17,Paramètres!$A$1:$I$89,3,0)*VLOOKUP('Données projet'!$B$17,Paramètres!$A$1:$I$89,5,0)</f>
        <v>432.65289599999977</v>
      </c>
      <c r="GB147" s="13">
        <f t="shared" si="157"/>
        <v>98.366003924731828</v>
      </c>
      <c r="GC147" s="20">
        <f t="shared" si="133"/>
        <v>924.85791736890758</v>
      </c>
      <c r="GD147" s="59">
        <f t="shared" si="134"/>
        <v>1210.8157867502005</v>
      </c>
      <c r="GE147" s="59">
        <f ca="1">AVERAGE(OFFSET($GD$3,0,0,'Données projet'!$E$17+1,1))-AVERAGE(OFFSET($H$3,0,0,'Données projet'!$E$17+1,1))</f>
        <v>640.05156427113661</v>
      </c>
      <c r="GF147" s="59">
        <f t="shared" si="158"/>
        <v>308.77220155372902</v>
      </c>
      <c r="GG147" s="15">
        <f>IF(ISNA(VLOOKUP(A147,'Données projet'!$A$243:$I$263,3,0)),0,VLOOKUP(A147,'Données projet'!$A$243:$I$263,3,0))</f>
        <v>10</v>
      </c>
      <c r="GH147" s="15">
        <f>IF(ISNA(VLOOKUP(A147,'Données projet'!$A$243:$I$263,4,0)),0,VLOOKUP(A147,'Données projet'!$A$243:$I$263,4,0))</f>
        <v>60.949999999999989</v>
      </c>
      <c r="GI147" s="16">
        <f>IF(ISNA(VLOOKUP(A147,'Données projet'!$A$243:$I$263,5,0)),0%,VLOOKUP(A147,'Données projet'!$A$243:$I$263,5,0)*VLOOKUP('Données projet'!$B$17,Paramètres!$A$1:$I$89,7,0))</f>
        <v>0.15049999999999999</v>
      </c>
      <c r="GJ147" s="16">
        <f>IF(ISNA(VLOOKUP(A147,'Données projet'!$A$243:$I$263,6,0)),0%,VLOOKUP(A147,'Données projet'!$A$243:$I$263,6,0)*VLOOKUP('Données projet'!$B$17,Paramètres!$A$1:$I$89,7,0))</f>
        <v>8.6000000000000007E-2</v>
      </c>
      <c r="GK147" s="16">
        <f>IF(ISNA(VLOOKUP(A147,'Données projet'!$A$243:$I$263,7,0)),0%,VLOOKUP(A147,'Données projet'!$A$243:$I$263,7,0))</f>
        <v>0.1</v>
      </c>
      <c r="GL147" s="21">
        <f>EXP(-LN(2)/35)*GL146+(1-EXP(-LN(2)/35))/(LN(2)/35)*GH147*GI147*VLOOKUP('Données projet'!$B$17,Paramètres!$A$1:$I$89,3,0)*0.475*44/12</f>
        <v>37.375013542383627</v>
      </c>
      <c r="GM147" s="21">
        <f>EXP(-LN(2)/25)*GM146+(1-EXP(-LN(2)/25))/(LN(2)/25)*Calculateur!GH147*Calculateur!GJ147*VLOOKUP('Données projet'!$B$17,Paramètres!$A$1:$I$89,3,0)*0.475*44/12</f>
        <v>25.930076659494059</v>
      </c>
      <c r="GN147" s="21">
        <f>EXP(-LN(2)/2)*GN146+(1-EXP(-LN(2)/2))/(LN(2)/2)*GH147*GK147*VLOOKUP('Données projet'!$B$17,Paramètres!$A$1:$I$89,3,0)*0.475*44/12</f>
        <v>6.6332742287016577</v>
      </c>
      <c r="GO147" s="21">
        <f t="shared" si="135"/>
        <v>69.938364430579341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4.7884896048344674E-14</v>
      </c>
      <c r="P148" s="13">
        <f t="shared" si="141"/>
        <v>7.8374629847779921E-13</v>
      </c>
      <c r="Q148" s="20">
        <f t="shared" si="108"/>
        <v>1.4484243304663672E-12</v>
      </c>
      <c r="R148" s="59">
        <f t="shared" si="109"/>
        <v>286.085817191795</v>
      </c>
      <c r="S148" s="59">
        <f ca="1">AVERAGE(OFFSET($R$3,0,0,'Données projet'!$E$9+1,1))-AVERAGE(OFFSET($H$3,0,0,'Données projet'!$E$9+1,1))</f>
        <v>456.35333554128226</v>
      </c>
      <c r="T148" s="59">
        <f t="shared" si="142"/>
        <v>296.4517290984877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56.51198821673249</v>
      </c>
      <c r="AA148" s="21">
        <f>EXP(-LN(2)/25)*AA147+(1-EXP(-LN(2)/25))/(LN(2)/25)*Calculateur!V148*Calculateur!X148*VLOOKUP('Données projet'!$B$9,Paramètres!$A$1:$I$89,3,0)*0.475*44/12</f>
        <v>9.4893859744762601</v>
      </c>
      <c r="AB148" s="21">
        <f>EXP(-LN(2)/2)*AB147+(1-EXP(-LN(2)/2))/(LN(2)/2)*V148*Y148*VLOOKUP('Données projet'!$B$9,Paramètres!$A$1:$I$89,3,0)*0.475*44/12</f>
        <v>1.001142553597907E-5</v>
      </c>
      <c r="AC148" s="22">
        <f t="shared" si="111"/>
        <v>66.001384202634284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408.246209980743</v>
      </c>
      <c r="AO148" s="59">
        <f t="shared" si="144"/>
        <v>394.10236303013903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15.754907787287486</v>
      </c>
      <c r="AV148" s="21">
        <f>EXP(-LN(2)/25)*AV147+(1-EXP(-LN(2)/25))/(LN(2)/25)*Calculateur!AQ148*Calculateur!AS148*VLOOKUP('Données projet'!$B$10,Paramètres!$A$1:$I$89,3,0)*0.475*44/12</f>
        <v>9.2951888195385148</v>
      </c>
      <c r="AW148" s="21">
        <f>EXP(-LN(2)/2)*AW147+(1-EXP(-LN(2)/2))/(LN(2)/2)*AQ148*AT148*VLOOKUP('Données projet'!$B$10,Paramètres!$A$1:$I$89,3,0)*0.475*44/12</f>
        <v>1.128433442436413E-8</v>
      </c>
      <c r="AX148" s="21">
        <f t="shared" si="114"/>
        <v>25.050096618110338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7.5191666666666634</v>
      </c>
      <c r="BD148" s="12">
        <f>IF('Données projet'!$A$88&gt;35,BD147+BC148-BL147,IF(A148&lt;'Données projet'!$A$88,$BA$205^A148,IF(A148='Données projet'!$A$88,'Données projet'!$B$88,BD147+BC148-BL147)))</f>
        <v>326.48916666666645</v>
      </c>
      <c r="BE148" s="13">
        <f>BD148*VLOOKUP('Données projet'!$B$11,Paramètres!$A$1:$I$89,3,0)*VLOOKUP('Données projet'!$B$11,Paramètres!$A$1:$I$89,5,0)</f>
        <v>331.06001499999979</v>
      </c>
      <c r="BF148" s="13">
        <f t="shared" si="145"/>
        <v>77.650034289681813</v>
      </c>
      <c r="BG148" s="20">
        <f t="shared" si="115"/>
        <v>711.83666917952871</v>
      </c>
      <c r="BH148" s="59">
        <f t="shared" si="116"/>
        <v>997.92248637132229</v>
      </c>
      <c r="BI148" s="59">
        <f ca="1">AVERAGE(OFFSET($BH$3,0,0,'Données projet'!$E$11+1,1))-AVERAGE(OFFSET($H$3,0,0,'Données projet'!$E$11+1,1))</f>
        <v>580.02848304986492</v>
      </c>
      <c r="BJ148" s="59">
        <f t="shared" si="146"/>
        <v>281.68891895586728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32.626538370083701</v>
      </c>
      <c r="BQ148" s="21">
        <f>EXP(-LN(2)/25)*BQ147+(1-EXP(-LN(2)/25))/(LN(2)/25)*Calculateur!BL148*Calculateur!BN148*VLOOKUP('Données projet'!$B$11,Paramètres!$A$1:$I$89,3,0)*0.475*44/12</f>
        <v>22.457070242827225</v>
      </c>
      <c r="BR148" s="21">
        <f>EXP(-LN(2)/2)*BR147+(1-EXP(-LN(2)/2))/(LN(2)/2)*BL148*BO148*VLOOKUP('Données projet'!$B$11,Paramètres!$A$1:$I$89,3,0)*0.475*44/12</f>
        <v>4.1764131131235489</v>
      </c>
      <c r="BS148" s="22">
        <f t="shared" si="117"/>
        <v>59.260021726034473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4.4337866711430253E-14</v>
      </c>
      <c r="CA148" s="13">
        <f t="shared" si="147"/>
        <v>7.3222115536967035E-13</v>
      </c>
      <c r="CB148" s="20">
        <f t="shared" si="118"/>
        <v>1.3525069634579169E-12</v>
      </c>
      <c r="CC148" s="59">
        <f t="shared" si="119"/>
        <v>286.08581719179494</v>
      </c>
      <c r="CD148" s="59">
        <f ca="1">AVERAGE(OFFSET($CC$3,0,0,'Données projet'!$E$12+1,1))-AVERAGE(OFFSET($H$3,0,0,'Données projet'!$E$12+1,1))</f>
        <v>308.85018589589453</v>
      </c>
      <c r="CE148" s="59">
        <f t="shared" si="148"/>
        <v>302.59481222418219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9.5452867855729728</v>
      </c>
      <c r="CL148" s="21">
        <f>EXP(-LN(2)/25)*CL147+(1-EXP(-LN(2)/25))/(LN(2)/25)*Calculateur!CG148*Calculateur!CI148*VLOOKUP('Données projet'!$B$12,Paramètres!$A$1:$I$89,3,0)*0.475*44/12</f>
        <v>5.1471905180181388</v>
      </c>
      <c r="CM148" s="21">
        <f>EXP(-LN(2)/2)*CM147+(1-EXP(-LN(2)/2))/(LN(2)/2)*CG148*CJ148*VLOOKUP('Données projet'!$B$12,Paramètres!$A$1:$I$89,3,0)*0.475*44/12</f>
        <v>2.2102911917785053E-10</v>
      </c>
      <c r="CN148" s="22">
        <f t="shared" si="120"/>
        <v>14.69247730381214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2.2737367544323206E-13</v>
      </c>
      <c r="CU148" s="17">
        <f>CT148*VLOOKUP('Données projet'!$B$13,Paramètres!$A$1:$I$89,3,0)*VLOOKUP('Données projet'!$B$13,Paramètres!$A$1:$I$89,5,0)</f>
        <v>1.5252226148732008E-13</v>
      </c>
      <c r="CV148" s="13">
        <f t="shared" si="149"/>
        <v>2.1814502464536512E-12</v>
      </c>
      <c r="CW148" s="20">
        <f t="shared" si="121"/>
        <v>4.0650021179971913E-12</v>
      </c>
      <c r="CX148" s="59">
        <f t="shared" si="122"/>
        <v>286.08581719179767</v>
      </c>
      <c r="CY148" s="59">
        <f ca="1">AVERAGE(OFFSET($CX$3,0,0,'Données projet'!$E$13+1,1))-AVERAGE(OFFSET($H$3,0,0,'Données projet'!$E$13+1,1))</f>
        <v>335.73816489539837</v>
      </c>
      <c r="CZ148" s="59">
        <f t="shared" si="150"/>
        <v>254.09787950201044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18.729776574994624</v>
      </c>
      <c r="DG148" s="21">
        <f>EXP(-LN(2)/25)*DG147+(1-EXP(-LN(2)/25))/(LN(2)/25)*Calculateur!DB148*Calculateur!DD148*VLOOKUP('Données projet'!$B$13,Paramètres!$A$1:$I$89,3,0)*0.475*44/12</f>
        <v>14.366545396178983</v>
      </c>
      <c r="DH148" s="21">
        <f>EXP(-LN(2)/2)*DH147+(1-EXP(-LN(2)/2))/(LN(2)/2)*DB148*DE148*VLOOKUP('Données projet'!$B$13,Paramètres!$A$1:$I$89,3,0)*0.475*44/12</f>
        <v>2.6410569682969382E-4</v>
      </c>
      <c r="DI148" s="22">
        <f t="shared" si="123"/>
        <v>33.096586076870437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2.5579538487363607E-13</v>
      </c>
      <c r="DP148" s="17">
        <f>DO148*VLOOKUP('Données projet'!$B$14,Paramètres!$A$1:$I$89,3,0)*VLOOKUP('Données projet'!$B$14,Paramètres!$A$1:$I$89,5,0)</f>
        <v>2.4740529624978082E-13</v>
      </c>
      <c r="DQ148" s="13">
        <f t="shared" si="151"/>
        <v>3.3447853361996459E-12</v>
      </c>
      <c r="DR148" s="20">
        <f t="shared" si="124"/>
        <v>6.2563986848494188E-12</v>
      </c>
      <c r="DS148" s="59">
        <f t="shared" si="125"/>
        <v>286.08581719179983</v>
      </c>
      <c r="DT148" s="59">
        <f ca="1">AVERAGE(OFFSET($DS$3,0,0,'Données projet'!$E$14+1,1))-AVERAGE(OFFSET($H$3,0,0,'Données projet'!$E$14+1,1))</f>
        <v>493.03862850474161</v>
      </c>
      <c r="DU148" s="59">
        <f t="shared" si="152"/>
        <v>312.51819065560528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89.722408330866614</v>
      </c>
      <c r="EB148" s="21">
        <f>EXP(-LN(2)/25)*EB147+(1-EXP(-LN(2)/25))/(LN(2)/25)*Calculateur!DW148*Calculateur!DY148*VLOOKUP('Données projet'!$B$14,Paramètres!$A$1:$I$89,3,0)*0.475*44/12</f>
        <v>16.602411437280988</v>
      </c>
      <c r="EC148" s="21">
        <f>EXP(-LN(2)/2)*EC147+(1-EXP(-LN(2)/2))/(LN(2)/2)*DW148*DZ148*VLOOKUP('Données projet'!$B$14,Paramètres!$A$1:$I$89,3,0)*0.475*44/12</f>
        <v>4.021031595974605E-2</v>
      </c>
      <c r="ED148" s="22">
        <f t="shared" si="126"/>
        <v>106.36503008410735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2.5579538487363607E-13</v>
      </c>
      <c r="EK148" s="17">
        <f>EJ148*VLOOKUP('Données projet'!$B$15,Paramètres!$A$1:$I$89,3,0)*VLOOKUP('Données projet'!$B$15,Paramètres!$A$1:$I$89,5,0)</f>
        <v>2.7533815227798186E-13</v>
      </c>
      <c r="EL148" s="13">
        <f t="shared" si="153"/>
        <v>3.6763598146902537E-12</v>
      </c>
      <c r="EM148" s="20">
        <f t="shared" si="127"/>
        <v>6.88254062580301E-12</v>
      </c>
      <c r="EN148" s="59">
        <f t="shared" si="128"/>
        <v>286.08581719180046</v>
      </c>
      <c r="EO148" s="59">
        <f ca="1">AVERAGE(OFFSET($EN$3,0,0,'Données projet'!$E$15+1,1))-AVERAGE(OFFSET($H$3,0,0,'Données projet'!$E$15+1,1))</f>
        <v>539.72194201710272</v>
      </c>
      <c r="EP148" s="59">
        <f t="shared" si="154"/>
        <v>340.76505385159362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99.852357658545088</v>
      </c>
      <c r="EW148" s="21">
        <f>EXP(-LN(2)/25)*EW147+(1-EXP(-LN(2)/25))/(LN(2)/25)*Calculateur!ER148*Calculateur!ET148*VLOOKUP('Données projet'!$B$15,Paramètres!$A$1:$I$89,3,0)*0.475*44/12</f>
        <v>18.476877244715933</v>
      </c>
      <c r="EX148" s="21">
        <f>EXP(-LN(2)/2)*EX147+(1-EXP(-LN(2)/2))/(LN(2)/2)*ER148*EU148*VLOOKUP('Données projet'!$B$15,Paramètres!$A$1:$I$89,3,0)*0.475*44/12</f>
        <v>4.475019034229797E-2</v>
      </c>
      <c r="EY148" s="22">
        <f t="shared" si="129"/>
        <v>118.37398509360332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>
        <f>FE148*VLOOKUP('Données projet'!$B$16,Paramètres!$A$1:$I$89,3,0)*VLOOKUP('Données projet'!$B$16,Paramètres!$A$1:$I$89,5,0)</f>
        <v>0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383.47860767209028</v>
      </c>
      <c r="FK148" s="59">
        <f t="shared" si="156"/>
        <v>370.49129421395628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14.629557231052656</v>
      </c>
      <c r="FR148" s="21">
        <f>EXP(-LN(2)/25)*FR147+(1-EXP(-LN(2)/25))/(LN(2)/25)*Calculateur!FM148*Calculateur!FO148*VLOOKUP('Données projet'!$B$16,Paramètres!$A$1:$I$89,3,0)*0.475*44/12</f>
        <v>8.6312467610000443</v>
      </c>
      <c r="FS148" s="21">
        <f>EXP(-LN(2)/2)*FS147+(1-EXP(-LN(2)/2))/(LN(2)/2)*FM148*FP148*VLOOKUP('Données projet'!$B$16,Paramètres!$A$1:$I$89,3,0)*0.475*44/12</f>
        <v>1.0478310536909597E-8</v>
      </c>
      <c r="FT148" s="22">
        <f t="shared" si="132"/>
        <v>23.26080400253101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7.5191666666666634</v>
      </c>
      <c r="FZ148" s="12">
        <f>IF('Données projet'!$A$244&gt;35,FZ147+FY148-GH147,IF(A148&lt;'Données projet'!$A$244,$FW$205^A148,IF(A148='Données projet'!$A$244,'Données projet'!$B$244,FZ147+FY148-GH147)))</f>
        <v>326.48916666666645</v>
      </c>
      <c r="GA148" s="17">
        <f>FZ148*VLOOKUP('Données projet'!$B$17,Paramètres!$A$1:$I$89,3,0)*VLOOKUP('Données projet'!$B$17,Paramètres!$A$1:$I$89,5,0)</f>
        <v>371.80586299999976</v>
      </c>
      <c r="GB148" s="13">
        <f t="shared" si="157"/>
        <v>86.036649435918704</v>
      </c>
      <c r="GC148" s="20">
        <f t="shared" si="133"/>
        <v>797.409042492558</v>
      </c>
      <c r="GD148" s="59">
        <f t="shared" si="134"/>
        <v>1083.4948596843515</v>
      </c>
      <c r="GE148" s="59">
        <f ca="1">AVERAGE(OFFSET($GD$3,0,0,'Données projet'!$E$17+1,1))-AVERAGE(OFFSET($H$3,0,0,'Données projet'!$E$17+1,1))</f>
        <v>640.05156427113661</v>
      </c>
      <c r="GF148" s="59">
        <f t="shared" si="158"/>
        <v>308.77220155372902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36.642112323324774</v>
      </c>
      <c r="GM148" s="21">
        <f>EXP(-LN(2)/25)*GM147+(1-EXP(-LN(2)/25))/(LN(2)/25)*Calculateur!GH148*Calculateur!GJ148*VLOOKUP('Données projet'!$B$17,Paramètres!$A$1:$I$89,3,0)*0.475*44/12</f>
        <v>25.221017349636725</v>
      </c>
      <c r="GN148" s="21">
        <f>EXP(-LN(2)/2)*GN147+(1-EXP(-LN(2)/2))/(LN(2)/2)*GH148*GK148*VLOOKUP('Données projet'!$B$17,Paramètres!$A$1:$I$89,3,0)*0.475*44/12</f>
        <v>4.6904331885849082</v>
      </c>
      <c r="GO148" s="21">
        <f t="shared" si="135"/>
        <v>66.553562861546411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4.7884896048344674E-14</v>
      </c>
      <c r="P149" s="13">
        <f t="shared" si="141"/>
        <v>7.8374629847779921E-13</v>
      </c>
      <c r="Q149" s="20">
        <f t="shared" si="108"/>
        <v>1.4484243304663672E-12</v>
      </c>
      <c r="R149" s="59">
        <f t="shared" si="109"/>
        <v>286.21154539383207</v>
      </c>
      <c r="S149" s="59">
        <f ca="1">AVERAGE(OFFSET($R$3,0,0,'Données projet'!$E$9+1,1))-AVERAGE(OFFSET($H$3,0,0,'Données projet'!$E$9+1,1))</f>
        <v>456.35333554128226</v>
      </c>
      <c r="T149" s="59">
        <f t="shared" si="142"/>
        <v>296.4517290984877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55.403822596711656</v>
      </c>
      <c r="AA149" s="21">
        <f>EXP(-LN(2)/25)*AA148+(1-EXP(-LN(2)/25))/(LN(2)/25)*Calculateur!V149*Calculateur!X149*VLOOKUP('Données projet'!$B$9,Paramètres!$A$1:$I$89,3,0)*0.475*44/12</f>
        <v>9.2298982159790874</v>
      </c>
      <c r="AB149" s="21">
        <f>EXP(-LN(2)/2)*AB148+(1-EXP(-LN(2)/2))/(LN(2)/2)*V149*Y149*VLOOKUP('Données projet'!$B$9,Paramètres!$A$1:$I$89,3,0)*0.475*44/12</f>
        <v>7.0791468858349664E-6</v>
      </c>
      <c r="AC149" s="22">
        <f t="shared" si="111"/>
        <v>64.633727891837623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408.246209980743</v>
      </c>
      <c r="AO149" s="59">
        <f t="shared" si="144"/>
        <v>394.10236303013903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15.445963655123665</v>
      </c>
      <c r="AV149" s="21">
        <f>EXP(-LN(2)/25)*AV148+(1-EXP(-LN(2)/25))/(LN(2)/25)*Calculateur!AQ149*Calculateur!AS149*VLOOKUP('Données projet'!$B$10,Paramètres!$A$1:$I$89,3,0)*0.475*44/12</f>
        <v>9.0410113924554985</v>
      </c>
      <c r="AW149" s="21">
        <f>EXP(-LN(2)/2)*AW148+(1-EXP(-LN(2)/2))/(LN(2)/2)*AQ149*AT149*VLOOKUP('Données projet'!$B$10,Paramètres!$A$1:$I$89,3,0)*0.475*44/12</f>
        <v>7.9792293926446721E-9</v>
      </c>
      <c r="AX149" s="21">
        <f t="shared" si="114"/>
        <v>24.486975055558393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7.5191666666666634</v>
      </c>
      <c r="BD149" s="12">
        <f>IF('Données projet'!$A$88&gt;35,BD148+BC149-BL148,IF(A149&lt;'Données projet'!$A$88,$BA$205^A149,IF(A149='Données projet'!$A$88,'Données projet'!$B$88,BD148+BC149-BL148)))</f>
        <v>334.0083333333331</v>
      </c>
      <c r="BE149" s="13">
        <f>BD149*VLOOKUP('Données projet'!$B$11,Paramètres!$A$1:$I$89,3,0)*VLOOKUP('Données projet'!$B$11,Paramètres!$A$1:$I$89,5,0)</f>
        <v>338.6844499999998</v>
      </c>
      <c r="BF149" s="13">
        <f t="shared" si="145"/>
        <v>79.228084167092831</v>
      </c>
      <c r="BG149" s="20">
        <f t="shared" si="115"/>
        <v>727.86433034101958</v>
      </c>
      <c r="BH149" s="59">
        <f t="shared" si="116"/>
        <v>1014.0758757348502</v>
      </c>
      <c r="BI149" s="59">
        <f ca="1">AVERAGE(OFFSET($BH$3,0,0,'Données projet'!$E$11+1,1))-AVERAGE(OFFSET($H$3,0,0,'Données projet'!$E$11+1,1))</f>
        <v>580.02848304986492</v>
      </c>
      <c r="BJ149" s="59">
        <f t="shared" si="146"/>
        <v>281.68891895586728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31.98675185286978</v>
      </c>
      <c r="BQ149" s="21">
        <f>EXP(-LN(2)/25)*BQ148+(1-EXP(-LN(2)/25))/(LN(2)/25)*Calculateur!BL149*Calculateur!BN149*VLOOKUP('Données projet'!$B$11,Paramètres!$A$1:$I$89,3,0)*0.475*44/12</f>
        <v>21.842980476071116</v>
      </c>
      <c r="BR149" s="21">
        <f>EXP(-LN(2)/2)*BR148+(1-EXP(-LN(2)/2))/(LN(2)/2)*BL149*BO149*VLOOKUP('Données projet'!$B$11,Paramètres!$A$1:$I$89,3,0)*0.475*44/12</f>
        <v>2.9531700333260811</v>
      </c>
      <c r="BS149" s="22">
        <f t="shared" si="117"/>
        <v>56.782902362266974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4.4337866711430253E-14</v>
      </c>
      <c r="CA149" s="13">
        <f t="shared" si="147"/>
        <v>7.3222115536967035E-13</v>
      </c>
      <c r="CB149" s="20">
        <f t="shared" si="118"/>
        <v>1.3525069634579169E-12</v>
      </c>
      <c r="CC149" s="59">
        <f t="shared" si="119"/>
        <v>286.21154539383201</v>
      </c>
      <c r="CD149" s="59">
        <f ca="1">AVERAGE(OFFSET($CC$3,0,0,'Données projet'!$E$12+1,1))-AVERAGE(OFFSET($H$3,0,0,'Données projet'!$E$12+1,1))</f>
        <v>308.85018589589453</v>
      </c>
      <c r="CE149" s="59">
        <f t="shared" si="148"/>
        <v>302.59481222418219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9.358109533757947</v>
      </c>
      <c r="CL149" s="21">
        <f>EXP(-LN(2)/25)*CL148+(1-EXP(-LN(2)/25))/(LN(2)/25)*Calculateur!CG149*Calculateur!CI149*VLOOKUP('Données projet'!$B$12,Paramètres!$A$1:$I$89,3,0)*0.475*44/12</f>
        <v>5.0064403226239476</v>
      </c>
      <c r="CM149" s="21">
        <f>EXP(-LN(2)/2)*CM148+(1-EXP(-LN(2)/2))/(LN(2)/2)*CG149*CJ149*VLOOKUP('Données projet'!$B$12,Paramètres!$A$1:$I$89,3,0)*0.475*44/12</f>
        <v>1.5629118901034769E-10</v>
      </c>
      <c r="CN149" s="22">
        <f t="shared" si="120"/>
        <v>14.364549856538186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2.2737367544323206E-13</v>
      </c>
      <c r="CU149" s="17">
        <f>CT149*VLOOKUP('Données projet'!$B$13,Paramètres!$A$1:$I$89,3,0)*VLOOKUP('Données projet'!$B$13,Paramètres!$A$1:$I$89,5,0)</f>
        <v>1.5252226148732008E-13</v>
      </c>
      <c r="CV149" s="13">
        <f t="shared" si="149"/>
        <v>2.1814502464536512E-12</v>
      </c>
      <c r="CW149" s="20">
        <f t="shared" si="121"/>
        <v>4.0650021179971913E-12</v>
      </c>
      <c r="CX149" s="59">
        <f t="shared" si="122"/>
        <v>286.21154539383474</v>
      </c>
      <c r="CY149" s="59">
        <f ca="1">AVERAGE(OFFSET($CX$3,0,0,'Données projet'!$E$13+1,1))-AVERAGE(OFFSET($H$3,0,0,'Données projet'!$E$13+1,1))</f>
        <v>335.73816489539837</v>
      </c>
      <c r="CZ149" s="59">
        <f t="shared" si="150"/>
        <v>254.09787950201044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18.362497080394661</v>
      </c>
      <c r="DG149" s="21">
        <f>EXP(-LN(2)/25)*DG148+(1-EXP(-LN(2)/25))/(LN(2)/25)*Calculateur!DB149*Calculateur!DD149*VLOOKUP('Données projet'!$B$13,Paramètres!$A$1:$I$89,3,0)*0.475*44/12</f>
        <v>13.973691456816681</v>
      </c>
      <c r="DH149" s="21">
        <f>EXP(-LN(2)/2)*DH148+(1-EXP(-LN(2)/2))/(LN(2)/2)*DB149*DE149*VLOOKUP('Données projet'!$B$13,Paramètres!$A$1:$I$89,3,0)*0.475*44/12</f>
        <v>1.8675092917827497E-4</v>
      </c>
      <c r="DI149" s="22">
        <f t="shared" si="123"/>
        <v>32.336375288140523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2.5579538487363607E-13</v>
      </c>
      <c r="DP149" s="17">
        <f>DO149*VLOOKUP('Données projet'!$B$14,Paramètres!$A$1:$I$89,3,0)*VLOOKUP('Données projet'!$B$14,Paramètres!$A$1:$I$89,5,0)</f>
        <v>2.4740529624978082E-13</v>
      </c>
      <c r="DQ149" s="13">
        <f t="shared" si="151"/>
        <v>3.3447853361996459E-12</v>
      </c>
      <c r="DR149" s="20">
        <f t="shared" si="124"/>
        <v>6.2563986848494188E-12</v>
      </c>
      <c r="DS149" s="59">
        <f t="shared" si="125"/>
        <v>286.2115453938369</v>
      </c>
      <c r="DT149" s="59">
        <f ca="1">AVERAGE(OFFSET($DS$3,0,0,'Données projet'!$E$14+1,1))-AVERAGE(OFFSET($H$3,0,0,'Données projet'!$E$14+1,1))</f>
        <v>493.03862850474161</v>
      </c>
      <c r="DU149" s="59">
        <f t="shared" si="152"/>
        <v>312.51819065560528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87.963006628763736</v>
      </c>
      <c r="EB149" s="21">
        <f>EXP(-LN(2)/25)*EB148+(1-EXP(-LN(2)/25))/(LN(2)/25)*Calculateur!DW149*Calculateur!DY149*VLOOKUP('Données projet'!$B$14,Paramètres!$A$1:$I$89,3,0)*0.475*44/12</f>
        <v>16.148417623445667</v>
      </c>
      <c r="EC149" s="21">
        <f>EXP(-LN(2)/2)*EC148+(1-EXP(-LN(2)/2))/(LN(2)/2)*DW149*DZ149*VLOOKUP('Données projet'!$B$14,Paramètres!$A$1:$I$89,3,0)*0.475*44/12</f>
        <v>2.8432987088790093E-2</v>
      </c>
      <c r="ED149" s="22">
        <f t="shared" si="126"/>
        <v>104.13985723929819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2.5579538487363607E-13</v>
      </c>
      <c r="EK149" s="17">
        <f>EJ149*VLOOKUP('Données projet'!$B$15,Paramètres!$A$1:$I$89,3,0)*VLOOKUP('Données projet'!$B$15,Paramètres!$A$1:$I$89,5,0)</f>
        <v>2.7533815227798186E-13</v>
      </c>
      <c r="EL149" s="13">
        <f t="shared" si="153"/>
        <v>3.6763598146902537E-12</v>
      </c>
      <c r="EM149" s="20">
        <f t="shared" si="127"/>
        <v>6.88254062580301E-12</v>
      </c>
      <c r="EN149" s="59">
        <f t="shared" si="128"/>
        <v>286.21154539383753</v>
      </c>
      <c r="EO149" s="59">
        <f ca="1">AVERAGE(OFFSET($EN$3,0,0,'Données projet'!$E$15+1,1))-AVERAGE(OFFSET($H$3,0,0,'Données projet'!$E$15+1,1))</f>
        <v>539.72194201710272</v>
      </c>
      <c r="EP149" s="59">
        <f t="shared" si="154"/>
        <v>340.76505385159362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97.894313828785428</v>
      </c>
      <c r="EW149" s="21">
        <f>EXP(-LN(2)/25)*EW148+(1-EXP(-LN(2)/25))/(LN(2)/25)*Calculateur!ER149*Calculateur!ET149*VLOOKUP('Données projet'!$B$15,Paramètres!$A$1:$I$89,3,0)*0.475*44/12</f>
        <v>17.971626064802432</v>
      </c>
      <c r="EX149" s="21">
        <f>EXP(-LN(2)/2)*EX148+(1-EXP(-LN(2)/2))/(LN(2)/2)*ER149*EU149*VLOOKUP('Données projet'!$B$15,Paramètres!$A$1:$I$89,3,0)*0.475*44/12</f>
        <v>3.1643163050427643E-2</v>
      </c>
      <c r="EY149" s="22">
        <f t="shared" si="129"/>
        <v>115.8975830566383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>
        <f>FE149*VLOOKUP('Données projet'!$B$16,Paramètres!$A$1:$I$89,3,0)*VLOOKUP('Données projet'!$B$16,Paramètres!$A$1:$I$89,5,0)</f>
        <v>0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383.47860767209028</v>
      </c>
      <c r="FK149" s="59">
        <f t="shared" si="156"/>
        <v>370.49129421395628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14.342680536900536</v>
      </c>
      <c r="FR149" s="21">
        <f>EXP(-LN(2)/25)*FR148+(1-EXP(-LN(2)/25))/(LN(2)/25)*Calculateur!FM149*Calculateur!FO149*VLOOKUP('Données projet'!$B$16,Paramètres!$A$1:$I$89,3,0)*0.475*44/12</f>
        <v>8.395224864422957</v>
      </c>
      <c r="FS149" s="21">
        <f>EXP(-LN(2)/2)*FS148+(1-EXP(-LN(2)/2))/(LN(2)/2)*FM149*FP149*VLOOKUP('Données projet'!$B$16,Paramètres!$A$1:$I$89,3,0)*0.475*44/12</f>
        <v>7.4092844360272304E-9</v>
      </c>
      <c r="FT149" s="22">
        <f t="shared" si="132"/>
        <v>22.737905408732779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7.5191666666666634</v>
      </c>
      <c r="FZ149" s="12">
        <f>IF('Données projet'!$A$244&gt;35,FZ148+FY149-GH148,IF(A149&lt;'Données projet'!$A$244,$FW$205^A149,IF(A149='Données projet'!$A$244,'Données projet'!$B$244,FZ148+FY149-GH148)))</f>
        <v>334.0083333333331</v>
      </c>
      <c r="GA149" s="17">
        <f>FZ149*VLOOKUP('Données projet'!$B$17,Paramètres!$A$1:$I$89,3,0)*VLOOKUP('Données projet'!$B$17,Paramètres!$A$1:$I$89,5,0)</f>
        <v>380.36868999999973</v>
      </c>
      <c r="GB149" s="13">
        <f t="shared" si="157"/>
        <v>87.785137061676878</v>
      </c>
      <c r="GC149" s="20">
        <f t="shared" si="133"/>
        <v>815.36791546575341</v>
      </c>
      <c r="GD149" s="59">
        <f t="shared" si="134"/>
        <v>1101.5794608595841</v>
      </c>
      <c r="GE149" s="59">
        <f ca="1">AVERAGE(OFFSET($GD$3,0,0,'Données projet'!$E$17+1,1))-AVERAGE(OFFSET($H$3,0,0,'Données projet'!$E$17+1,1))</f>
        <v>640.05156427113661</v>
      </c>
      <c r="GF149" s="59">
        <f t="shared" si="158"/>
        <v>308.77220155372902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35.923582850146062</v>
      </c>
      <c r="GM149" s="21">
        <f>EXP(-LN(2)/25)*GM148+(1-EXP(-LN(2)/25))/(LN(2)/25)*Calculateur!GH149*Calculateur!GJ149*VLOOKUP('Données projet'!$B$17,Paramètres!$A$1:$I$89,3,0)*0.475*44/12</f>
        <v>24.531347303895249</v>
      </c>
      <c r="GN149" s="21">
        <f>EXP(-LN(2)/2)*GN148+(1-EXP(-LN(2)/2))/(LN(2)/2)*GH149*GK149*VLOOKUP('Données projet'!$B$17,Paramètres!$A$1:$I$89,3,0)*0.475*44/12</f>
        <v>3.3166371143508293</v>
      </c>
      <c r="GO149" s="21">
        <f t="shared" si="135"/>
        <v>63.771567268392133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4.7884896048344674E-14</v>
      </c>
      <c r="P150" s="13">
        <f t="shared" si="141"/>
        <v>7.8374629847779921E-13</v>
      </c>
      <c r="Q150" s="20">
        <f t="shared" si="108"/>
        <v>1.4484243304663672E-12</v>
      </c>
      <c r="R150" s="59">
        <f t="shared" si="109"/>
        <v>286.33509249264984</v>
      </c>
      <c r="S150" s="59">
        <f ca="1">AVERAGE(OFFSET($R$3,0,0,'Données projet'!$E$9+1,1))-AVERAGE(OFFSET($H$3,0,0,'Données projet'!$E$9+1,1))</f>
        <v>456.35333554128226</v>
      </c>
      <c r="T150" s="59">
        <f t="shared" si="142"/>
        <v>296.4517290984877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54.317387428585143</v>
      </c>
      <c r="AA150" s="21">
        <f>EXP(-LN(2)/25)*AA149+(1-EXP(-LN(2)/25))/(LN(2)/25)*Calculateur!V150*Calculateur!X150*VLOOKUP('Données projet'!$B$9,Paramètres!$A$1:$I$89,3,0)*0.475*44/12</f>
        <v>8.9775061638838878</v>
      </c>
      <c r="AB150" s="21">
        <f>EXP(-LN(2)/2)*AB149+(1-EXP(-LN(2)/2))/(LN(2)/2)*V150*Y150*VLOOKUP('Données projet'!$B$9,Paramètres!$A$1:$I$89,3,0)*0.475*44/12</f>
        <v>5.0057127679895348E-6</v>
      </c>
      <c r="AC150" s="22">
        <f t="shared" si="111"/>
        <v>63.294898598181796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408.246209980743</v>
      </c>
      <c r="AO150" s="59">
        <f t="shared" si="144"/>
        <v>394.10236303013903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15.143077728954262</v>
      </c>
      <c r="AV150" s="21">
        <f>EXP(-LN(2)/25)*AV149+(1-EXP(-LN(2)/25))/(LN(2)/25)*Calculateur!AQ150*Calculateur!AS150*VLOOKUP('Données projet'!$B$10,Paramètres!$A$1:$I$89,3,0)*0.475*44/12</f>
        <v>8.7937844604826765</v>
      </c>
      <c r="AW150" s="21">
        <f>EXP(-LN(2)/2)*AW149+(1-EXP(-LN(2)/2))/(LN(2)/2)*AQ150*AT150*VLOOKUP('Données projet'!$B$10,Paramètres!$A$1:$I$89,3,0)*0.475*44/12</f>
        <v>5.6421672121820648E-9</v>
      </c>
      <c r="AX150" s="21">
        <f t="shared" si="114"/>
        <v>23.936862195079105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7.5191666666666634</v>
      </c>
      <c r="BD150" s="12">
        <f>IF('Données projet'!$A$88&gt;35,BD149+BC150-BL149,IF(A150&lt;'Données projet'!$A$88,$BA$205^A150,IF(A150='Données projet'!$A$88,'Données projet'!$B$88,BD149+BC150-BL149)))</f>
        <v>341.52749999999975</v>
      </c>
      <c r="BE150" s="13">
        <f>BD150*VLOOKUP('Données projet'!$B$11,Paramètres!$A$1:$I$89,3,0)*VLOOKUP('Données projet'!$B$11,Paramètres!$A$1:$I$89,5,0)</f>
        <v>346.3088849999998</v>
      </c>
      <c r="BF150" s="13">
        <f t="shared" si="145"/>
        <v>80.802003987912002</v>
      </c>
      <c r="BG150" s="20">
        <f t="shared" si="115"/>
        <v>743.88479832061319</v>
      </c>
      <c r="BH150" s="59">
        <f t="shared" si="116"/>
        <v>1030.2198908132616</v>
      </c>
      <c r="BI150" s="59">
        <f ca="1">AVERAGE(OFFSET($BH$3,0,0,'Données projet'!$E$11+1,1))-AVERAGE(OFFSET($H$3,0,0,'Données projet'!$E$11+1,1))</f>
        <v>580.02848304986492</v>
      </c>
      <c r="BJ150" s="59">
        <f t="shared" si="146"/>
        <v>281.68891895586728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31.359511159027182</v>
      </c>
      <c r="BQ150" s="21">
        <f>EXP(-LN(2)/25)*BQ149+(1-EXP(-LN(2)/25))/(LN(2)/25)*Calculateur!BL150*Calculateur!BN150*VLOOKUP('Données projet'!$B$11,Paramètres!$A$1:$I$89,3,0)*0.475*44/12</f>
        <v>21.245683026280531</v>
      </c>
      <c r="BR150" s="21">
        <f>EXP(-LN(2)/2)*BR149+(1-EXP(-LN(2)/2))/(LN(2)/2)*BL150*BO150*VLOOKUP('Données projet'!$B$11,Paramètres!$A$1:$I$89,3,0)*0.475*44/12</f>
        <v>2.0882065565617745</v>
      </c>
      <c r="BS150" s="22">
        <f t="shared" si="117"/>
        <v>54.693400741869482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4.4337866711430253E-14</v>
      </c>
      <c r="CA150" s="13">
        <f t="shared" si="147"/>
        <v>7.3222115536967035E-13</v>
      </c>
      <c r="CB150" s="20">
        <f t="shared" si="118"/>
        <v>1.3525069634579169E-12</v>
      </c>
      <c r="CC150" s="59">
        <f t="shared" si="119"/>
        <v>286.33509249264978</v>
      </c>
      <c r="CD150" s="59">
        <f ca="1">AVERAGE(OFFSET($CC$3,0,0,'Données projet'!$E$12+1,1))-AVERAGE(OFFSET($H$3,0,0,'Données projet'!$E$12+1,1))</f>
        <v>308.85018589589453</v>
      </c>
      <c r="CE150" s="59">
        <f t="shared" si="148"/>
        <v>302.59481222418219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9.1746027136841626</v>
      </c>
      <c r="CL150" s="21">
        <f>EXP(-LN(2)/25)*CL149+(1-EXP(-LN(2)/25))/(LN(2)/25)*Calculateur!CG150*Calculateur!CI150*VLOOKUP('Données projet'!$B$12,Paramètres!$A$1:$I$89,3,0)*0.475*44/12</f>
        <v>4.869538948724542</v>
      </c>
      <c r="CM150" s="21">
        <f>EXP(-LN(2)/2)*CM149+(1-EXP(-LN(2)/2))/(LN(2)/2)*CG150*CJ150*VLOOKUP('Données projet'!$B$12,Paramètres!$A$1:$I$89,3,0)*0.475*44/12</f>
        <v>1.1051455958892526E-10</v>
      </c>
      <c r="CN150" s="22">
        <f t="shared" si="120"/>
        <v>14.04414166251922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2.2737367544323206E-13</v>
      </c>
      <c r="CU150" s="17">
        <f>CT150*VLOOKUP('Données projet'!$B$13,Paramètres!$A$1:$I$89,3,0)*VLOOKUP('Données projet'!$B$13,Paramètres!$A$1:$I$89,5,0)</f>
        <v>1.5252226148732008E-13</v>
      </c>
      <c r="CV150" s="13">
        <f t="shared" si="149"/>
        <v>2.1814502464536512E-12</v>
      </c>
      <c r="CW150" s="20">
        <f t="shared" si="121"/>
        <v>4.0650021179971913E-12</v>
      </c>
      <c r="CX150" s="59">
        <f t="shared" si="122"/>
        <v>286.33509249265251</v>
      </c>
      <c r="CY150" s="59">
        <f ca="1">AVERAGE(OFFSET($CX$3,0,0,'Données projet'!$E$13+1,1))-AVERAGE(OFFSET($H$3,0,0,'Données projet'!$E$13+1,1))</f>
        <v>335.73816489539837</v>
      </c>
      <c r="CZ150" s="59">
        <f t="shared" si="150"/>
        <v>254.09787950201044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18.002419712665432</v>
      </c>
      <c r="DG150" s="21">
        <f>EXP(-LN(2)/25)*DG149+(1-EXP(-LN(2)/25))/(LN(2)/25)*Calculateur!DB150*Calculateur!DD150*VLOOKUP('Données projet'!$B$13,Paramètres!$A$1:$I$89,3,0)*0.475*44/12</f>
        <v>13.591580129085532</v>
      </c>
      <c r="DH150" s="21">
        <f>EXP(-LN(2)/2)*DH149+(1-EXP(-LN(2)/2))/(LN(2)/2)*DB150*DE150*VLOOKUP('Données projet'!$B$13,Paramètres!$A$1:$I$89,3,0)*0.475*44/12</f>
        <v>1.3205284841484691E-4</v>
      </c>
      <c r="DI150" s="22">
        <f t="shared" si="123"/>
        <v>31.594131894599379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2.5579538487363607E-13</v>
      </c>
      <c r="DP150" s="17">
        <f>DO150*VLOOKUP('Données projet'!$B$14,Paramètres!$A$1:$I$89,3,0)*VLOOKUP('Données projet'!$B$14,Paramètres!$A$1:$I$89,5,0)</f>
        <v>2.4740529624978082E-13</v>
      </c>
      <c r="DQ150" s="13">
        <f t="shared" si="151"/>
        <v>3.3447853361996459E-12</v>
      </c>
      <c r="DR150" s="20">
        <f t="shared" si="124"/>
        <v>6.2563986848494188E-12</v>
      </c>
      <c r="DS150" s="59">
        <f t="shared" si="125"/>
        <v>286.33509249265467</v>
      </c>
      <c r="DT150" s="59">
        <f ca="1">AVERAGE(OFFSET($DS$3,0,0,'Données projet'!$E$14+1,1))-AVERAGE(OFFSET($H$3,0,0,'Données projet'!$E$14+1,1))</f>
        <v>493.03862850474161</v>
      </c>
      <c r="DU150" s="59">
        <f t="shared" si="152"/>
        <v>312.51819065560528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86.238105720910013</v>
      </c>
      <c r="EB150" s="21">
        <f>EXP(-LN(2)/25)*EB149+(1-EXP(-LN(2)/25))/(LN(2)/25)*Calculateur!DW150*Calculateur!DY150*VLOOKUP('Données projet'!$B$14,Paramètres!$A$1:$I$89,3,0)*0.475*44/12</f>
        <v>15.70683829432417</v>
      </c>
      <c r="EC150" s="21">
        <f>EXP(-LN(2)/2)*EC149+(1-EXP(-LN(2)/2))/(LN(2)/2)*DW150*DZ150*VLOOKUP('Données projet'!$B$14,Paramètres!$A$1:$I$89,3,0)*0.475*44/12</f>
        <v>2.0105157979873028E-2</v>
      </c>
      <c r="ED150" s="22">
        <f t="shared" si="126"/>
        <v>101.96504917321406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2.5579538487363607E-13</v>
      </c>
      <c r="EK150" s="17">
        <f>EJ150*VLOOKUP('Données projet'!$B$15,Paramètres!$A$1:$I$89,3,0)*VLOOKUP('Données projet'!$B$15,Paramètres!$A$1:$I$89,5,0)</f>
        <v>2.7533815227798186E-13</v>
      </c>
      <c r="EL150" s="13">
        <f t="shared" si="153"/>
        <v>3.6763598146902537E-12</v>
      </c>
      <c r="EM150" s="20">
        <f t="shared" si="127"/>
        <v>6.88254062580301E-12</v>
      </c>
      <c r="EN150" s="59">
        <f t="shared" si="128"/>
        <v>286.33509249265529</v>
      </c>
      <c r="EO150" s="59">
        <f ca="1">AVERAGE(OFFSET($EN$3,0,0,'Données projet'!$E$15+1,1))-AVERAGE(OFFSET($H$3,0,0,'Données projet'!$E$15+1,1))</f>
        <v>539.72194201710272</v>
      </c>
      <c r="EP150" s="59">
        <f t="shared" si="154"/>
        <v>340.76505385159362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95.974666044238546</v>
      </c>
      <c r="EW150" s="21">
        <f>EXP(-LN(2)/25)*EW149+(1-EXP(-LN(2)/25))/(LN(2)/25)*Calculateur!ER150*Calculateur!ET150*VLOOKUP('Données projet'!$B$15,Paramètres!$A$1:$I$89,3,0)*0.475*44/12</f>
        <v>17.480191004973669</v>
      </c>
      <c r="EX150" s="21">
        <f>EXP(-LN(2)/2)*EX149+(1-EXP(-LN(2)/2))/(LN(2)/2)*ER150*EU150*VLOOKUP('Données projet'!$B$15,Paramètres!$A$1:$I$89,3,0)*0.475*44/12</f>
        <v>2.2375095171148985E-2</v>
      </c>
      <c r="EY150" s="22">
        <f t="shared" si="129"/>
        <v>113.47723214438336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>
        <f>FE150*VLOOKUP('Données projet'!$B$16,Paramètres!$A$1:$I$89,3,0)*VLOOKUP('Données projet'!$B$16,Paramètres!$A$1:$I$89,5,0)</f>
        <v>0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383.47860767209028</v>
      </c>
      <c r="FK150" s="59">
        <f t="shared" si="156"/>
        <v>370.49129421395628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14.061429319743233</v>
      </c>
      <c r="FR150" s="21">
        <f>EXP(-LN(2)/25)*FR149+(1-EXP(-LN(2)/25))/(LN(2)/25)*Calculateur!FM150*Calculateur!FO150*VLOOKUP('Données projet'!$B$16,Paramètres!$A$1:$I$89,3,0)*0.475*44/12</f>
        <v>8.1656569990196228</v>
      </c>
      <c r="FS150" s="21">
        <f>EXP(-LN(2)/2)*FS149+(1-EXP(-LN(2)/2))/(LN(2)/2)*FM150*FP150*VLOOKUP('Données projet'!$B$16,Paramètres!$A$1:$I$89,3,0)*0.475*44/12</f>
        <v>5.2391552684547995E-9</v>
      </c>
      <c r="FT150" s="22">
        <f t="shared" si="132"/>
        <v>22.227086324002013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7.5191666666666634</v>
      </c>
      <c r="FZ150" s="12">
        <f>IF('Données projet'!$A$244&gt;35,FZ149+FY150-GH149,IF(A150&lt;'Données projet'!$A$244,$FW$205^A150,IF(A150='Données projet'!$A$244,'Données projet'!$B$244,FZ149+FY150-GH149)))</f>
        <v>341.52749999999975</v>
      </c>
      <c r="GA150" s="17">
        <f>FZ150*VLOOKUP('Données projet'!$B$17,Paramètres!$A$1:$I$89,3,0)*VLOOKUP('Données projet'!$B$17,Paramètres!$A$1:$I$89,5,0)</f>
        <v>388.9315169999997</v>
      </c>
      <c r="GB150" s="13">
        <f t="shared" si="157"/>
        <v>89.529048562847422</v>
      </c>
      <c r="GC150" s="20">
        <f t="shared" si="133"/>
        <v>833.31881835529202</v>
      </c>
      <c r="GD150" s="59">
        <f t="shared" si="134"/>
        <v>1119.6539108479406</v>
      </c>
      <c r="GE150" s="59">
        <f ca="1">AVERAGE(OFFSET($GD$3,0,0,'Données projet'!$E$17+1,1))-AVERAGE(OFFSET($H$3,0,0,'Données projet'!$E$17+1,1))</f>
        <v>640.05156427113661</v>
      </c>
      <c r="GF150" s="59">
        <f t="shared" si="158"/>
        <v>308.77220155372902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35.219143301676681</v>
      </c>
      <c r="GM150" s="21">
        <f>EXP(-LN(2)/25)*GM149+(1-EXP(-LN(2)/25))/(LN(2)/25)*Calculateur!GH150*Calculateur!GJ150*VLOOKUP('Données projet'!$B$17,Paramètres!$A$1:$I$89,3,0)*0.475*44/12</f>
        <v>23.860536321822746</v>
      </c>
      <c r="GN150" s="21">
        <f>EXP(-LN(2)/2)*GN149+(1-EXP(-LN(2)/2))/(LN(2)/2)*GH150*GK150*VLOOKUP('Données projet'!$B$17,Paramètres!$A$1:$I$89,3,0)*0.475*44/12</f>
        <v>2.3452165942924545</v>
      </c>
      <c r="GO150" s="21">
        <f t="shared" si="135"/>
        <v>61.424896217791883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4.7884896048344674E-14</v>
      </c>
      <c r="P151" s="13">
        <f t="shared" si="141"/>
        <v>7.8374629847779921E-13</v>
      </c>
      <c r="Q151" s="20">
        <f t="shared" si="108"/>
        <v>1.4484243304663672E-12</v>
      </c>
      <c r="R151" s="59">
        <f t="shared" si="109"/>
        <v>286.45649632551311</v>
      </c>
      <c r="S151" s="59">
        <f ca="1">AVERAGE(OFFSET($R$3,0,0,'Données projet'!$E$9+1,1))-AVERAGE(OFFSET($H$3,0,0,'Données projet'!$E$9+1,1))</f>
        <v>456.35333554128226</v>
      </c>
      <c r="T151" s="59">
        <f t="shared" si="142"/>
        <v>296.4517290984877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53.252256591445573</v>
      </c>
      <c r="AA151" s="21">
        <f>EXP(-LN(2)/25)*AA150+(1-EXP(-LN(2)/25))/(LN(2)/25)*Calculateur!V151*Calculateur!X151*VLOOKUP('Données projet'!$B$9,Paramètres!$A$1:$I$89,3,0)*0.475*44/12</f>
        <v>8.7320157857259524</v>
      </c>
      <c r="AB151" s="21">
        <f>EXP(-LN(2)/2)*AB150+(1-EXP(-LN(2)/2))/(LN(2)/2)*V151*Y151*VLOOKUP('Données projet'!$B$9,Paramètres!$A$1:$I$89,3,0)*0.475*44/12</f>
        <v>3.5395734429174832E-6</v>
      </c>
      <c r="AC151" s="22">
        <f t="shared" si="111"/>
        <v>61.984275916744963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408.246209980743</v>
      </c>
      <c r="AO151" s="59">
        <f t="shared" si="144"/>
        <v>394.10236303013903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14.846131211054868</v>
      </c>
      <c r="AV151" s="21">
        <f>EXP(-LN(2)/25)*AV150+(1-EXP(-LN(2)/25))/(LN(2)/25)*Calculateur!AQ151*Calculateur!AS151*VLOOKUP('Données projet'!$B$10,Paramètres!$A$1:$I$89,3,0)*0.475*44/12</f>
        <v>8.5533179619657513</v>
      </c>
      <c r="AW151" s="21">
        <f>EXP(-LN(2)/2)*AW150+(1-EXP(-LN(2)/2))/(LN(2)/2)*AQ151*AT151*VLOOKUP('Données projet'!$B$10,Paramètres!$A$1:$I$89,3,0)*0.475*44/12</f>
        <v>3.9896146963223361E-9</v>
      </c>
      <c r="AX151" s="21">
        <f t="shared" si="114"/>
        <v>23.399449177010236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7.5191666666666634</v>
      </c>
      <c r="BD151" s="12">
        <f>IF('Données projet'!$A$88&gt;35,BD150+BC151-BL150,IF(A151&lt;'Données projet'!$A$88,$BA$205^A151,IF(A151='Données projet'!$A$88,'Données projet'!$B$88,BD150+BC151-BL150)))</f>
        <v>349.0466666666664</v>
      </c>
      <c r="BE151" s="13">
        <f>BD151*VLOOKUP('Données projet'!$B$11,Paramètres!$A$1:$I$89,3,0)*VLOOKUP('Données projet'!$B$11,Paramètres!$A$1:$I$89,5,0)</f>
        <v>353.93331999999975</v>
      </c>
      <c r="BF151" s="13">
        <f t="shared" si="145"/>
        <v>82.371895151305182</v>
      </c>
      <c r="BG151" s="20">
        <f t="shared" si="115"/>
        <v>759.89824972185613</v>
      </c>
      <c r="BH151" s="59">
        <f t="shared" si="116"/>
        <v>1046.3547460473678</v>
      </c>
      <c r="BI151" s="59">
        <f ca="1">AVERAGE(OFFSET($BH$3,0,0,'Données projet'!$E$11+1,1))-AVERAGE(OFFSET($H$3,0,0,'Données projet'!$E$11+1,1))</f>
        <v>580.02848304986492</v>
      </c>
      <c r="BJ151" s="59">
        <f t="shared" si="146"/>
        <v>281.68891895586728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30.744570272611792</v>
      </c>
      <c r="BQ151" s="21">
        <f>EXP(-LN(2)/25)*BQ150+(1-EXP(-LN(2)/25))/(LN(2)/25)*Calculateur!BL151*Calculateur!BN151*VLOOKUP('Données projet'!$B$11,Paramètres!$A$1:$I$89,3,0)*0.475*44/12</f>
        <v>20.664718706664978</v>
      </c>
      <c r="BR151" s="21">
        <f>EXP(-LN(2)/2)*BR150+(1-EXP(-LN(2)/2))/(LN(2)/2)*BL151*BO151*VLOOKUP('Données projet'!$B$11,Paramètres!$A$1:$I$89,3,0)*0.475*44/12</f>
        <v>1.4765850166630405</v>
      </c>
      <c r="BS151" s="22">
        <f t="shared" si="117"/>
        <v>52.885873995939804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4.4337866711430253E-14</v>
      </c>
      <c r="CA151" s="13">
        <f t="shared" si="147"/>
        <v>7.3222115536967035E-13</v>
      </c>
      <c r="CB151" s="20">
        <f t="shared" si="118"/>
        <v>1.3525069634579169E-12</v>
      </c>
      <c r="CC151" s="59">
        <f t="shared" si="119"/>
        <v>286.45649632551306</v>
      </c>
      <c r="CD151" s="59">
        <f ca="1">AVERAGE(OFFSET($CC$3,0,0,'Données projet'!$E$12+1,1))-AVERAGE(OFFSET($H$3,0,0,'Données projet'!$E$12+1,1))</f>
        <v>308.85018589589453</v>
      </c>
      <c r="CE151" s="59">
        <f t="shared" si="148"/>
        <v>302.59481222418219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8.9946943504239165</v>
      </c>
      <c r="CL151" s="21">
        <f>EXP(-LN(2)/25)*CL150+(1-EXP(-LN(2)/25))/(LN(2)/25)*Calculateur!CG151*Calculateur!CI151*VLOOKUP('Données projet'!$B$12,Paramètres!$A$1:$I$89,3,0)*0.475*44/12</f>
        <v>4.7363811500937452</v>
      </c>
      <c r="CM151" s="21">
        <f>EXP(-LN(2)/2)*CM150+(1-EXP(-LN(2)/2))/(LN(2)/2)*CG151*CJ151*VLOOKUP('Données projet'!$B$12,Paramètres!$A$1:$I$89,3,0)*0.475*44/12</f>
        <v>7.8145594505173843E-11</v>
      </c>
      <c r="CN151" s="22">
        <f t="shared" si="120"/>
        <v>13.731075500595807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2.2737367544323206E-13</v>
      </c>
      <c r="CU151" s="17">
        <f>CT151*VLOOKUP('Données projet'!$B$13,Paramètres!$A$1:$I$89,3,0)*VLOOKUP('Données projet'!$B$13,Paramètres!$A$1:$I$89,5,0)</f>
        <v>1.5252226148732008E-13</v>
      </c>
      <c r="CV151" s="13">
        <f t="shared" si="149"/>
        <v>2.1814502464536512E-12</v>
      </c>
      <c r="CW151" s="20">
        <f t="shared" si="121"/>
        <v>4.0650021179971913E-12</v>
      </c>
      <c r="CX151" s="59">
        <f t="shared" si="122"/>
        <v>286.45649632551579</v>
      </c>
      <c r="CY151" s="59">
        <f ca="1">AVERAGE(OFFSET($CX$3,0,0,'Données projet'!$E$13+1,1))-AVERAGE(OFFSET($H$3,0,0,'Données projet'!$E$13+1,1))</f>
        <v>335.73816489539837</v>
      </c>
      <c r="CZ151" s="59">
        <f t="shared" si="150"/>
        <v>254.09787950201044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17.649403242491864</v>
      </c>
      <c r="DG151" s="21">
        <f>EXP(-LN(2)/25)*DG150+(1-EXP(-LN(2)/25))/(LN(2)/25)*Calculateur!DB151*Calculateur!DD151*VLOOKUP('Données projet'!$B$13,Paramètres!$A$1:$I$89,3,0)*0.475*44/12</f>
        <v>13.219917655705553</v>
      </c>
      <c r="DH151" s="21">
        <f>EXP(-LN(2)/2)*DH150+(1-EXP(-LN(2)/2))/(LN(2)/2)*DB151*DE151*VLOOKUP('Données projet'!$B$13,Paramètres!$A$1:$I$89,3,0)*0.475*44/12</f>
        <v>9.3375464589137485E-5</v>
      </c>
      <c r="DI151" s="22">
        <f t="shared" si="123"/>
        <v>30.869414273662006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2.5579538487363607E-13</v>
      </c>
      <c r="DP151" s="17">
        <f>DO151*VLOOKUP('Données projet'!$B$14,Paramètres!$A$1:$I$89,3,0)*VLOOKUP('Données projet'!$B$14,Paramètres!$A$1:$I$89,5,0)</f>
        <v>2.4740529624978082E-13</v>
      </c>
      <c r="DQ151" s="13">
        <f t="shared" si="151"/>
        <v>3.3447853361996459E-12</v>
      </c>
      <c r="DR151" s="20">
        <f t="shared" si="124"/>
        <v>6.2563986848494188E-12</v>
      </c>
      <c r="DS151" s="59">
        <f t="shared" si="125"/>
        <v>286.45649632551795</v>
      </c>
      <c r="DT151" s="59">
        <f ca="1">AVERAGE(OFFSET($DS$3,0,0,'Données projet'!$E$14+1,1))-AVERAGE(OFFSET($H$3,0,0,'Données projet'!$E$14+1,1))</f>
        <v>493.03862850474161</v>
      </c>
      <c r="DU151" s="59">
        <f t="shared" si="152"/>
        <v>312.51819065560528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84.547029067773636</v>
      </c>
      <c r="EB151" s="21">
        <f>EXP(-LN(2)/25)*EB150+(1-EXP(-LN(2)/25))/(LN(2)/25)*Calculateur!DW151*Calculateur!DY151*VLOOKUP('Données projet'!$B$14,Paramètres!$A$1:$I$89,3,0)*0.475*44/12</f>
        <v>15.277333975179149</v>
      </c>
      <c r="EC151" s="21">
        <f>EXP(-LN(2)/2)*EC150+(1-EXP(-LN(2)/2))/(LN(2)/2)*DW151*DZ151*VLOOKUP('Données projet'!$B$14,Paramètres!$A$1:$I$89,3,0)*0.475*44/12</f>
        <v>1.4216493544395048E-2</v>
      </c>
      <c r="ED151" s="22">
        <f t="shared" si="126"/>
        <v>99.838579536497178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2.5579538487363607E-13</v>
      </c>
      <c r="EK151" s="17">
        <f>EJ151*VLOOKUP('Données projet'!$B$15,Paramètres!$A$1:$I$89,3,0)*VLOOKUP('Données projet'!$B$15,Paramètres!$A$1:$I$89,5,0)</f>
        <v>2.7533815227798186E-13</v>
      </c>
      <c r="EL151" s="13">
        <f t="shared" si="153"/>
        <v>3.6763598146902537E-12</v>
      </c>
      <c r="EM151" s="20">
        <f t="shared" si="127"/>
        <v>6.88254062580301E-12</v>
      </c>
      <c r="EN151" s="59">
        <f t="shared" si="128"/>
        <v>286.45649632551857</v>
      </c>
      <c r="EO151" s="59">
        <f ca="1">AVERAGE(OFFSET($EN$3,0,0,'Données projet'!$E$15+1,1))-AVERAGE(OFFSET($H$3,0,0,'Données projet'!$E$15+1,1))</f>
        <v>539.72194201710272</v>
      </c>
      <c r="EP151" s="59">
        <f t="shared" si="154"/>
        <v>340.76505385159362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94.092661381877093</v>
      </c>
      <c r="EW151" s="21">
        <f>EXP(-LN(2)/25)*EW150+(1-EXP(-LN(2)/25))/(LN(2)/25)*Calculateur!ER151*Calculateur!ET151*VLOOKUP('Données projet'!$B$15,Paramètres!$A$1:$I$89,3,0)*0.475*44/12</f>
        <v>17.002194262699369</v>
      </c>
      <c r="EX151" s="21">
        <f>EXP(-LN(2)/2)*EX150+(1-EXP(-LN(2)/2))/(LN(2)/2)*ER151*EU151*VLOOKUP('Données projet'!$B$15,Paramètres!$A$1:$I$89,3,0)*0.475*44/12</f>
        <v>1.5821581525213822E-2</v>
      </c>
      <c r="EY151" s="22">
        <f t="shared" si="129"/>
        <v>111.11067722610167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>
        <f>FE151*VLOOKUP('Données projet'!$B$16,Paramètres!$A$1:$I$89,3,0)*VLOOKUP('Données projet'!$B$16,Paramètres!$A$1:$I$89,5,0)</f>
        <v>0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383.47860767209028</v>
      </c>
      <c r="FK151" s="59">
        <f t="shared" si="156"/>
        <v>370.49129421395628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13.785693267408082</v>
      </c>
      <c r="FR151" s="21">
        <f>EXP(-LN(2)/25)*FR150+(1-EXP(-LN(2)/25))/(LN(2)/25)*Calculateur!FM151*Calculateur!FO151*VLOOKUP('Données projet'!$B$16,Paramètres!$A$1:$I$89,3,0)*0.475*44/12</f>
        <v>7.9423666789681926</v>
      </c>
      <c r="FS151" s="21">
        <f>EXP(-LN(2)/2)*FS150+(1-EXP(-LN(2)/2))/(LN(2)/2)*FM151*FP151*VLOOKUP('Données projet'!$B$16,Paramètres!$A$1:$I$89,3,0)*0.475*44/12</f>
        <v>3.7046422180136156E-9</v>
      </c>
      <c r="FT151" s="22">
        <f t="shared" si="132"/>
        <v>21.728059950080915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7.5191666666666634</v>
      </c>
      <c r="FZ151" s="12">
        <f>IF('Données projet'!$A$244&gt;35,FZ150+FY151-GH150,IF(A151&lt;'Données projet'!$A$244,$FW$205^A151,IF(A151='Données projet'!$A$244,'Données projet'!$B$244,FZ150+FY151-GH150)))</f>
        <v>349.0466666666664</v>
      </c>
      <c r="GA151" s="17">
        <f>FZ151*VLOOKUP('Données projet'!$B$17,Paramètres!$A$1:$I$89,3,0)*VLOOKUP('Données projet'!$B$17,Paramètres!$A$1:$I$89,5,0)</f>
        <v>397.49434399999973</v>
      </c>
      <c r="GB151" s="13">
        <f t="shared" si="157"/>
        <v>91.268496290243391</v>
      </c>
      <c r="GC151" s="20">
        <f t="shared" si="133"/>
        <v>851.26194683884012</v>
      </c>
      <c r="GD151" s="59">
        <f t="shared" si="134"/>
        <v>1137.7184431643518</v>
      </c>
      <c r="GE151" s="59">
        <f ca="1">AVERAGE(OFFSET($GD$3,0,0,'Données projet'!$E$17+1,1))-AVERAGE(OFFSET($H$3,0,0,'Données projet'!$E$17+1,1))</f>
        <v>640.05156427113661</v>
      </c>
      <c r="GF151" s="59">
        <f t="shared" si="158"/>
        <v>308.77220155372902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34.528517383087085</v>
      </c>
      <c r="GM151" s="21">
        <f>EXP(-LN(2)/25)*GM150+(1-EXP(-LN(2)/25))/(LN(2)/25)*Calculateur!GH151*Calculateur!GJ151*VLOOKUP('Données projet'!$B$17,Paramètres!$A$1:$I$89,3,0)*0.475*44/12</f>
        <v>23.208068701331431</v>
      </c>
      <c r="GN151" s="21">
        <f>EXP(-LN(2)/2)*GN150+(1-EXP(-LN(2)/2))/(LN(2)/2)*GH151*GK151*VLOOKUP('Données projet'!$B$17,Paramètres!$A$1:$I$89,3,0)*0.475*44/12</f>
        <v>1.6583185571754149</v>
      </c>
      <c r="GO151" s="21">
        <f t="shared" si="135"/>
        <v>59.394904641593932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4.7884896048344674E-14</v>
      </c>
      <c r="P152" s="13">
        <f t="shared" si="141"/>
        <v>7.8374629847779921E-13</v>
      </c>
      <c r="Q152" s="20">
        <f t="shared" si="108"/>
        <v>1.4484243304663672E-12</v>
      </c>
      <c r="R152" s="59">
        <f t="shared" si="109"/>
        <v>286.5757940732945</v>
      </c>
      <c r="S152" s="59">
        <f ca="1">AVERAGE(OFFSET($R$3,0,0,'Données projet'!$E$9+1,1))-AVERAGE(OFFSET($H$3,0,0,'Données projet'!$E$9+1,1))</f>
        <v>456.35333554128226</v>
      </c>
      <c r="T152" s="59">
        <f t="shared" si="142"/>
        <v>296.4517290984877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52.208012320356644</v>
      </c>
      <c r="AA152" s="21">
        <f>EXP(-LN(2)/25)*AA151+(1-EXP(-LN(2)/25))/(LN(2)/25)*Calculateur!V152*Calculateur!X152*VLOOKUP('Données projet'!$B$9,Paramètres!$A$1:$I$89,3,0)*0.475*44/12</f>
        <v>8.4932383548685237</v>
      </c>
      <c r="AB152" s="21">
        <f>EXP(-LN(2)/2)*AB151+(1-EXP(-LN(2)/2))/(LN(2)/2)*V152*Y152*VLOOKUP('Données projet'!$B$9,Paramètres!$A$1:$I$89,3,0)*0.475*44/12</f>
        <v>2.5028563839947674E-6</v>
      </c>
      <c r="AC152" s="22">
        <f t="shared" si="111"/>
        <v>60.701253178081551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408.246209980743</v>
      </c>
      <c r="AO152" s="59">
        <f t="shared" si="144"/>
        <v>394.10236303013903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14.555007633251989</v>
      </c>
      <c r="AV152" s="21">
        <f>EXP(-LN(2)/25)*AV151+(1-EXP(-LN(2)/25))/(LN(2)/25)*Calculateur!AQ152*Calculateur!AS152*VLOOKUP('Données projet'!$B$10,Paramètres!$A$1:$I$89,3,0)*0.475*44/12</f>
        <v>8.3194270324963551</v>
      </c>
      <c r="AW152" s="21">
        <f>EXP(-LN(2)/2)*AW151+(1-EXP(-LN(2)/2))/(LN(2)/2)*AQ152*AT152*VLOOKUP('Données projet'!$B$10,Paramètres!$A$1:$I$89,3,0)*0.475*44/12</f>
        <v>2.8210836060910324E-9</v>
      </c>
      <c r="AX152" s="21">
        <f t="shared" si="114"/>
        <v>22.874434668569428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7.5191666666666634</v>
      </c>
      <c r="BD152" s="12">
        <f>IF('Données projet'!$A$88&gt;35,BD151+BC152-BL151,IF(A152&lt;'Données projet'!$A$88,$BA$205^A152,IF(A152='Données projet'!$A$88,'Données projet'!$B$88,BD151+BC152-BL151)))</f>
        <v>356.56583333333305</v>
      </c>
      <c r="BE152" s="13">
        <f>BD152*VLOOKUP('Données projet'!$B$11,Paramètres!$A$1:$I$89,3,0)*VLOOKUP('Données projet'!$B$11,Paramètres!$A$1:$I$89,5,0)</f>
        <v>361.5577549999997</v>
      </c>
      <c r="BF152" s="13">
        <f t="shared" si="145"/>
        <v>83.937854438215282</v>
      </c>
      <c r="BG152" s="20">
        <f t="shared" si="115"/>
        <v>775.904853104891</v>
      </c>
      <c r="BH152" s="59">
        <f t="shared" si="116"/>
        <v>1062.480647178184</v>
      </c>
      <c r="BI152" s="59">
        <f ca="1">AVERAGE(OFFSET($BH$3,0,0,'Données projet'!$E$11+1,1))-AVERAGE(OFFSET($H$3,0,0,'Données projet'!$E$11+1,1))</f>
        <v>580.02848304986492</v>
      </c>
      <c r="BJ152" s="59">
        <f t="shared" si="146"/>
        <v>281.68891895586728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30.141688001902104</v>
      </c>
      <c r="BQ152" s="21">
        <f>EXP(-LN(2)/25)*BQ151+(1-EXP(-LN(2)/25))/(LN(2)/25)*Calculateur!BL152*Calculateur!BN152*VLOOKUP('Données projet'!$B$11,Paramètres!$A$1:$I$89,3,0)*0.475*44/12</f>
        <v>20.099640886920898</v>
      </c>
      <c r="BR152" s="21">
        <f>EXP(-LN(2)/2)*BR151+(1-EXP(-LN(2)/2))/(LN(2)/2)*BL152*BO152*VLOOKUP('Données projet'!$B$11,Paramètres!$A$1:$I$89,3,0)*0.475*44/12</f>
        <v>1.0441032782808872</v>
      </c>
      <c r="BS152" s="22">
        <f t="shared" si="117"/>
        <v>51.285432167103892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4.4337866711430253E-14</v>
      </c>
      <c r="CA152" s="13">
        <f t="shared" si="147"/>
        <v>7.3222115536967035E-13</v>
      </c>
      <c r="CB152" s="20">
        <f t="shared" si="118"/>
        <v>1.3525069634579169E-12</v>
      </c>
      <c r="CC152" s="59">
        <f t="shared" si="119"/>
        <v>286.57579407329445</v>
      </c>
      <c r="CD152" s="59">
        <f ca="1">AVERAGE(OFFSET($CC$3,0,0,'Données projet'!$E$12+1,1))-AVERAGE(OFFSET($H$3,0,0,'Données projet'!$E$12+1,1))</f>
        <v>308.85018589589453</v>
      </c>
      <c r="CE152" s="59">
        <f t="shared" si="148"/>
        <v>302.59481222418219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8.8183138804339372</v>
      </c>
      <c r="CL152" s="21">
        <f>EXP(-LN(2)/25)*CL151+(1-EXP(-LN(2)/25))/(LN(2)/25)*Calculateur!CG152*Calculateur!CI152*VLOOKUP('Données projet'!$B$12,Paramètres!$A$1:$I$89,3,0)*0.475*44/12</f>
        <v>4.6068645584689722</v>
      </c>
      <c r="CM152" s="21">
        <f>EXP(-LN(2)/2)*CM151+(1-EXP(-LN(2)/2))/(LN(2)/2)*CG152*CJ152*VLOOKUP('Données projet'!$B$12,Paramètres!$A$1:$I$89,3,0)*0.475*44/12</f>
        <v>5.5257279794462632E-11</v>
      </c>
      <c r="CN152" s="22">
        <f t="shared" si="120"/>
        <v>13.425178438958167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2.2737367544323206E-13</v>
      </c>
      <c r="CU152" s="17">
        <f>CT152*VLOOKUP('Données projet'!$B$13,Paramètres!$A$1:$I$89,3,0)*VLOOKUP('Données projet'!$B$13,Paramètres!$A$1:$I$89,5,0)</f>
        <v>1.5252226148732008E-13</v>
      </c>
      <c r="CV152" s="13">
        <f t="shared" si="149"/>
        <v>2.1814502464536512E-12</v>
      </c>
      <c r="CW152" s="20">
        <f t="shared" si="121"/>
        <v>4.0650021179971913E-12</v>
      </c>
      <c r="CX152" s="59">
        <f t="shared" si="122"/>
        <v>286.57579407329717</v>
      </c>
      <c r="CY152" s="59">
        <f ca="1">AVERAGE(OFFSET($CX$3,0,0,'Données projet'!$E$13+1,1))-AVERAGE(OFFSET($H$3,0,0,'Données projet'!$E$13+1,1))</f>
        <v>335.73816489539837</v>
      </c>
      <c r="CZ152" s="59">
        <f t="shared" si="150"/>
        <v>254.09787950201044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17.303309209979613</v>
      </c>
      <c r="DG152" s="21">
        <f>EXP(-LN(2)/25)*DG151+(1-EXP(-LN(2)/25))/(LN(2)/25)*Calculateur!DB152*Calculateur!DD152*VLOOKUP('Données projet'!$B$13,Paramètres!$A$1:$I$89,3,0)*0.475*44/12</f>
        <v>12.85841831220503</v>
      </c>
      <c r="DH152" s="21">
        <f>EXP(-LN(2)/2)*DH151+(1-EXP(-LN(2)/2))/(LN(2)/2)*DB152*DE152*VLOOKUP('Données projet'!$B$13,Paramètres!$A$1:$I$89,3,0)*0.475*44/12</f>
        <v>6.6026424207423455E-5</v>
      </c>
      <c r="DI152" s="22">
        <f t="shared" si="123"/>
        <v>30.161793548608848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2.5579538487363607E-13</v>
      </c>
      <c r="DP152" s="17">
        <f>DO152*VLOOKUP('Données projet'!$B$14,Paramètres!$A$1:$I$89,3,0)*VLOOKUP('Données projet'!$B$14,Paramètres!$A$1:$I$89,5,0)</f>
        <v>2.4740529624978082E-13</v>
      </c>
      <c r="DQ152" s="13">
        <f t="shared" si="151"/>
        <v>3.3447853361996459E-12</v>
      </c>
      <c r="DR152" s="20">
        <f t="shared" si="124"/>
        <v>6.2563986848494188E-12</v>
      </c>
      <c r="DS152" s="59">
        <f t="shared" si="125"/>
        <v>286.57579407329933</v>
      </c>
      <c r="DT152" s="59">
        <f ca="1">AVERAGE(OFFSET($DS$3,0,0,'Données projet'!$E$14+1,1))-AVERAGE(OFFSET($H$3,0,0,'Données projet'!$E$14+1,1))</f>
        <v>493.03862850474161</v>
      </c>
      <c r="DU152" s="59">
        <f t="shared" si="152"/>
        <v>312.51819065560528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82.889113396350353</v>
      </c>
      <c r="EB152" s="21">
        <f>EXP(-LN(2)/25)*EB151+(1-EXP(-LN(2)/25))/(LN(2)/25)*Calculateur!DW152*Calculateur!DY152*VLOOKUP('Données projet'!$B$14,Paramètres!$A$1:$I$89,3,0)*0.475*44/12</f>
        <v>14.859574474227799</v>
      </c>
      <c r="EC152" s="21">
        <f>EXP(-LN(2)/2)*EC151+(1-EXP(-LN(2)/2))/(LN(2)/2)*DW152*DZ152*VLOOKUP('Données projet'!$B$14,Paramètres!$A$1:$I$89,3,0)*0.475*44/12</f>
        <v>1.0052578989936516E-2</v>
      </c>
      <c r="ED152" s="22">
        <f t="shared" si="126"/>
        <v>97.758740449568094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2.5579538487363607E-13</v>
      </c>
      <c r="EK152" s="17">
        <f>EJ152*VLOOKUP('Données projet'!$B$15,Paramètres!$A$1:$I$89,3,0)*VLOOKUP('Données projet'!$B$15,Paramètres!$A$1:$I$89,5,0)</f>
        <v>2.7533815227798186E-13</v>
      </c>
      <c r="EL152" s="13">
        <f t="shared" si="153"/>
        <v>3.6763598146902537E-12</v>
      </c>
      <c r="EM152" s="20">
        <f t="shared" si="127"/>
        <v>6.88254062580301E-12</v>
      </c>
      <c r="EN152" s="59">
        <f t="shared" si="128"/>
        <v>286.57579407329996</v>
      </c>
      <c r="EO152" s="59">
        <f ca="1">AVERAGE(OFFSET($EN$3,0,0,'Données projet'!$E$15+1,1))-AVERAGE(OFFSET($H$3,0,0,'Données projet'!$E$15+1,1))</f>
        <v>539.72194201710272</v>
      </c>
      <c r="EP152" s="59">
        <f t="shared" si="154"/>
        <v>340.76505385159362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92.247561683035045</v>
      </c>
      <c r="EW152" s="21">
        <f>EXP(-LN(2)/25)*EW151+(1-EXP(-LN(2)/25))/(LN(2)/25)*Calculateur!ER152*Calculateur!ET152*VLOOKUP('Données projet'!$B$15,Paramètres!$A$1:$I$89,3,0)*0.475*44/12</f>
        <v>16.537268366479317</v>
      </c>
      <c r="EX152" s="21">
        <f>EXP(-LN(2)/2)*EX151+(1-EXP(-LN(2)/2))/(LN(2)/2)*ER152*EU152*VLOOKUP('Données projet'!$B$15,Paramètres!$A$1:$I$89,3,0)*0.475*44/12</f>
        <v>1.1187547585574492E-2</v>
      </c>
      <c r="EY152" s="22">
        <f t="shared" si="129"/>
        <v>108.79601759709995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>
        <f>FE152*VLOOKUP('Données projet'!$B$16,Paramètres!$A$1:$I$89,3,0)*VLOOKUP('Données projet'!$B$16,Paramètres!$A$1:$I$89,5,0)</f>
        <v>0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383.47860767209028</v>
      </c>
      <c r="FK152" s="59">
        <f t="shared" si="156"/>
        <v>370.49129421395628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13.515364230876838</v>
      </c>
      <c r="FR152" s="21">
        <f>EXP(-LN(2)/25)*FR151+(1-EXP(-LN(2)/25))/(LN(2)/25)*Calculateur!FM152*Calculateur!FO152*VLOOKUP('Données projet'!$B$16,Paramètres!$A$1:$I$89,3,0)*0.475*44/12</f>
        <v>7.7251822444608962</v>
      </c>
      <c r="FS152" s="21">
        <f>EXP(-LN(2)/2)*FS151+(1-EXP(-LN(2)/2))/(LN(2)/2)*FM152*FP152*VLOOKUP('Données projet'!$B$16,Paramètres!$A$1:$I$89,3,0)*0.475*44/12</f>
        <v>2.6195776342274002E-9</v>
      </c>
      <c r="FT152" s="22">
        <f t="shared" si="132"/>
        <v>21.240546477957313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7.5191666666666634</v>
      </c>
      <c r="FZ152" s="12">
        <f>IF('Données projet'!$A$244&gt;35,FZ151+FY152-GH151,IF(A152&lt;'Données projet'!$A$244,$FW$205^A152,IF(A152='Données projet'!$A$244,'Données projet'!$B$244,FZ151+FY152-GH151)))</f>
        <v>356.56583333333305</v>
      </c>
      <c r="GA152" s="17">
        <f>FZ152*VLOOKUP('Données projet'!$B$17,Paramètres!$A$1:$I$89,3,0)*VLOOKUP('Données projet'!$B$17,Paramètres!$A$1:$I$89,5,0)</f>
        <v>406.0571709999997</v>
      </c>
      <c r="GB152" s="13">
        <f t="shared" si="157"/>
        <v>93.003587477662336</v>
      </c>
      <c r="GC152" s="20">
        <f t="shared" si="133"/>
        <v>869.19748768192801</v>
      </c>
      <c r="GD152" s="59">
        <f t="shared" si="134"/>
        <v>1155.773281755221</v>
      </c>
      <c r="GE152" s="59">
        <f ca="1">AVERAGE(OFFSET($GD$3,0,0,'Données projet'!$E$17+1,1))-AVERAGE(OFFSET($H$3,0,0,'Données projet'!$E$17+1,1))</f>
        <v>640.05156427113661</v>
      </c>
      <c r="GF152" s="59">
        <f t="shared" si="158"/>
        <v>308.77220155372902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33.851434217520818</v>
      </c>
      <c r="GM152" s="21">
        <f>EXP(-LN(2)/25)*GM151+(1-EXP(-LN(2)/25))/(LN(2)/25)*Calculateur!GH152*Calculateur!GJ152*VLOOKUP('Données projet'!$B$17,Paramètres!$A$1:$I$89,3,0)*0.475*44/12</f>
        <v>22.573442842234233</v>
      </c>
      <c r="GN152" s="21">
        <f>EXP(-LN(2)/2)*GN151+(1-EXP(-LN(2)/2))/(LN(2)/2)*GH152*GK152*VLOOKUP('Données projet'!$B$17,Paramètres!$A$1:$I$89,3,0)*0.475*44/12</f>
        <v>1.1726082971462273</v>
      </c>
      <c r="GO152" s="21">
        <f t="shared" si="135"/>
        <v>57.597485356901274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4.7884896048344674E-14</v>
      </c>
      <c r="P153" s="13">
        <f t="shared" si="141"/>
        <v>7.8374629847779921E-13</v>
      </c>
      <c r="Q153" s="20">
        <f t="shared" si="108"/>
        <v>1.4484243304663672E-12</v>
      </c>
      <c r="R153" s="59">
        <f t="shared" si="109"/>
        <v>286.69302227186176</v>
      </c>
      <c r="S153" s="59">
        <f ca="1">AVERAGE(OFFSET($R$3,0,0,'Données projet'!$E$9+1,1))-AVERAGE(OFFSET($H$3,0,0,'Données projet'!$E$9+1,1))</f>
        <v>456.35333554128226</v>
      </c>
      <c r="T153" s="59">
        <f t="shared" si="142"/>
        <v>296.4517290984877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51.184245042497658</v>
      </c>
      <c r="AA153" s="21">
        <f>EXP(-LN(2)/25)*AA152+(1-EXP(-LN(2)/25))/(LN(2)/25)*Calculateur!V153*Calculateur!X153*VLOOKUP('Données projet'!$B$9,Paramètres!$A$1:$I$89,3,0)*0.475*44/12</f>
        <v>8.2609903054146496</v>
      </c>
      <c r="AB153" s="21">
        <f>EXP(-LN(2)/2)*AB152+(1-EXP(-LN(2)/2))/(LN(2)/2)*V153*Y153*VLOOKUP('Données projet'!$B$9,Paramètres!$A$1:$I$89,3,0)*0.475*44/12</f>
        <v>1.7697867214587416E-6</v>
      </c>
      <c r="AC153" s="22">
        <f t="shared" si="111"/>
        <v>59.44523711769903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408.246209980743</v>
      </c>
      <c r="AO153" s="59">
        <f t="shared" si="144"/>
        <v>394.10236303013903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14.269592811241976</v>
      </c>
      <c r="AV153" s="21">
        <f>EXP(-LN(2)/25)*AV152+(1-EXP(-LN(2)/25))/(LN(2)/25)*Calculateur!AQ153*Calculateur!AS153*VLOOKUP('Données projet'!$B$10,Paramètres!$A$1:$I$89,3,0)*0.475*44/12</f>
        <v>8.0919318627930892</v>
      </c>
      <c r="AW153" s="21">
        <f>EXP(-LN(2)/2)*AW152+(1-EXP(-LN(2)/2))/(LN(2)/2)*AQ153*AT153*VLOOKUP('Données projet'!$B$10,Paramètres!$A$1:$I$89,3,0)*0.475*44/12</f>
        <v>1.994807348161168E-9</v>
      </c>
      <c r="AX153" s="21">
        <f t="shared" si="114"/>
        <v>22.361524676029873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7.5191666666666634</v>
      </c>
      <c r="BD153" s="12">
        <f>IF('Données projet'!$A$88&gt;35,BD152+BC153-BL152,IF(A153&lt;'Données projet'!$A$88,$BA$205^A153,IF(A153='Données projet'!$A$88,'Données projet'!$B$88,BD152+BC153-BL152)))</f>
        <v>364.0849999999997</v>
      </c>
      <c r="BE153" s="13">
        <f>BD153*VLOOKUP('Données projet'!$B$11,Paramètres!$A$1:$I$89,3,0)*VLOOKUP('Données projet'!$B$11,Paramètres!$A$1:$I$89,5,0)</f>
        <v>369.18218999999971</v>
      </c>
      <c r="BF153" s="13">
        <f t="shared" si="145"/>
        <v>85.499974314579831</v>
      </c>
      <c r="BG153" s="20">
        <f t="shared" si="115"/>
        <v>791.90476951455923</v>
      </c>
      <c r="BH153" s="59">
        <f t="shared" si="116"/>
        <v>1078.5977917864195</v>
      </c>
      <c r="BI153" s="59">
        <f ca="1">AVERAGE(OFFSET($BH$3,0,0,'Données projet'!$E$11+1,1))-AVERAGE(OFFSET($H$3,0,0,'Données projet'!$E$11+1,1))</f>
        <v>580.02848304986492</v>
      </c>
      <c r="BJ153" s="59">
        <f t="shared" si="146"/>
        <v>281.68891895586728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29.550627884799155</v>
      </c>
      <c r="BQ153" s="21">
        <f>EXP(-LN(2)/25)*BQ152+(1-EXP(-LN(2)/25))/(LN(2)/25)*Calculateur!BL153*Calculateur!BN153*VLOOKUP('Données projet'!$B$11,Paramètres!$A$1:$I$89,3,0)*0.475*44/12</f>
        <v>19.550015149873872</v>
      </c>
      <c r="BR153" s="21">
        <f>EXP(-LN(2)/2)*BR152+(1-EXP(-LN(2)/2))/(LN(2)/2)*BL153*BO153*VLOOKUP('Données projet'!$B$11,Paramètres!$A$1:$I$89,3,0)*0.475*44/12</f>
        <v>0.73829250833152027</v>
      </c>
      <c r="BS153" s="22">
        <f t="shared" si="117"/>
        <v>49.838935543004546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4.4337866711430253E-14</v>
      </c>
      <c r="CA153" s="13">
        <f t="shared" si="147"/>
        <v>7.3222115536967035E-13</v>
      </c>
      <c r="CB153" s="20">
        <f t="shared" si="118"/>
        <v>1.3525069634579169E-12</v>
      </c>
      <c r="CC153" s="59">
        <f t="shared" si="119"/>
        <v>286.69302227186171</v>
      </c>
      <c r="CD153" s="59">
        <f ca="1">AVERAGE(OFFSET($CC$3,0,0,'Données projet'!$E$12+1,1))-AVERAGE(OFFSET($H$3,0,0,'Données projet'!$E$12+1,1))</f>
        <v>308.85018589589453</v>
      </c>
      <c r="CE153" s="59">
        <f t="shared" si="148"/>
        <v>302.59481222418219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8.6453921238789988</v>
      </c>
      <c r="CL153" s="21">
        <f>EXP(-LN(2)/25)*CL152+(1-EXP(-LN(2)/25))/(LN(2)/25)*Calculateur!CG153*Calculateur!CI153*VLOOKUP('Données projet'!$B$12,Paramètres!$A$1:$I$89,3,0)*0.475*44/12</f>
        <v>4.4808896048531599</v>
      </c>
      <c r="CM153" s="21">
        <f>EXP(-LN(2)/2)*CM152+(1-EXP(-LN(2)/2))/(LN(2)/2)*CG153*CJ153*VLOOKUP('Données projet'!$B$12,Paramètres!$A$1:$I$89,3,0)*0.475*44/12</f>
        <v>3.9072797252586921E-11</v>
      </c>
      <c r="CN153" s="22">
        <f t="shared" si="120"/>
        <v>13.126281728771232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2.2737367544323206E-13</v>
      </c>
      <c r="CU153" s="17">
        <f>CT153*VLOOKUP('Données projet'!$B$13,Paramètres!$A$1:$I$89,3,0)*VLOOKUP('Données projet'!$B$13,Paramètres!$A$1:$I$89,5,0)</f>
        <v>1.5252226148732008E-13</v>
      </c>
      <c r="CV153" s="13">
        <f t="shared" si="149"/>
        <v>2.1814502464536512E-12</v>
      </c>
      <c r="CW153" s="20">
        <f t="shared" si="121"/>
        <v>4.0650021179971913E-12</v>
      </c>
      <c r="CX153" s="59">
        <f t="shared" si="122"/>
        <v>286.69302227186444</v>
      </c>
      <c r="CY153" s="59">
        <f ca="1">AVERAGE(OFFSET($CX$3,0,0,'Données projet'!$E$13+1,1))-AVERAGE(OFFSET($H$3,0,0,'Données projet'!$E$13+1,1))</f>
        <v>335.73816489539837</v>
      </c>
      <c r="CZ153" s="59">
        <f t="shared" si="150"/>
        <v>254.09787950201044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16.964001870348412</v>
      </c>
      <c r="DG153" s="21">
        <f>EXP(-LN(2)/25)*DG152+(1-EXP(-LN(2)/25))/(LN(2)/25)*Calculateur!DB153*Calculateur!DD153*VLOOKUP('Données projet'!$B$13,Paramètres!$A$1:$I$89,3,0)*0.475*44/12</f>
        <v>12.506804187262953</v>
      </c>
      <c r="DH153" s="21">
        <f>EXP(-LN(2)/2)*DH152+(1-EXP(-LN(2)/2))/(LN(2)/2)*DB153*DE153*VLOOKUP('Données projet'!$B$13,Paramètres!$A$1:$I$89,3,0)*0.475*44/12</f>
        <v>4.6687732294568743E-5</v>
      </c>
      <c r="DI153" s="22">
        <f t="shared" si="123"/>
        <v>29.470852745343656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2.5579538487363607E-13</v>
      </c>
      <c r="DP153" s="17">
        <f>DO153*VLOOKUP('Données projet'!$B$14,Paramètres!$A$1:$I$89,3,0)*VLOOKUP('Données projet'!$B$14,Paramètres!$A$1:$I$89,5,0)</f>
        <v>2.4740529624978082E-13</v>
      </c>
      <c r="DQ153" s="13">
        <f t="shared" si="151"/>
        <v>3.3447853361996459E-12</v>
      </c>
      <c r="DR153" s="20">
        <f t="shared" si="124"/>
        <v>6.2563986848494188E-12</v>
      </c>
      <c r="DS153" s="59">
        <f t="shared" si="125"/>
        <v>286.6930222718666</v>
      </c>
      <c r="DT153" s="59">
        <f ca="1">AVERAGE(OFFSET($DS$3,0,0,'Données projet'!$E$14+1,1))-AVERAGE(OFFSET($H$3,0,0,'Données projet'!$E$14+1,1))</f>
        <v>493.03862850474161</v>
      </c>
      <c r="DU153" s="59">
        <f t="shared" si="152"/>
        <v>312.51819065560528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81.263708440014966</v>
      </c>
      <c r="EB153" s="21">
        <f>EXP(-LN(2)/25)*EB152+(1-EXP(-LN(2)/25))/(LN(2)/25)*Calculateur!DW153*Calculateur!DY153*VLOOKUP('Données projet'!$B$14,Paramètres!$A$1:$I$89,3,0)*0.475*44/12</f>
        <v>14.45323862879898</v>
      </c>
      <c r="EC153" s="21">
        <f>EXP(-LN(2)/2)*EC152+(1-EXP(-LN(2)/2))/(LN(2)/2)*DW153*DZ153*VLOOKUP('Données projet'!$B$14,Paramètres!$A$1:$I$89,3,0)*0.475*44/12</f>
        <v>7.108246772197525E-3</v>
      </c>
      <c r="ED153" s="22">
        <f t="shared" si="126"/>
        <v>95.724055315586142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2.5579538487363607E-13</v>
      </c>
      <c r="EK153" s="17">
        <f>EJ153*VLOOKUP('Données projet'!$B$15,Paramètres!$A$1:$I$89,3,0)*VLOOKUP('Données projet'!$B$15,Paramètres!$A$1:$I$89,5,0)</f>
        <v>2.7533815227798186E-13</v>
      </c>
      <c r="EL153" s="13">
        <f t="shared" si="153"/>
        <v>3.6763598146902537E-12</v>
      </c>
      <c r="EM153" s="20">
        <f t="shared" si="127"/>
        <v>6.88254062580301E-12</v>
      </c>
      <c r="EN153" s="59">
        <f t="shared" si="128"/>
        <v>286.69302227186722</v>
      </c>
      <c r="EO153" s="59">
        <f ca="1">AVERAGE(OFFSET($EN$3,0,0,'Données projet'!$E$15+1,1))-AVERAGE(OFFSET($H$3,0,0,'Données projet'!$E$15+1,1))</f>
        <v>539.72194201710272</v>
      </c>
      <c r="EP153" s="59">
        <f t="shared" si="154"/>
        <v>340.76505385159362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90.438643263887599</v>
      </c>
      <c r="EW153" s="21">
        <f>EXP(-LN(2)/25)*EW152+(1-EXP(-LN(2)/25))/(LN(2)/25)*Calculateur!ER153*Calculateur!ET153*VLOOKUP('Données projet'!$B$15,Paramètres!$A$1:$I$89,3,0)*0.475*44/12</f>
        <v>16.085055893340794</v>
      </c>
      <c r="EX153" s="21">
        <f>EXP(-LN(2)/2)*EX152+(1-EXP(-LN(2)/2))/(LN(2)/2)*ER153*EU153*VLOOKUP('Données projet'!$B$15,Paramètres!$A$1:$I$89,3,0)*0.475*44/12</f>
        <v>7.9107907626069108E-3</v>
      </c>
      <c r="EY153" s="22">
        <f t="shared" si="129"/>
        <v>106.531609947991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>
        <f>FE153*VLOOKUP('Données projet'!$B$16,Paramètres!$A$1:$I$89,3,0)*VLOOKUP('Données projet'!$B$16,Paramètres!$A$1:$I$89,5,0)</f>
        <v>0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383.47860767209028</v>
      </c>
      <c r="FK153" s="59">
        <f t="shared" si="156"/>
        <v>370.49129421395628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13.25033618186754</v>
      </c>
      <c r="FR153" s="21">
        <f>EXP(-LN(2)/25)*FR152+(1-EXP(-LN(2)/25))/(LN(2)/25)*Calculateur!FM153*Calculateur!FO153*VLOOKUP('Données projet'!$B$16,Paramètres!$A$1:$I$89,3,0)*0.475*44/12</f>
        <v>7.513936729736435</v>
      </c>
      <c r="FS153" s="21">
        <f>EXP(-LN(2)/2)*FS152+(1-EXP(-LN(2)/2))/(LN(2)/2)*FM153*FP153*VLOOKUP('Données projet'!$B$16,Paramètres!$A$1:$I$89,3,0)*0.475*44/12</f>
        <v>1.8523211090068082E-9</v>
      </c>
      <c r="FT153" s="22">
        <f t="shared" si="132"/>
        <v>20.764272913456296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7.5191666666666634</v>
      </c>
      <c r="FZ153" s="12">
        <f>IF('Données projet'!$A$244&gt;35,FZ152+FY153-GH152,IF(A153&lt;'Données projet'!$A$244,$FW$205^A153,IF(A153='Données projet'!$A$244,'Données projet'!$B$244,FZ152+FY153-GH152)))</f>
        <v>364.0849999999997</v>
      </c>
      <c r="GA153" s="17">
        <f>FZ153*VLOOKUP('Données projet'!$B$17,Paramètres!$A$1:$I$89,3,0)*VLOOKUP('Données projet'!$B$17,Paramètres!$A$1:$I$89,5,0)</f>
        <v>414.61999799999973</v>
      </c>
      <c r="GB153" s="13">
        <f t="shared" si="157"/>
        <v>94.734424577852963</v>
      </c>
      <c r="GC153" s="20">
        <f t="shared" si="133"/>
        <v>887.12561932309336</v>
      </c>
      <c r="GD153" s="59">
        <f t="shared" si="134"/>
        <v>1173.8186415949538</v>
      </c>
      <c r="GE153" s="59">
        <f ca="1">AVERAGE(OFFSET($GD$3,0,0,'Données projet'!$E$17+1,1))-AVERAGE(OFFSET($H$3,0,0,'Données projet'!$E$17+1,1))</f>
        <v>640.05156427113661</v>
      </c>
      <c r="GF153" s="59">
        <f t="shared" si="158"/>
        <v>308.77220155372902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33.18762823985135</v>
      </c>
      <c r="GM153" s="21">
        <f>EXP(-LN(2)/25)*GM152+(1-EXP(-LN(2)/25))/(LN(2)/25)*Calculateur!GH153*Calculateur!GJ153*VLOOKUP('Données projet'!$B$17,Paramètres!$A$1:$I$89,3,0)*0.475*44/12</f>
        <v>21.956170860627569</v>
      </c>
      <c r="GN153" s="21">
        <f>EXP(-LN(2)/2)*GN152+(1-EXP(-LN(2)/2))/(LN(2)/2)*GH153*GK153*VLOOKUP('Données projet'!$B$17,Paramètres!$A$1:$I$89,3,0)*0.475*44/12</f>
        <v>0.82915927858770744</v>
      </c>
      <c r="GO153" s="21">
        <f t="shared" si="135"/>
        <v>55.972958379066625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4.7884896048344674E-14</v>
      </c>
      <c r="P154" s="13">
        <f t="shared" si="141"/>
        <v>7.8374629847779921E-13</v>
      </c>
      <c r="Q154" s="20">
        <f t="shared" ref="Q154:Q203" si="162">(O154+P154)*0.475*44/12</f>
        <v>1.4484243304663672E-12</v>
      </c>
      <c r="R154" s="59">
        <f t="shared" si="109"/>
        <v>286.80821682326678</v>
      </c>
      <c r="S154" s="59">
        <f ca="1">AVERAGE(OFFSET($R$3,0,0,'Données projet'!$E$9+1,1))-AVERAGE(OFFSET($H$3,0,0,'Données projet'!$E$9+1,1))</f>
        <v>456.35333554128226</v>
      </c>
      <c r="T154" s="59">
        <f t="shared" si="142"/>
        <v>296.4517290984877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50.180553216521105</v>
      </c>
      <c r="AA154" s="21">
        <f>EXP(-LN(2)/25)*AA153+(1-EXP(-LN(2)/25))/(LN(2)/25)*Calculateur!V154*Calculateur!X154*VLOOKUP('Données projet'!$B$9,Paramètres!$A$1:$I$89,3,0)*0.475*44/12</f>
        <v>8.0350930910864875</v>
      </c>
      <c r="AB154" s="21">
        <f>EXP(-LN(2)/2)*AB153+(1-EXP(-LN(2)/2))/(LN(2)/2)*V154*Y154*VLOOKUP('Données projet'!$B$9,Paramètres!$A$1:$I$89,3,0)*0.475*44/12</f>
        <v>1.2514281919973837E-6</v>
      </c>
      <c r="AC154" s="22">
        <f t="shared" ref="AC154:AC203" si="163">SUM(Z154:AB154)</f>
        <v>58.215647559035787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408.246209980743</v>
      </c>
      <c r="AO154" s="59">
        <f t="shared" si="144"/>
        <v>394.10236303013903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13.989774799805728</v>
      </c>
      <c r="AV154" s="21">
        <f>EXP(-LN(2)/25)*AV153+(1-EXP(-LN(2)/25))/(LN(2)/25)*Calculateur!AQ154*Calculateur!AS154*VLOOKUP('Données projet'!$B$10,Paramètres!$A$1:$I$89,3,0)*0.475*44/12</f>
        <v>7.8706575604688096</v>
      </c>
      <c r="AW154" s="21">
        <f>EXP(-LN(2)/2)*AW153+(1-EXP(-LN(2)/2))/(LN(2)/2)*AQ154*AT154*VLOOKUP('Données projet'!$B$10,Paramètres!$A$1:$I$89,3,0)*0.475*44/12</f>
        <v>1.4105418030455162E-9</v>
      </c>
      <c r="AX154" s="21">
        <f t="shared" ref="AX154:AX203" si="166">SUM(AU154:AW154)</f>
        <v>21.860432361685078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7.5191666666666634</v>
      </c>
      <c r="BD154" s="12">
        <f>IF('Données projet'!$A$88&gt;35,BD153+BC154-BL153,IF(A154&lt;'Données projet'!$A$88,$BA$205^A154,IF(A154='Données projet'!$A$88,'Données projet'!$B$88,BD153+BC154-BL153)))</f>
        <v>371.60416666666634</v>
      </c>
      <c r="BE154" s="13">
        <f>BD154*VLOOKUP('Données projet'!$B$11,Paramètres!$A$1:$I$89,3,0)*VLOOKUP('Données projet'!$B$11,Paramètres!$A$1:$I$89,5,0)</f>
        <v>376.80662499999971</v>
      </c>
      <c r="BF154" s="13">
        <f t="shared" ref="BF154:BF203" si="167">EXP(-1.0587+0.8836*LN(BE154)+0.284)</f>
        <v>87.058343208792692</v>
      </c>
      <c r="BG154" s="20">
        <f t="shared" ref="BG154:BG203" si="168">(BE154+BF154)*0.475*44/12</f>
        <v>807.89815296364668</v>
      </c>
      <c r="BH154" s="59">
        <f t="shared" si="116"/>
        <v>1094.7063697869121</v>
      </c>
      <c r="BI154" s="59">
        <f ca="1">AVERAGE(OFFSET($BH$3,0,0,'Données projet'!$E$11+1,1))-AVERAGE(OFFSET($H$3,0,0,'Données projet'!$E$11+1,1))</f>
        <v>580.02848304986492</v>
      </c>
      <c r="BJ154" s="59">
        <f t="shared" si="146"/>
        <v>281.68891895586728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28.97115809608152</v>
      </c>
      <c r="BQ154" s="21">
        <f>EXP(-LN(2)/25)*BQ153+(1-EXP(-LN(2)/25))/(LN(2)/25)*Calculateur!BL154*Calculateur!BN154*VLOOKUP('Données projet'!$B$11,Paramètres!$A$1:$I$89,3,0)*0.475*44/12</f>
        <v>19.015418957509954</v>
      </c>
      <c r="BR154" s="21">
        <f>EXP(-LN(2)/2)*BR153+(1-EXP(-LN(2)/2))/(LN(2)/2)*BL154*BO154*VLOOKUP('Données projet'!$B$11,Paramètres!$A$1:$I$89,3,0)*0.475*44/12</f>
        <v>0.52205163914044361</v>
      </c>
      <c r="BS154" s="22">
        <f t="shared" ref="BS154:BS203" si="169">SUM(BP154:BR154)</f>
        <v>48.508628692731918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4.4337866711430253E-14</v>
      </c>
      <c r="CA154" s="13">
        <f t="shared" ref="CA154:CA203" si="170">EXP(-1.0587+0.8836*LN(BZ154)+0.284)</f>
        <v>7.3222115536967035E-13</v>
      </c>
      <c r="CB154" s="20">
        <f t="shared" ref="CB154:CB203" si="171">(BZ154+CA154)*0.475*44/12</f>
        <v>1.3525069634579169E-12</v>
      </c>
      <c r="CC154" s="59">
        <f t="shared" si="119"/>
        <v>286.80821682326672</v>
      </c>
      <c r="CD154" s="59">
        <f ca="1">AVERAGE(OFFSET($CC$3,0,0,'Données projet'!$E$12+1,1))-AVERAGE(OFFSET($H$3,0,0,'Données projet'!$E$12+1,1))</f>
        <v>308.85018589589453</v>
      </c>
      <c r="CE154" s="59">
        <f t="shared" si="148"/>
        <v>302.59481222418219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8.475861257498245</v>
      </c>
      <c r="CL154" s="21">
        <f>EXP(-LN(2)/25)*CL153+(1-EXP(-LN(2)/25))/(LN(2)/25)*Calculateur!CG154*Calculateur!CI154*VLOOKUP('Données projet'!$B$12,Paramètres!$A$1:$I$89,3,0)*0.475*44/12</f>
        <v>4.3583594429687071</v>
      </c>
      <c r="CM154" s="21">
        <f>EXP(-LN(2)/2)*CM153+(1-EXP(-LN(2)/2))/(LN(2)/2)*CG154*CJ154*VLOOKUP('Données projet'!$B$12,Paramètres!$A$1:$I$89,3,0)*0.475*44/12</f>
        <v>2.7628639897231316E-11</v>
      </c>
      <c r="CN154" s="22">
        <f t="shared" ref="CN154:CN203" si="172">SUM(CK154:CM154)</f>
        <v>12.834220700494582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2.2737367544323206E-13</v>
      </c>
      <c r="CU154" s="17">
        <f>CT154*VLOOKUP('Données projet'!$B$13,Paramètres!$A$1:$I$89,3,0)*VLOOKUP('Données projet'!$B$13,Paramètres!$A$1:$I$89,5,0)</f>
        <v>1.5252226148732008E-13</v>
      </c>
      <c r="CV154" s="13">
        <f t="shared" ref="CV154:CV203" si="173">EXP(-1.0587+0.8836*LN(CU154)+0.284)</f>
        <v>2.1814502464536512E-12</v>
      </c>
      <c r="CW154" s="20">
        <f t="shared" ref="CW154:CW203" si="174">(CU154+CV154)*0.475*44/12</f>
        <v>4.0650021179971913E-12</v>
      </c>
      <c r="CX154" s="59">
        <f t="shared" si="122"/>
        <v>286.80821682326945</v>
      </c>
      <c r="CY154" s="59">
        <f ca="1">AVERAGE(OFFSET($CX$3,0,0,'Données projet'!$E$13+1,1))-AVERAGE(OFFSET($H$3,0,0,'Données projet'!$E$13+1,1))</f>
        <v>335.73816489539837</v>
      </c>
      <c r="CZ154" s="59">
        <f t="shared" si="150"/>
        <v>254.09787950201044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16.631348140690339</v>
      </c>
      <c r="DG154" s="21">
        <f>EXP(-LN(2)/25)*DG153+(1-EXP(-LN(2)/25))/(LN(2)/25)*Calculateur!DB154*Calculateur!DD154*VLOOKUP('Données projet'!$B$13,Paramètres!$A$1:$I$89,3,0)*0.475*44/12</f>
        <v>12.164804969058</v>
      </c>
      <c r="DH154" s="21">
        <f>EXP(-LN(2)/2)*DH153+(1-EXP(-LN(2)/2))/(LN(2)/2)*DB154*DE154*VLOOKUP('Données projet'!$B$13,Paramètres!$A$1:$I$89,3,0)*0.475*44/12</f>
        <v>3.3013212103711728E-5</v>
      </c>
      <c r="DI154" s="22">
        <f t="shared" ref="DI154:DI203" si="175">SUM(DF154:DH154)</f>
        <v>28.796186122960442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2.5579538487363607E-13</v>
      </c>
      <c r="DP154" s="17">
        <f>DO154*VLOOKUP('Données projet'!$B$14,Paramètres!$A$1:$I$89,3,0)*VLOOKUP('Données projet'!$B$14,Paramètres!$A$1:$I$89,5,0)</f>
        <v>2.4740529624978082E-13</v>
      </c>
      <c r="DQ154" s="13">
        <f t="shared" ref="DQ154:DQ203" si="176">EXP(-1.0587+0.8836*LN(DP154)+0.284)</f>
        <v>3.3447853361996459E-12</v>
      </c>
      <c r="DR154" s="20">
        <f t="shared" ref="DR154:DR203" si="177">(DP154+DQ154)*0.475*44/12</f>
        <v>6.2563986848494188E-12</v>
      </c>
      <c r="DS154" s="59">
        <f t="shared" si="125"/>
        <v>286.80821682327161</v>
      </c>
      <c r="DT154" s="59">
        <f ca="1">AVERAGE(OFFSET($DS$3,0,0,'Données projet'!$E$14+1,1))-AVERAGE(OFFSET($H$3,0,0,'Données projet'!$E$14+1,1))</f>
        <v>493.03862850474161</v>
      </c>
      <c r="DU154" s="59">
        <f t="shared" si="152"/>
        <v>312.51819065560528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79.670176683474182</v>
      </c>
      <c r="EB154" s="21">
        <f>EXP(-LN(2)/25)*EB153+(1-EXP(-LN(2)/25))/(LN(2)/25)*Calculateur!DW154*Calculateur!DY154*VLOOKUP('Données projet'!$B$14,Paramètres!$A$1:$I$89,3,0)*0.475*44/12</f>
        <v>14.058014058431686</v>
      </c>
      <c r="EC154" s="21">
        <f>EXP(-LN(2)/2)*EC153+(1-EXP(-LN(2)/2))/(LN(2)/2)*DW154*DZ154*VLOOKUP('Données projet'!$B$14,Paramètres!$A$1:$I$89,3,0)*0.475*44/12</f>
        <v>5.026289494968258E-3</v>
      </c>
      <c r="ED154" s="22">
        <f t="shared" ref="ED154:ED203" si="178">SUM(EA154:EC154)</f>
        <v>93.733217031400827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2.5579538487363607E-13</v>
      </c>
      <c r="EK154" s="17">
        <f>EJ154*VLOOKUP('Données projet'!$B$15,Paramètres!$A$1:$I$89,3,0)*VLOOKUP('Données projet'!$B$15,Paramètres!$A$1:$I$89,5,0)</f>
        <v>2.7533815227798186E-13</v>
      </c>
      <c r="EL154" s="13">
        <f t="shared" ref="EL154:EL203" si="179">EXP(-1.0587+0.8836*LN(EK154)+0.284)</f>
        <v>3.6763598146902537E-12</v>
      </c>
      <c r="EM154" s="20">
        <f t="shared" ref="EM154:EM203" si="180">(EK154+EL154)*0.475*44/12</f>
        <v>6.88254062580301E-12</v>
      </c>
      <c r="EN154" s="59">
        <f t="shared" si="128"/>
        <v>286.80821682327223</v>
      </c>
      <c r="EO154" s="59">
        <f ca="1">AVERAGE(OFFSET($EN$3,0,0,'Données projet'!$E$15+1,1))-AVERAGE(OFFSET($H$3,0,0,'Données projet'!$E$15+1,1))</f>
        <v>539.72194201710272</v>
      </c>
      <c r="EP154" s="59">
        <f t="shared" si="154"/>
        <v>340.76505385159362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88.665196631608353</v>
      </c>
      <c r="EW154" s="21">
        <f>EXP(-LN(2)/25)*EW153+(1-EXP(-LN(2)/25))/(LN(2)/25)*Calculateur!ER154*Calculateur!ET154*VLOOKUP('Données projet'!$B$15,Paramètres!$A$1:$I$89,3,0)*0.475*44/12</f>
        <v>15.645209194061064</v>
      </c>
      <c r="EX154" s="21">
        <f>EXP(-LN(2)/2)*EX153+(1-EXP(-LN(2)/2))/(LN(2)/2)*ER154*EU154*VLOOKUP('Données projet'!$B$15,Paramètres!$A$1:$I$89,3,0)*0.475*44/12</f>
        <v>5.5937737927872462E-3</v>
      </c>
      <c r="EY154" s="22">
        <f t="shared" ref="EY154:EY203" si="181">SUM(EV154:EX154)</f>
        <v>104.3159995994622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>
        <f>FE154*VLOOKUP('Données projet'!$B$16,Paramètres!$A$1:$I$89,3,0)*VLOOKUP('Données projet'!$B$16,Paramètres!$A$1:$I$89,5,0)</f>
        <v>0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383.47860767209028</v>
      </c>
      <c r="FK154" s="59">
        <f t="shared" si="156"/>
        <v>370.49129421395628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12.990505171248167</v>
      </c>
      <c r="FR154" s="21">
        <f>EXP(-LN(2)/25)*FR153+(1-EXP(-LN(2)/25))/(LN(2)/25)*Calculateur!FM154*Calculateur!FO154*VLOOKUP('Données projet'!$B$16,Paramètres!$A$1:$I$89,3,0)*0.475*44/12</f>
        <v>7.3084677347210327</v>
      </c>
      <c r="FS154" s="21">
        <f>EXP(-LN(2)/2)*FS153+(1-EXP(-LN(2)/2))/(LN(2)/2)*FM154*FP154*VLOOKUP('Données projet'!$B$16,Paramètres!$A$1:$I$89,3,0)*0.475*44/12</f>
        <v>1.3097888171137003E-9</v>
      </c>
      <c r="FT154" s="22">
        <f t="shared" ref="FT154:FT203" si="184">SUM(FQ154:FS154)</f>
        <v>20.298972907278991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7.5191666666666634</v>
      </c>
      <c r="FZ154" s="12">
        <f>IF('Données projet'!$A$244&gt;35,FZ153+FY154-GH153,IF(A154&lt;'Données projet'!$A$244,$FW$205^A154,IF(A154='Données projet'!$A$244,'Données projet'!$B$244,FZ153+FY154-GH153)))</f>
        <v>371.60416666666634</v>
      </c>
      <c r="GA154" s="17">
        <f>FZ154*VLOOKUP('Données projet'!$B$17,Paramètres!$A$1:$I$89,3,0)*VLOOKUP('Données projet'!$B$17,Paramètres!$A$1:$I$89,5,0)</f>
        <v>423.18282499999958</v>
      </c>
      <c r="GB154" s="13">
        <f t="shared" ref="GB154:GB203" si="185">EXP(-1.0587+0.8836*LN(GA154)+0.284)</f>
        <v>96.461105569944294</v>
      </c>
      <c r="GC154" s="20">
        <f t="shared" ref="GC154:GC203" si="186">(GA154+GB154)*0.475*44/12</f>
        <v>905.04651240931889</v>
      </c>
      <c r="GD154" s="59">
        <f t="shared" si="134"/>
        <v>1191.8547292325843</v>
      </c>
      <c r="GE154" s="59">
        <f ca="1">AVERAGE(OFFSET($GD$3,0,0,'Données projet'!$E$17+1,1))-AVERAGE(OFFSET($H$3,0,0,'Données projet'!$E$17+1,1))</f>
        <v>640.05156427113661</v>
      </c>
      <c r="GF154" s="59">
        <f t="shared" si="158"/>
        <v>308.77220155372902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32.536839092522314</v>
      </c>
      <c r="GM154" s="21">
        <f>EXP(-LN(2)/25)*GM153+(1-EXP(-LN(2)/25))/(LN(2)/25)*Calculateur!GH154*Calculateur!GJ154*VLOOKUP('Données projet'!$B$17,Paramètres!$A$1:$I$89,3,0)*0.475*44/12</f>
        <v>21.355778213818866</v>
      </c>
      <c r="GN154" s="21">
        <f>EXP(-LN(2)/2)*GN153+(1-EXP(-LN(2)/2))/(LN(2)/2)*GH154*GK154*VLOOKUP('Données projet'!$B$17,Paramètres!$A$1:$I$89,3,0)*0.475*44/12</f>
        <v>0.58630414857311364</v>
      </c>
      <c r="GO154" s="21">
        <f t="shared" ref="GO154:GO203" si="187">SUM(GL154:GN154)</f>
        <v>54.478921454914293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4.7884896048344674E-14</v>
      </c>
      <c r="P155" s="13">
        <f t="shared" si="141"/>
        <v>7.8374629847779921E-13</v>
      </c>
      <c r="Q155" s="20">
        <f t="shared" si="162"/>
        <v>1.4484243304663672E-12</v>
      </c>
      <c r="R155" s="59">
        <f t="shared" si="109"/>
        <v>286.92141300674132</v>
      </c>
      <c r="S155" s="59">
        <f ca="1">AVERAGE(OFFSET($R$3,0,0,'Données projet'!$E$9+1,1))-AVERAGE(OFFSET($H$3,0,0,'Données projet'!$E$9+1,1))</f>
        <v>456.35333554128226</v>
      </c>
      <c r="T155" s="59">
        <f t="shared" si="142"/>
        <v>296.4517290984877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49.196543175060384</v>
      </c>
      <c r="AA155" s="21">
        <f>EXP(-LN(2)/25)*AA154+(1-EXP(-LN(2)/25))/(LN(2)/25)*Calculateur!V155*Calculateur!X155*VLOOKUP('Données projet'!$B$9,Paramètres!$A$1:$I$89,3,0)*0.475*44/12</f>
        <v>7.8153730479635461</v>
      </c>
      <c r="AB155" s="21">
        <f>EXP(-LN(2)/2)*AB154+(1-EXP(-LN(2)/2))/(LN(2)/2)*V155*Y155*VLOOKUP('Données projet'!$B$9,Paramètres!$A$1:$I$89,3,0)*0.475*44/12</f>
        <v>8.848933607293708E-7</v>
      </c>
      <c r="AC155" s="22">
        <f t="shared" si="163"/>
        <v>57.011917107917292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408.246209980743</v>
      </c>
      <c r="AO155" s="59">
        <f t="shared" si="144"/>
        <v>394.10236303013903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13.715443848901609</v>
      </c>
      <c r="AV155" s="21">
        <f>EXP(-LN(2)/25)*AV154+(1-EXP(-LN(2)/25))/(LN(2)/25)*Calculateur!AQ155*Calculateur!AS155*VLOOKUP('Données projet'!$B$10,Paramètres!$A$1:$I$89,3,0)*0.475*44/12</f>
        <v>7.6554340155778977</v>
      </c>
      <c r="AW155" s="21">
        <f>EXP(-LN(2)/2)*AW154+(1-EXP(-LN(2)/2))/(LN(2)/2)*AQ155*AT155*VLOOKUP('Données projet'!$B$10,Paramètres!$A$1:$I$89,3,0)*0.475*44/12</f>
        <v>9.9740367408058402E-10</v>
      </c>
      <c r="AX155" s="21">
        <f t="shared" si="166"/>
        <v>21.37087786547691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7.5191666666666634</v>
      </c>
      <c r="BD155" s="12">
        <f>IF('Données projet'!$A$88&gt;35,BD154+BC155-BL154,IF(A155&lt;'Données projet'!$A$88,$BA$205^A155,IF(A155='Données projet'!$A$88,'Données projet'!$B$88,BD154+BC155-BL154)))</f>
        <v>379.12333333333299</v>
      </c>
      <c r="BE155" s="13">
        <f>BD155*VLOOKUP('Données projet'!$B$11,Paramètres!$A$1:$I$89,3,0)*VLOOKUP('Données projet'!$B$11,Paramètres!$A$1:$I$89,5,0)</f>
        <v>384.43105999999966</v>
      </c>
      <c r="BF155" s="13">
        <f t="shared" si="167"/>
        <v>88.613045766074748</v>
      </c>
      <c r="BG155" s="20">
        <f t="shared" si="168"/>
        <v>823.88515087591293</v>
      </c>
      <c r="BH155" s="59">
        <f t="shared" si="116"/>
        <v>1110.8065638826529</v>
      </c>
      <c r="BI155" s="59">
        <f ca="1">AVERAGE(OFFSET($BH$3,0,0,'Données projet'!$E$11+1,1))-AVERAGE(OFFSET($H$3,0,0,'Données projet'!$E$11+1,1))</f>
        <v>580.02848304986492</v>
      </c>
      <c r="BJ155" s="59">
        <f t="shared" si="146"/>
        <v>281.68891895586728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28.403051356478969</v>
      </c>
      <c r="BQ155" s="21">
        <f>EXP(-LN(2)/25)*BQ154+(1-EXP(-LN(2)/25))/(LN(2)/25)*Calculateur!BL155*Calculateur!BN155*VLOOKUP('Données projet'!$B$11,Paramètres!$A$1:$I$89,3,0)*0.475*44/12</f>
        <v>18.495441326139421</v>
      </c>
      <c r="BR155" s="21">
        <f>EXP(-LN(2)/2)*BR154+(1-EXP(-LN(2)/2))/(LN(2)/2)*BL155*BO155*VLOOKUP('Données projet'!$B$11,Paramètres!$A$1:$I$89,3,0)*0.475*44/12</f>
        <v>0.36914625416576013</v>
      </c>
      <c r="BS155" s="22">
        <f t="shared" si="169"/>
        <v>47.267638936784152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4.4337866711430253E-14</v>
      </c>
      <c r="CA155" s="13">
        <f t="shared" si="170"/>
        <v>7.3222115536967035E-13</v>
      </c>
      <c r="CB155" s="20">
        <f t="shared" si="171"/>
        <v>1.3525069634579169E-12</v>
      </c>
      <c r="CC155" s="59">
        <f t="shared" si="119"/>
        <v>286.92141300674126</v>
      </c>
      <c r="CD155" s="59">
        <f ca="1">AVERAGE(OFFSET($CC$3,0,0,'Données projet'!$E$12+1,1))-AVERAGE(OFFSET($H$3,0,0,'Données projet'!$E$12+1,1))</f>
        <v>308.85018589589453</v>
      </c>
      <c r="CE155" s="59">
        <f t="shared" si="148"/>
        <v>302.59481222418219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8.3096547880036002</v>
      </c>
      <c r="CL155" s="21">
        <f>EXP(-LN(2)/25)*CL154+(1-EXP(-LN(2)/25))/(LN(2)/25)*Calculateur!CG155*Calculateur!CI155*VLOOKUP('Données projet'!$B$12,Paramètres!$A$1:$I$89,3,0)*0.475*44/12</f>
        <v>4.2391798748045657</v>
      </c>
      <c r="CM155" s="21">
        <f>EXP(-LN(2)/2)*CM154+(1-EXP(-LN(2)/2))/(LN(2)/2)*CG155*CJ155*VLOOKUP('Données projet'!$B$12,Paramètres!$A$1:$I$89,3,0)*0.475*44/12</f>
        <v>1.9536398626293461E-11</v>
      </c>
      <c r="CN155" s="22">
        <f t="shared" si="172"/>
        <v>12.548834662827701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2.2737367544323206E-13</v>
      </c>
      <c r="CU155" s="17">
        <f>CT155*VLOOKUP('Données projet'!$B$13,Paramètres!$A$1:$I$89,3,0)*VLOOKUP('Données projet'!$B$13,Paramètres!$A$1:$I$89,5,0)</f>
        <v>1.5252226148732008E-13</v>
      </c>
      <c r="CV155" s="13">
        <f t="shared" si="173"/>
        <v>2.1814502464536512E-12</v>
      </c>
      <c r="CW155" s="20">
        <f t="shared" si="174"/>
        <v>4.0650021179971913E-12</v>
      </c>
      <c r="CX155" s="59">
        <f t="shared" si="122"/>
        <v>286.92141300674399</v>
      </c>
      <c r="CY155" s="59">
        <f ca="1">AVERAGE(OFFSET($CX$3,0,0,'Données projet'!$E$13+1,1))-AVERAGE(OFFSET($H$3,0,0,'Données projet'!$E$13+1,1))</f>
        <v>335.73816489539837</v>
      </c>
      <c r="CZ155" s="59">
        <f t="shared" si="150"/>
        <v>254.09787950201044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16.305217547772116</v>
      </c>
      <c r="DG155" s="21">
        <f>EXP(-LN(2)/25)*DG154+(1-EXP(-LN(2)/25))/(LN(2)/25)*Calculateur!DB155*Calculateur!DD155*VLOOKUP('Données projet'!$B$13,Paramètres!$A$1:$I$89,3,0)*0.475*44/12</f>
        <v>11.832157737459818</v>
      </c>
      <c r="DH155" s="21">
        <f>EXP(-LN(2)/2)*DH154+(1-EXP(-LN(2)/2))/(LN(2)/2)*DB155*DE155*VLOOKUP('Données projet'!$B$13,Paramètres!$A$1:$I$89,3,0)*0.475*44/12</f>
        <v>2.3343866147284371E-5</v>
      </c>
      <c r="DI155" s="22">
        <f t="shared" si="175"/>
        <v>28.13739862909808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2.5579538487363607E-13</v>
      </c>
      <c r="DP155" s="17">
        <f>DO155*VLOOKUP('Données projet'!$B$14,Paramètres!$A$1:$I$89,3,0)*VLOOKUP('Données projet'!$B$14,Paramètres!$A$1:$I$89,5,0)</f>
        <v>2.4740529624978082E-13</v>
      </c>
      <c r="DQ155" s="13">
        <f t="shared" si="176"/>
        <v>3.3447853361996459E-12</v>
      </c>
      <c r="DR155" s="20">
        <f t="shared" si="177"/>
        <v>6.2563986848494188E-12</v>
      </c>
      <c r="DS155" s="59">
        <f t="shared" si="125"/>
        <v>286.92141300674615</v>
      </c>
      <c r="DT155" s="59">
        <f ca="1">AVERAGE(OFFSET($DS$3,0,0,'Données projet'!$E$14+1,1))-AVERAGE(OFFSET($H$3,0,0,'Données projet'!$E$14+1,1))</f>
        <v>493.03862850474161</v>
      </c>
      <c r="DU155" s="59">
        <f t="shared" si="152"/>
        <v>312.51819065560528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78.107893112720774</v>
      </c>
      <c r="EB155" s="21">
        <f>EXP(-LN(2)/25)*EB154+(1-EXP(-LN(2)/25))/(LN(2)/25)*Calculateur!DW155*Calculateur!DY155*VLOOKUP('Données projet'!$B$14,Paramètres!$A$1:$I$89,3,0)*0.475*44/12</f>
        <v>13.673596924725043</v>
      </c>
      <c r="EC155" s="21">
        <f>EXP(-LN(2)/2)*EC154+(1-EXP(-LN(2)/2))/(LN(2)/2)*DW155*DZ155*VLOOKUP('Données projet'!$B$14,Paramètres!$A$1:$I$89,3,0)*0.475*44/12</f>
        <v>3.5541233860987625E-3</v>
      </c>
      <c r="ED155" s="22">
        <f t="shared" si="178"/>
        <v>91.785044160831916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2.5579538487363607E-13</v>
      </c>
      <c r="EK155" s="17">
        <f>EJ155*VLOOKUP('Données projet'!$B$15,Paramètres!$A$1:$I$89,3,0)*VLOOKUP('Données projet'!$B$15,Paramètres!$A$1:$I$89,5,0)</f>
        <v>2.7533815227798186E-13</v>
      </c>
      <c r="EL155" s="13">
        <f t="shared" si="179"/>
        <v>3.6763598146902537E-12</v>
      </c>
      <c r="EM155" s="20">
        <f t="shared" si="180"/>
        <v>6.88254062580301E-12</v>
      </c>
      <c r="EN155" s="59">
        <f t="shared" si="128"/>
        <v>286.92141300674677</v>
      </c>
      <c r="EO155" s="59">
        <f ca="1">AVERAGE(OFFSET($EN$3,0,0,'Données projet'!$E$15+1,1))-AVERAGE(OFFSET($H$3,0,0,'Données projet'!$E$15+1,1))</f>
        <v>539.72194201710272</v>
      </c>
      <c r="EP155" s="59">
        <f t="shared" si="154"/>
        <v>340.76505385159362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86.926526206092461</v>
      </c>
      <c r="EW155" s="21">
        <f>EXP(-LN(2)/25)*EW154+(1-EXP(-LN(2)/25))/(LN(2)/25)*Calculateur!ER155*Calculateur!ET155*VLOOKUP('Données projet'!$B$15,Paramètres!$A$1:$I$89,3,0)*0.475*44/12</f>
        <v>15.21739012590367</v>
      </c>
      <c r="EX155" s="21">
        <f>EXP(-LN(2)/2)*EX154+(1-EXP(-LN(2)/2))/(LN(2)/2)*ER155*EU155*VLOOKUP('Données projet'!$B$15,Paramètres!$A$1:$I$89,3,0)*0.475*44/12</f>
        <v>3.9553953813034554E-3</v>
      </c>
      <c r="EY155" s="22">
        <f t="shared" si="181"/>
        <v>102.14787172737744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>
        <f>FE155*VLOOKUP('Données projet'!$B$16,Paramètres!$A$1:$I$89,3,0)*VLOOKUP('Données projet'!$B$16,Paramètres!$A$1:$I$89,5,0)</f>
        <v>0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383.47860767209028</v>
      </c>
      <c r="FK155" s="59">
        <f t="shared" si="156"/>
        <v>370.49129421395628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12.735769288265772</v>
      </c>
      <c r="FR155" s="21">
        <f>EXP(-LN(2)/25)*FR154+(1-EXP(-LN(2)/25))/(LN(2)/25)*Calculateur!FM155*Calculateur!FO155*VLOOKUP('Données projet'!$B$16,Paramètres!$A$1:$I$89,3,0)*0.475*44/12</f>
        <v>7.1086173001794712</v>
      </c>
      <c r="FS155" s="21">
        <f>EXP(-LN(2)/2)*FS154+(1-EXP(-LN(2)/2))/(LN(2)/2)*FM155*FP155*VLOOKUP('Données projet'!$B$16,Paramètres!$A$1:$I$89,3,0)*0.475*44/12</f>
        <v>9.2616055450340421E-10</v>
      </c>
      <c r="FT155" s="22">
        <f t="shared" si="184"/>
        <v>19.844386589371403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7.5191666666666634</v>
      </c>
      <c r="FZ155" s="12">
        <f>IF('Données projet'!$A$244&gt;35,FZ154+FY155-GH154,IF(A155&lt;'Données projet'!$A$244,$FW$205^A155,IF(A155='Données projet'!$A$244,'Données projet'!$B$244,FZ154+FY155-GH154)))</f>
        <v>379.12333333333299</v>
      </c>
      <c r="GA155" s="17">
        <f>FZ155*VLOOKUP('Données projet'!$B$17,Paramètres!$A$1:$I$89,3,0)*VLOOKUP('Données projet'!$B$17,Paramètres!$A$1:$I$89,5,0)</f>
        <v>431.74565199999961</v>
      </c>
      <c r="GB155" s="13">
        <f t="shared" si="185"/>
        <v>98.183724241289511</v>
      </c>
      <c r="GC155" s="20">
        <f t="shared" si="186"/>
        <v>922.96033028691181</v>
      </c>
      <c r="GD155" s="59">
        <f t="shared" si="134"/>
        <v>1209.8817432936517</v>
      </c>
      <c r="GE155" s="59">
        <f ca="1">AVERAGE(OFFSET($GD$3,0,0,'Données projet'!$E$17+1,1))-AVERAGE(OFFSET($H$3,0,0,'Données projet'!$E$17+1,1))</f>
        <v>640.05156427113661</v>
      </c>
      <c r="GF155" s="59">
        <f t="shared" si="158"/>
        <v>308.77220155372902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31.898811523430215</v>
      </c>
      <c r="GM155" s="21">
        <f>EXP(-LN(2)/25)*GM154+(1-EXP(-LN(2)/25))/(LN(2)/25)*Calculateur!GH155*Calculateur!GJ155*VLOOKUP('Données projet'!$B$17,Paramètres!$A$1:$I$89,3,0)*0.475*44/12</f>
        <v>20.771803335510423</v>
      </c>
      <c r="GN155" s="21">
        <f>EXP(-LN(2)/2)*GN154+(1-EXP(-LN(2)/2))/(LN(2)/2)*GH155*GK155*VLOOKUP('Données projet'!$B$17,Paramètres!$A$1:$I$89,3,0)*0.475*44/12</f>
        <v>0.41457963929385372</v>
      </c>
      <c r="GO155" s="21">
        <f t="shared" si="187"/>
        <v>53.085194498234493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4.7884896048344674E-14</v>
      </c>
      <c r="P156" s="13">
        <f t="shared" si="141"/>
        <v>7.8374629847779921E-13</v>
      </c>
      <c r="Q156" s="20">
        <f t="shared" si="162"/>
        <v>1.4484243304663672E-12</v>
      </c>
      <c r="R156" s="59">
        <f t="shared" si="109"/>
        <v>287.03264548950142</v>
      </c>
      <c r="S156" s="59">
        <f ca="1">AVERAGE(OFFSET($R$3,0,0,'Données projet'!$E$9+1,1))-AVERAGE(OFFSET($H$3,0,0,'Données projet'!$E$9+1,1))</f>
        <v>456.35333554128226</v>
      </c>
      <c r="T156" s="59">
        <f t="shared" si="142"/>
        <v>296.4517290984877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48.23182897032585</v>
      </c>
      <c r="AA156" s="21">
        <f>EXP(-LN(2)/25)*AA155+(1-EXP(-LN(2)/25))/(LN(2)/25)*Calculateur!V156*Calculateur!X156*VLOOKUP('Données projet'!$B$9,Paramètres!$A$1:$I$89,3,0)*0.475*44/12</f>
        <v>7.6016612609743763</v>
      </c>
      <c r="AB156" s="21">
        <f>EXP(-LN(2)/2)*AB155+(1-EXP(-LN(2)/2))/(LN(2)/2)*V156*Y156*VLOOKUP('Données projet'!$B$9,Paramètres!$A$1:$I$89,3,0)*0.475*44/12</f>
        <v>6.2571409599869185E-7</v>
      </c>
      <c r="AC156" s="22">
        <f t="shared" si="163"/>
        <v>55.833490857014318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408.246209980743</v>
      </c>
      <c r="AO156" s="59">
        <f t="shared" si="144"/>
        <v>394.10236303013903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13.446492360619363</v>
      </c>
      <c r="AV156" s="21">
        <f>EXP(-LN(2)/25)*AV155+(1-EXP(-LN(2)/25))/(LN(2)/25)*Calculateur!AQ156*Calculateur!AS156*VLOOKUP('Données projet'!$B$10,Paramètres!$A$1:$I$89,3,0)*0.475*44/12</f>
        <v>7.4460957698401415</v>
      </c>
      <c r="AW156" s="21">
        <f>EXP(-LN(2)/2)*AW155+(1-EXP(-LN(2)/2))/(LN(2)/2)*AQ156*AT156*VLOOKUP('Données projet'!$B$10,Paramètres!$A$1:$I$89,3,0)*0.475*44/12</f>
        <v>7.052709015227581E-10</v>
      </c>
      <c r="AX156" s="21">
        <f t="shared" si="166"/>
        <v>20.892588131164775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7.5191666666666634</v>
      </c>
      <c r="BD156" s="12">
        <f>IF('Données projet'!$A$88&gt;35,BD155+BC156-BL155,IF(A156&lt;'Données projet'!$A$88,$BA$205^A156,IF(A156='Données projet'!$A$88,'Données projet'!$B$88,BD155+BC156-BL155)))</f>
        <v>386.64249999999964</v>
      </c>
      <c r="BE156" s="13">
        <f>BD156*VLOOKUP('Données projet'!$B$11,Paramètres!$A$1:$I$89,3,0)*VLOOKUP('Données projet'!$B$11,Paramètres!$A$1:$I$89,5,0)</f>
        <v>392.05549499999967</v>
      </c>
      <c r="BF156" s="13">
        <f t="shared" si="167"/>
        <v>90.164163082094575</v>
      </c>
      <c r="BG156" s="20">
        <f t="shared" si="168"/>
        <v>839.8659044929808</v>
      </c>
      <c r="BH156" s="59">
        <f t="shared" si="116"/>
        <v>1126.8985499824807</v>
      </c>
      <c r="BI156" s="59">
        <f ca="1">AVERAGE(OFFSET($BH$3,0,0,'Données projet'!$E$11+1,1))-AVERAGE(OFFSET($H$3,0,0,'Données projet'!$E$11+1,1))</f>
        <v>580.02848304986492</v>
      </c>
      <c r="BJ156" s="59">
        <f t="shared" si="146"/>
        <v>281.68891895586728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27.846084843529127</v>
      </c>
      <c r="BQ156" s="21">
        <f>EXP(-LN(2)/25)*BQ155+(1-EXP(-LN(2)/25))/(LN(2)/25)*Calculateur!BL156*Calculateur!BN156*VLOOKUP('Données projet'!$B$11,Paramètres!$A$1:$I$89,3,0)*0.475*44/12</f>
        <v>17.989682510443149</v>
      </c>
      <c r="BR156" s="21">
        <f>EXP(-LN(2)/2)*BR155+(1-EXP(-LN(2)/2))/(LN(2)/2)*BL156*BO156*VLOOKUP('Données projet'!$B$11,Paramètres!$A$1:$I$89,3,0)*0.475*44/12</f>
        <v>0.26102581957022181</v>
      </c>
      <c r="BS156" s="22">
        <f t="shared" si="169"/>
        <v>46.096793173542494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4.4337866711430253E-14</v>
      </c>
      <c r="CA156" s="13">
        <f t="shared" si="170"/>
        <v>7.3222115536967035E-13</v>
      </c>
      <c r="CB156" s="20">
        <f t="shared" si="171"/>
        <v>1.3525069634579169E-12</v>
      </c>
      <c r="CC156" s="59">
        <f t="shared" si="119"/>
        <v>287.03264548950136</v>
      </c>
      <c r="CD156" s="59">
        <f ca="1">AVERAGE(OFFSET($CC$3,0,0,'Données projet'!$E$12+1,1))-AVERAGE(OFFSET($H$3,0,0,'Données projet'!$E$12+1,1))</f>
        <v>308.85018589589453</v>
      </c>
      <c r="CE156" s="59">
        <f t="shared" si="148"/>
        <v>302.59481222418219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8.1467075259998083</v>
      </c>
      <c r="CL156" s="21">
        <f>EXP(-LN(2)/25)*CL155+(1-EXP(-LN(2)/25))/(LN(2)/25)*Calculateur!CG156*Calculateur!CI156*VLOOKUP('Données projet'!$B$12,Paramètres!$A$1:$I$89,3,0)*0.475*44/12</f>
        <v>4.1232592781992539</v>
      </c>
      <c r="CM156" s="21">
        <f>EXP(-LN(2)/2)*CM155+(1-EXP(-LN(2)/2))/(LN(2)/2)*CG156*CJ156*VLOOKUP('Données projet'!$B$12,Paramètres!$A$1:$I$89,3,0)*0.475*44/12</f>
        <v>1.3814319948615658E-11</v>
      </c>
      <c r="CN156" s="22">
        <f t="shared" si="172"/>
        <v>12.269966804212876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2.2737367544323206E-13</v>
      </c>
      <c r="CU156" s="17">
        <f>CT156*VLOOKUP('Données projet'!$B$13,Paramètres!$A$1:$I$89,3,0)*VLOOKUP('Données projet'!$B$13,Paramètres!$A$1:$I$89,5,0)</f>
        <v>1.5252226148732008E-13</v>
      </c>
      <c r="CV156" s="13">
        <f t="shared" si="173"/>
        <v>2.1814502464536512E-12</v>
      </c>
      <c r="CW156" s="20">
        <f t="shared" si="174"/>
        <v>4.0650021179971913E-12</v>
      </c>
      <c r="CX156" s="59">
        <f t="shared" si="122"/>
        <v>287.03264548950409</v>
      </c>
      <c r="CY156" s="59">
        <f ca="1">AVERAGE(OFFSET($CX$3,0,0,'Données projet'!$E$13+1,1))-AVERAGE(OFFSET($H$3,0,0,'Données projet'!$E$13+1,1))</f>
        <v>335.73816489539837</v>
      </c>
      <c r="CZ156" s="59">
        <f t="shared" si="150"/>
        <v>254.09787950201044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15.985482176861002</v>
      </c>
      <c r="DG156" s="21">
        <f>EXP(-LN(2)/25)*DG155+(1-EXP(-LN(2)/25))/(LN(2)/25)*Calculateur!DB156*Calculateur!DD156*VLOOKUP('Données projet'!$B$13,Paramètres!$A$1:$I$89,3,0)*0.475*44/12</f>
        <v>11.508606761902847</v>
      </c>
      <c r="DH156" s="21">
        <f>EXP(-LN(2)/2)*DH155+(1-EXP(-LN(2)/2))/(LN(2)/2)*DB156*DE156*VLOOKUP('Données projet'!$B$13,Paramètres!$A$1:$I$89,3,0)*0.475*44/12</f>
        <v>1.6506606051855864E-5</v>
      </c>
      <c r="DI156" s="22">
        <f t="shared" si="175"/>
        <v>27.4941054453699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2.5579538487363607E-13</v>
      </c>
      <c r="DP156" s="17">
        <f>DO156*VLOOKUP('Données projet'!$B$14,Paramètres!$A$1:$I$89,3,0)*VLOOKUP('Données projet'!$B$14,Paramètres!$A$1:$I$89,5,0)</f>
        <v>2.4740529624978082E-13</v>
      </c>
      <c r="DQ156" s="13">
        <f t="shared" si="176"/>
        <v>3.3447853361996459E-12</v>
      </c>
      <c r="DR156" s="20">
        <f t="shared" si="177"/>
        <v>6.2563986848494188E-12</v>
      </c>
      <c r="DS156" s="59">
        <f t="shared" si="125"/>
        <v>287.03264548950625</v>
      </c>
      <c r="DT156" s="59">
        <f ca="1">AVERAGE(OFFSET($DS$3,0,0,'Données projet'!$E$14+1,1))-AVERAGE(OFFSET($H$3,0,0,'Données projet'!$E$14+1,1))</f>
        <v>493.03862850474161</v>
      </c>
      <c r="DU156" s="59">
        <f t="shared" si="152"/>
        <v>312.51819065560528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76.576244969890951</v>
      </c>
      <c r="EB156" s="21">
        <f>EXP(-LN(2)/25)*EB155+(1-EXP(-LN(2)/25))/(LN(2)/25)*Calculateur!DW156*Calculateur!DY156*VLOOKUP('Données projet'!$B$14,Paramètres!$A$1:$I$89,3,0)*0.475*44/12</f>
        <v>13.299691697755225</v>
      </c>
      <c r="EC156" s="21">
        <f>EXP(-LN(2)/2)*EC155+(1-EXP(-LN(2)/2))/(LN(2)/2)*DW156*DZ156*VLOOKUP('Données projet'!$B$14,Paramètres!$A$1:$I$89,3,0)*0.475*44/12</f>
        <v>2.513144747484129E-3</v>
      </c>
      <c r="ED156" s="22">
        <f t="shared" si="178"/>
        <v>89.878449812393654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2.5579538487363607E-13</v>
      </c>
      <c r="EK156" s="17">
        <f>EJ156*VLOOKUP('Données projet'!$B$15,Paramètres!$A$1:$I$89,3,0)*VLOOKUP('Données projet'!$B$15,Paramètres!$A$1:$I$89,5,0)</f>
        <v>2.7533815227798186E-13</v>
      </c>
      <c r="EL156" s="13">
        <f t="shared" si="179"/>
        <v>3.6763598146902537E-12</v>
      </c>
      <c r="EM156" s="20">
        <f t="shared" si="180"/>
        <v>6.88254062580301E-12</v>
      </c>
      <c r="EN156" s="59">
        <f t="shared" si="128"/>
        <v>287.03264548950688</v>
      </c>
      <c r="EO156" s="59">
        <f ca="1">AVERAGE(OFFSET($EN$3,0,0,'Données projet'!$E$15+1,1))-AVERAGE(OFFSET($H$3,0,0,'Données projet'!$E$15+1,1))</f>
        <v>539.72194201710272</v>
      </c>
      <c r="EP156" s="59">
        <f t="shared" si="154"/>
        <v>340.76505385159362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85.221950047136687</v>
      </c>
      <c r="EW156" s="21">
        <f>EXP(-LN(2)/25)*EW155+(1-EXP(-LN(2)/25))/(LN(2)/25)*Calculateur!ER156*Calculateur!ET156*VLOOKUP('Données projet'!$B$15,Paramètres!$A$1:$I$89,3,0)*0.475*44/12</f>
        <v>14.801269792663067</v>
      </c>
      <c r="EX156" s="21">
        <f>EXP(-LN(2)/2)*EX155+(1-EXP(-LN(2)/2))/(LN(2)/2)*ER156*EU156*VLOOKUP('Données projet'!$B$15,Paramètres!$A$1:$I$89,3,0)*0.475*44/12</f>
        <v>2.7968868963936231E-3</v>
      </c>
      <c r="EY156" s="22">
        <f t="shared" si="181"/>
        <v>100.02601672669614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>
        <f>FE156*VLOOKUP('Données projet'!$B$16,Paramètres!$A$1:$I$89,3,0)*VLOOKUP('Données projet'!$B$16,Paramètres!$A$1:$I$89,5,0)</f>
        <v>0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383.47860767209028</v>
      </c>
      <c r="FK156" s="59">
        <f t="shared" si="156"/>
        <v>370.49129421395628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12.486028620575114</v>
      </c>
      <c r="FR156" s="21">
        <f>EXP(-LN(2)/25)*FR155+(1-EXP(-LN(2)/25))/(LN(2)/25)*Calculateur!FM156*Calculateur!FO156*VLOOKUP('Données projet'!$B$16,Paramètres!$A$1:$I$89,3,0)*0.475*44/12</f>
        <v>6.9142317862801264</v>
      </c>
      <c r="FS156" s="21">
        <f>EXP(-LN(2)/2)*FS155+(1-EXP(-LN(2)/2))/(LN(2)/2)*FM156*FP156*VLOOKUP('Données projet'!$B$16,Paramètres!$A$1:$I$89,3,0)*0.475*44/12</f>
        <v>6.5489440855685024E-10</v>
      </c>
      <c r="FT156" s="22">
        <f t="shared" si="184"/>
        <v>19.400260407510132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7.5191666666666634</v>
      </c>
      <c r="FZ156" s="12">
        <f>IF('Données projet'!$A$244&gt;35,FZ155+FY156-GH155,IF(A156&lt;'Données projet'!$A$244,$FW$205^A156,IF(A156='Données projet'!$A$244,'Données projet'!$B$244,FZ155+FY156-GH155)))</f>
        <v>386.64249999999964</v>
      </c>
      <c r="GA156" s="17">
        <f>FZ156*VLOOKUP('Données projet'!$B$17,Paramètres!$A$1:$I$89,3,0)*VLOOKUP('Données projet'!$B$17,Paramètres!$A$1:$I$89,5,0)</f>
        <v>440.30847899999958</v>
      </c>
      <c r="GB156" s="13">
        <f t="shared" si="185"/>
        <v>99.902370446319125</v>
      </c>
      <c r="GC156" s="20">
        <f t="shared" si="186"/>
        <v>940.86722945233839</v>
      </c>
      <c r="GD156" s="59">
        <f t="shared" si="134"/>
        <v>1227.8998749418383</v>
      </c>
      <c r="GE156" s="59">
        <f ca="1">AVERAGE(OFFSET($GD$3,0,0,'Données projet'!$E$17+1,1))-AVERAGE(OFFSET($H$3,0,0,'Données projet'!$E$17+1,1))</f>
        <v>640.05156427113661</v>
      </c>
      <c r="GF156" s="59">
        <f t="shared" si="158"/>
        <v>308.77220155372902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31.273295285809624</v>
      </c>
      <c r="GM156" s="21">
        <f>EXP(-LN(2)/25)*GM155+(1-EXP(-LN(2)/25))/(LN(2)/25)*Calculateur!GH156*Calculateur!GJ156*VLOOKUP('Données projet'!$B$17,Paramètres!$A$1:$I$89,3,0)*0.475*44/12</f>
        <v>20.203797280959229</v>
      </c>
      <c r="GN156" s="21">
        <f>EXP(-LN(2)/2)*GN155+(1-EXP(-LN(2)/2))/(LN(2)/2)*GH156*GK156*VLOOKUP('Données projet'!$B$17,Paramètres!$A$1:$I$89,3,0)*0.475*44/12</f>
        <v>0.29315207428655682</v>
      </c>
      <c r="GO156" s="21">
        <f t="shared" si="187"/>
        <v>51.770244641055413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4.7884896048344674E-14</v>
      </c>
      <c r="P157" s="13">
        <f t="shared" si="141"/>
        <v>7.8374629847779921E-13</v>
      </c>
      <c r="Q157" s="20">
        <f t="shared" si="162"/>
        <v>1.4484243304663672E-12</v>
      </c>
      <c r="R157" s="59">
        <f t="shared" si="109"/>
        <v>287.14194833736417</v>
      </c>
      <c r="S157" s="59">
        <f ca="1">AVERAGE(OFFSET($R$3,0,0,'Données projet'!$E$9+1,1))-AVERAGE(OFFSET($H$3,0,0,'Données projet'!$E$9+1,1))</f>
        <v>456.35333554128226</v>
      </c>
      <c r="T157" s="59">
        <f t="shared" si="142"/>
        <v>296.4517290984877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47.286032222728593</v>
      </c>
      <c r="AA157" s="21">
        <f>EXP(-LN(2)/25)*AA156+(1-EXP(-LN(2)/25))/(LN(2)/25)*Calculateur!V157*Calculateur!X157*VLOOKUP('Données projet'!$B$9,Paramètres!$A$1:$I$89,3,0)*0.475*44/12</f>
        <v>7.3937934340390399</v>
      </c>
      <c r="AB157" s="21">
        <f>EXP(-LN(2)/2)*AB156+(1-EXP(-LN(2)/2))/(LN(2)/2)*V157*Y157*VLOOKUP('Données projet'!$B$9,Paramètres!$A$1:$I$89,3,0)*0.475*44/12</f>
        <v>4.424466803646854E-7</v>
      </c>
      <c r="AC157" s="22">
        <f t="shared" si="163"/>
        <v>54.679826099214317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408.246209980743</v>
      </c>
      <c r="AO157" s="59">
        <f t="shared" si="144"/>
        <v>394.10236303013903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13.182814846978122</v>
      </c>
      <c r="AV157" s="21">
        <f>EXP(-LN(2)/25)*AV156+(1-EXP(-LN(2)/25))/(LN(2)/25)*Calculateur!AQ157*Calculateur!AS157*VLOOKUP('Données projet'!$B$10,Paramètres!$A$1:$I$89,3,0)*0.475*44/12</f>
        <v>7.2424818894407048</v>
      </c>
      <c r="AW157" s="21">
        <f>EXP(-LN(2)/2)*AW156+(1-EXP(-LN(2)/2))/(LN(2)/2)*AQ157*AT157*VLOOKUP('Données projet'!$B$10,Paramètres!$A$1:$I$89,3,0)*0.475*44/12</f>
        <v>4.9870183704029201E-10</v>
      </c>
      <c r="AX157" s="21">
        <f t="shared" si="166"/>
        <v>20.425296736917527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7.5191666666666634</v>
      </c>
      <c r="BD157" s="12">
        <f>IF('Données projet'!$A$88&gt;35,BD156+BC157-BL156,IF(A157&lt;'Données projet'!$A$88,$BA$205^A157,IF(A157='Données projet'!$A$88,'Données projet'!$B$88,BD156+BC157-BL156)))</f>
        <v>394.16166666666629</v>
      </c>
      <c r="BE157" s="13">
        <f>BD157*VLOOKUP('Données projet'!$B$11,Paramètres!$A$1:$I$89,3,0)*VLOOKUP('Données projet'!$B$11,Paramètres!$A$1:$I$89,5,0)</f>
        <v>399.67992999999967</v>
      </c>
      <c r="BF157" s="13">
        <f t="shared" si="167"/>
        <v>91.711772917902209</v>
      </c>
      <c r="BG157" s="20">
        <f t="shared" si="168"/>
        <v>855.84054924867905</v>
      </c>
      <c r="BH157" s="59">
        <f t="shared" si="116"/>
        <v>1142.9824975860417</v>
      </c>
      <c r="BI157" s="59">
        <f ca="1">AVERAGE(OFFSET($BH$3,0,0,'Données projet'!$E$11+1,1))-AVERAGE(OFFSET($H$3,0,0,'Données projet'!$E$11+1,1))</f>
        <v>580.02848304986492</v>
      </c>
      <c r="BJ157" s="59">
        <f t="shared" si="146"/>
        <v>281.68891895586728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27.300040104182202</v>
      </c>
      <c r="BQ157" s="21">
        <f>EXP(-LN(2)/25)*BQ156+(1-EXP(-LN(2)/25))/(LN(2)/25)*Calculateur!BL157*Calculateur!BN157*VLOOKUP('Données projet'!$B$11,Paramètres!$A$1:$I$89,3,0)*0.475*44/12</f>
        <v>17.497753696158796</v>
      </c>
      <c r="BR157" s="21">
        <f>EXP(-LN(2)/2)*BR156+(1-EXP(-LN(2)/2))/(LN(2)/2)*BL157*BO157*VLOOKUP('Données projet'!$B$11,Paramètres!$A$1:$I$89,3,0)*0.475*44/12</f>
        <v>0.18457312708288007</v>
      </c>
      <c r="BS157" s="22">
        <f t="shared" si="169"/>
        <v>44.982366927423875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4.4337866711430253E-14</v>
      </c>
      <c r="CA157" s="13">
        <f t="shared" si="170"/>
        <v>7.3222115536967035E-13</v>
      </c>
      <c r="CB157" s="20">
        <f t="shared" si="171"/>
        <v>1.3525069634579169E-12</v>
      </c>
      <c r="CC157" s="59">
        <f t="shared" si="119"/>
        <v>287.14194833736411</v>
      </c>
      <c r="CD157" s="59">
        <f ca="1">AVERAGE(OFFSET($CC$3,0,0,'Données projet'!$E$12+1,1))-AVERAGE(OFFSET($H$3,0,0,'Données projet'!$E$12+1,1))</f>
        <v>308.85018589589453</v>
      </c>
      <c r="CE157" s="59">
        <f t="shared" si="148"/>
        <v>302.59481222418219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7.9869555604158951</v>
      </c>
      <c r="CL157" s="21">
        <f>EXP(-LN(2)/25)*CL156+(1-EXP(-LN(2)/25))/(LN(2)/25)*Calculateur!CG157*Calculateur!CI157*VLOOKUP('Données projet'!$B$12,Paramètres!$A$1:$I$89,3,0)*0.475*44/12</f>
        <v>4.0105085364041138</v>
      </c>
      <c r="CM157" s="21">
        <f>EXP(-LN(2)/2)*CM156+(1-EXP(-LN(2)/2))/(LN(2)/2)*CG157*CJ157*VLOOKUP('Données projet'!$B$12,Paramètres!$A$1:$I$89,3,0)*0.475*44/12</f>
        <v>9.7681993131467304E-12</v>
      </c>
      <c r="CN157" s="22">
        <f t="shared" si="172"/>
        <v>11.997464096829777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2.2737367544323206E-13</v>
      </c>
      <c r="CU157" s="17">
        <f>CT157*VLOOKUP('Données projet'!$B$13,Paramètres!$A$1:$I$89,3,0)*VLOOKUP('Données projet'!$B$13,Paramètres!$A$1:$I$89,5,0)</f>
        <v>1.5252226148732008E-13</v>
      </c>
      <c r="CV157" s="13">
        <f t="shared" si="173"/>
        <v>2.1814502464536512E-12</v>
      </c>
      <c r="CW157" s="20">
        <f t="shared" si="174"/>
        <v>4.0650021179971913E-12</v>
      </c>
      <c r="CX157" s="59">
        <f t="shared" si="122"/>
        <v>287.14194833736684</v>
      </c>
      <c r="CY157" s="59">
        <f ca="1">AVERAGE(OFFSET($CX$3,0,0,'Données projet'!$E$13+1,1))-AVERAGE(OFFSET($H$3,0,0,'Données projet'!$E$13+1,1))</f>
        <v>335.73816489539837</v>
      </c>
      <c r="CZ157" s="59">
        <f t="shared" si="150"/>
        <v>254.09787950201044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15.672016621554135</v>
      </c>
      <c r="DG157" s="21">
        <f>EXP(-LN(2)/25)*DG156+(1-EXP(-LN(2)/25))/(LN(2)/25)*Calculateur!DB157*Calculateur!DD157*VLOOKUP('Données projet'!$B$13,Paramètres!$A$1:$I$89,3,0)*0.475*44/12</f>
        <v>11.193903304787288</v>
      </c>
      <c r="DH157" s="21">
        <f>EXP(-LN(2)/2)*DH156+(1-EXP(-LN(2)/2))/(LN(2)/2)*DB157*DE157*VLOOKUP('Données projet'!$B$13,Paramètres!$A$1:$I$89,3,0)*0.475*44/12</f>
        <v>1.1671933073642186E-5</v>
      </c>
      <c r="DI157" s="22">
        <f t="shared" si="175"/>
        <v>26.865931598274496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2.5579538487363607E-13</v>
      </c>
      <c r="DP157" s="17">
        <f>DO157*VLOOKUP('Données projet'!$B$14,Paramètres!$A$1:$I$89,3,0)*VLOOKUP('Données projet'!$B$14,Paramètres!$A$1:$I$89,5,0)</f>
        <v>2.4740529624978082E-13</v>
      </c>
      <c r="DQ157" s="13">
        <f t="shared" si="176"/>
        <v>3.3447853361996459E-12</v>
      </c>
      <c r="DR157" s="20">
        <f t="shared" si="177"/>
        <v>6.2563986848494188E-12</v>
      </c>
      <c r="DS157" s="59">
        <f t="shared" si="125"/>
        <v>287.141948337369</v>
      </c>
      <c r="DT157" s="59">
        <f ca="1">AVERAGE(OFFSET($DS$3,0,0,'Données projet'!$E$14+1,1))-AVERAGE(OFFSET($H$3,0,0,'Données projet'!$E$14+1,1))</f>
        <v>493.03862850474161</v>
      </c>
      <c r="DU157" s="59">
        <f t="shared" si="152"/>
        <v>312.51819065560528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75.074631512928903</v>
      </c>
      <c r="EB157" s="21">
        <f>EXP(-LN(2)/25)*EB156+(1-EXP(-LN(2)/25))/(LN(2)/25)*Calculateur!DW157*Calculateur!DY157*VLOOKUP('Données projet'!$B$14,Paramètres!$A$1:$I$89,3,0)*0.475*44/12</f>
        <v>12.936010928879719</v>
      </c>
      <c r="EC157" s="21">
        <f>EXP(-LN(2)/2)*EC156+(1-EXP(-LN(2)/2))/(LN(2)/2)*DW157*DZ157*VLOOKUP('Données projet'!$B$14,Paramètres!$A$1:$I$89,3,0)*0.475*44/12</f>
        <v>1.7770616930493813E-3</v>
      </c>
      <c r="ED157" s="22">
        <f t="shared" si="178"/>
        <v>88.012419503501675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2.5579538487363607E-13</v>
      </c>
      <c r="EK157" s="17">
        <f>EJ157*VLOOKUP('Données projet'!$B$15,Paramètres!$A$1:$I$89,3,0)*VLOOKUP('Données projet'!$B$15,Paramètres!$A$1:$I$89,5,0)</f>
        <v>2.7533815227798186E-13</v>
      </c>
      <c r="EL157" s="13">
        <f t="shared" si="179"/>
        <v>3.6763598146902537E-12</v>
      </c>
      <c r="EM157" s="20">
        <f t="shared" si="180"/>
        <v>6.88254062580301E-12</v>
      </c>
      <c r="EN157" s="59">
        <f t="shared" si="128"/>
        <v>287.14194833736963</v>
      </c>
      <c r="EO157" s="59">
        <f ca="1">AVERAGE(OFFSET($EN$3,0,0,'Données projet'!$E$15+1,1))-AVERAGE(OFFSET($H$3,0,0,'Données projet'!$E$15+1,1))</f>
        <v>539.72194201710272</v>
      </c>
      <c r="EP157" s="59">
        <f t="shared" si="154"/>
        <v>340.76505385159362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83.550799586969248</v>
      </c>
      <c r="EW157" s="21">
        <f>EXP(-LN(2)/25)*EW156+(1-EXP(-LN(2)/25))/(LN(2)/25)*Calculateur!ER157*Calculateur!ET157*VLOOKUP('Données projet'!$B$15,Paramètres!$A$1:$I$89,3,0)*0.475*44/12</f>
        <v>14.396528291817747</v>
      </c>
      <c r="EX157" s="21">
        <f>EXP(-LN(2)/2)*EX156+(1-EXP(-LN(2)/2))/(LN(2)/2)*ER157*EU157*VLOOKUP('Données projet'!$B$15,Paramètres!$A$1:$I$89,3,0)*0.475*44/12</f>
        <v>1.9776976906517277E-3</v>
      </c>
      <c r="EY157" s="22">
        <f t="shared" si="181"/>
        <v>97.949305576477641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>
        <f>FE157*VLOOKUP('Données projet'!$B$16,Paramètres!$A$1:$I$89,3,0)*VLOOKUP('Données projet'!$B$16,Paramètres!$A$1:$I$89,5,0)</f>
        <v>0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383.47860767209028</v>
      </c>
      <c r="FK157" s="59">
        <f t="shared" si="156"/>
        <v>370.49129421395628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12.241185215051104</v>
      </c>
      <c r="FR157" s="21">
        <f>EXP(-LN(2)/25)*FR156+(1-EXP(-LN(2)/25))/(LN(2)/25)*Calculateur!FM157*Calculateur!FO157*VLOOKUP('Données projet'!$B$16,Paramètres!$A$1:$I$89,3,0)*0.475*44/12</f>
        <v>6.7251617544806495</v>
      </c>
      <c r="FS157" s="21">
        <f>EXP(-LN(2)/2)*FS156+(1-EXP(-LN(2)/2))/(LN(2)/2)*FM157*FP157*VLOOKUP('Données projet'!$B$16,Paramètres!$A$1:$I$89,3,0)*0.475*44/12</f>
        <v>4.6308027725170221E-10</v>
      </c>
      <c r="FT157" s="22">
        <f t="shared" si="184"/>
        <v>18.966346969994834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7.5191666666666634</v>
      </c>
      <c r="FZ157" s="12">
        <f>IF('Données projet'!$A$244&gt;35,FZ156+FY157-GH156,IF(A157&lt;'Données projet'!$A$244,$FW$205^A157,IF(A157='Données projet'!$A$244,'Données projet'!$B$244,FZ156+FY157-GH156)))</f>
        <v>394.16166666666629</v>
      </c>
      <c r="GA157" s="17">
        <f>FZ157*VLOOKUP('Données projet'!$B$17,Paramètres!$A$1:$I$89,3,0)*VLOOKUP('Données projet'!$B$17,Paramètres!$A$1:$I$89,5,0)</f>
        <v>448.87130599999961</v>
      </c>
      <c r="GB157" s="13">
        <f t="shared" si="185"/>
        <v>101.6171303446886</v>
      </c>
      <c r="GC157" s="20">
        <f t="shared" si="186"/>
        <v>958.76735996699881</v>
      </c>
      <c r="GD157" s="59">
        <f t="shared" si="134"/>
        <v>1245.9093083043615</v>
      </c>
      <c r="GE157" s="59">
        <f ca="1">AVERAGE(OFFSET($GD$3,0,0,'Données projet'!$E$17+1,1))-AVERAGE(OFFSET($H$3,0,0,'Données projet'!$E$17+1,1))</f>
        <v>640.05156427113661</v>
      </c>
      <c r="GF157" s="59">
        <f t="shared" si="158"/>
        <v>308.77220155372902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30.660045040081538</v>
      </c>
      <c r="GM157" s="21">
        <f>EXP(-LN(2)/25)*GM156+(1-EXP(-LN(2)/25))/(LN(2)/25)*Calculateur!GH157*Calculateur!GJ157*VLOOKUP('Données projet'!$B$17,Paramètres!$A$1:$I$89,3,0)*0.475*44/12</f>
        <v>19.651323381839877</v>
      </c>
      <c r="GN157" s="21">
        <f>EXP(-LN(2)/2)*GN156+(1-EXP(-LN(2)/2))/(LN(2)/2)*GH157*GK157*VLOOKUP('Données projet'!$B$17,Paramètres!$A$1:$I$89,3,0)*0.475*44/12</f>
        <v>0.20728981964692686</v>
      </c>
      <c r="GO157" s="21">
        <f t="shared" si="187"/>
        <v>50.518658241568339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4.7884896048344674E-14</v>
      </c>
      <c r="P158" s="13">
        <f t="shared" si="141"/>
        <v>7.8374629847779921E-13</v>
      </c>
      <c r="Q158" s="20">
        <f t="shared" si="162"/>
        <v>1.4484243304663672E-12</v>
      </c>
      <c r="R158" s="59">
        <f t="shared" si="109"/>
        <v>287.2493550251811</v>
      </c>
      <c r="S158" s="59">
        <f ca="1">AVERAGE(OFFSET($R$3,0,0,'Données projet'!$E$9+1,1))-AVERAGE(OFFSET($H$3,0,0,'Données projet'!$E$9+1,1))</f>
        <v>456.35333554128226</v>
      </c>
      <c r="T158" s="59">
        <f t="shared" si="142"/>
        <v>296.4517290984877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46.35878197247267</v>
      </c>
      <c r="AA158" s="21">
        <f>EXP(-LN(2)/25)*AA157+(1-EXP(-LN(2)/25))/(LN(2)/25)*Calculateur!V158*Calculateur!X158*VLOOKUP('Données projet'!$B$9,Paramètres!$A$1:$I$89,3,0)*0.475*44/12</f>
        <v>7.1916097637625445</v>
      </c>
      <c r="AB158" s="21">
        <f>EXP(-LN(2)/2)*AB157+(1-EXP(-LN(2)/2))/(LN(2)/2)*V158*Y158*VLOOKUP('Données projet'!$B$9,Paramètres!$A$1:$I$89,3,0)*0.475*44/12</f>
        <v>3.1285704799934593E-7</v>
      </c>
      <c r="AC158" s="22">
        <f t="shared" si="163"/>
        <v>53.55039204909226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408.246209980743</v>
      </c>
      <c r="AO158" s="59">
        <f t="shared" si="144"/>
        <v>394.10236303013903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12.924307888551983</v>
      </c>
      <c r="AV158" s="21">
        <f>EXP(-LN(2)/25)*AV157+(1-EXP(-LN(2)/25))/(LN(2)/25)*Calculateur!AQ158*Calculateur!AS158*VLOOKUP('Données projet'!$B$10,Paramètres!$A$1:$I$89,3,0)*0.475*44/12</f>
        <v>7.0444358413083794</v>
      </c>
      <c r="AW158" s="21">
        <f>EXP(-LN(2)/2)*AW157+(1-EXP(-LN(2)/2))/(LN(2)/2)*AQ158*AT158*VLOOKUP('Données projet'!$B$10,Paramètres!$A$1:$I$89,3,0)*0.475*44/12</f>
        <v>3.5263545076137905E-10</v>
      </c>
      <c r="AX158" s="21">
        <f t="shared" si="166"/>
        <v>19.968743730212999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7.5191666666666634</v>
      </c>
      <c r="BD158" s="12">
        <f>IF('Données projet'!$A$88&gt;35,BD157+BC158-BL157,IF(A158&lt;'Données projet'!$A$88,$BA$205^A158,IF(A158='Données projet'!$A$88,'Données projet'!$B$88,BD157+BC158-BL157)))</f>
        <v>401.68083333333294</v>
      </c>
      <c r="BE158" s="13">
        <f>BD158*VLOOKUP('Données projet'!$B$11,Paramètres!$A$1:$I$89,3,0)*VLOOKUP('Données projet'!$B$11,Paramètres!$A$1:$I$89,5,0)</f>
        <v>407.30436499999962</v>
      </c>
      <c r="BF158" s="13">
        <f t="shared" si="167"/>
        <v>93.255949897998832</v>
      </c>
      <c r="BG158" s="20">
        <f t="shared" si="168"/>
        <v>871.80921511401391</v>
      </c>
      <c r="BH158" s="59">
        <f t="shared" si="116"/>
        <v>1159.0585701391935</v>
      </c>
      <c r="BI158" s="59">
        <f ca="1">AVERAGE(OFFSET($BH$3,0,0,'Données projet'!$E$11+1,1))-AVERAGE(OFFSET($H$3,0,0,'Données projet'!$E$11+1,1))</f>
        <v>580.02848304986492</v>
      </c>
      <c r="BJ158" s="59">
        <f t="shared" si="146"/>
        <v>281.68891895586728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26.764702969119465</v>
      </c>
      <c r="BQ158" s="21">
        <f>EXP(-LN(2)/25)*BQ157+(1-EXP(-LN(2)/25))/(LN(2)/25)*Calculateur!BL158*Calculateur!BN158*VLOOKUP('Données projet'!$B$11,Paramètres!$A$1:$I$89,3,0)*0.475*44/12</f>
        <v>17.019276701170458</v>
      </c>
      <c r="BR158" s="21">
        <f>EXP(-LN(2)/2)*BR157+(1-EXP(-LN(2)/2))/(LN(2)/2)*BL158*BO158*VLOOKUP('Données projet'!$B$11,Paramètres!$A$1:$I$89,3,0)*0.475*44/12</f>
        <v>0.1305129097851109</v>
      </c>
      <c r="BS158" s="22">
        <f t="shared" si="169"/>
        <v>43.914492580075034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4.4337866711430253E-14</v>
      </c>
      <c r="CA158" s="13">
        <f t="shared" si="170"/>
        <v>7.3222115536967035E-13</v>
      </c>
      <c r="CB158" s="20">
        <f t="shared" si="171"/>
        <v>1.3525069634579169E-12</v>
      </c>
      <c r="CC158" s="59">
        <f t="shared" si="119"/>
        <v>287.24935502518105</v>
      </c>
      <c r="CD158" s="59">
        <f ca="1">AVERAGE(OFFSET($CC$3,0,0,'Données projet'!$E$12+1,1))-AVERAGE(OFFSET($H$3,0,0,'Données projet'!$E$12+1,1))</f>
        <v>308.85018589589453</v>
      </c>
      <c r="CE158" s="59">
        <f t="shared" si="148"/>
        <v>302.59481222418219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7.830336233438004</v>
      </c>
      <c r="CL158" s="21">
        <f>EXP(-LN(2)/25)*CL157+(1-EXP(-LN(2)/25))/(LN(2)/25)*Calculateur!CG158*Calculateur!CI158*VLOOKUP('Données projet'!$B$12,Paramètres!$A$1:$I$89,3,0)*0.475*44/12</f>
        <v>3.9008409695726654</v>
      </c>
      <c r="CM158" s="21">
        <f>EXP(-LN(2)/2)*CM157+(1-EXP(-LN(2)/2))/(LN(2)/2)*CG158*CJ158*VLOOKUP('Données projet'!$B$12,Paramètres!$A$1:$I$89,3,0)*0.475*44/12</f>
        <v>6.907159974307829E-12</v>
      </c>
      <c r="CN158" s="22">
        <f t="shared" si="172"/>
        <v>11.731177203017577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2.2737367544323206E-13</v>
      </c>
      <c r="CU158" s="17">
        <f>CT158*VLOOKUP('Données projet'!$B$13,Paramètres!$A$1:$I$89,3,0)*VLOOKUP('Données projet'!$B$13,Paramètres!$A$1:$I$89,5,0)</f>
        <v>1.5252226148732008E-13</v>
      </c>
      <c r="CV158" s="13">
        <f t="shared" si="173"/>
        <v>2.1814502464536512E-12</v>
      </c>
      <c r="CW158" s="20">
        <f t="shared" si="174"/>
        <v>4.0650021179971913E-12</v>
      </c>
      <c r="CX158" s="59">
        <f t="shared" si="122"/>
        <v>287.24935502518377</v>
      </c>
      <c r="CY158" s="59">
        <f ca="1">AVERAGE(OFFSET($CX$3,0,0,'Données projet'!$E$13+1,1))-AVERAGE(OFFSET($H$3,0,0,'Données projet'!$E$13+1,1))</f>
        <v>335.73816489539837</v>
      </c>
      <c r="CZ158" s="59">
        <f t="shared" si="150"/>
        <v>254.09787950201044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15.364697934591726</v>
      </c>
      <c r="DG158" s="21">
        <f>EXP(-LN(2)/25)*DG157+(1-EXP(-LN(2)/25))/(LN(2)/25)*Calculateur!DB158*Calculateur!DD158*VLOOKUP('Données projet'!$B$13,Paramètres!$A$1:$I$89,3,0)*0.475*44/12</f>
        <v>10.887805430256089</v>
      </c>
      <c r="DH158" s="21">
        <f>EXP(-LN(2)/2)*DH157+(1-EXP(-LN(2)/2))/(LN(2)/2)*DB158*DE158*VLOOKUP('Données projet'!$B$13,Paramètres!$A$1:$I$89,3,0)*0.475*44/12</f>
        <v>8.2533030259279319E-6</v>
      </c>
      <c r="DI158" s="22">
        <f t="shared" si="175"/>
        <v>26.252511618150841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2.5579538487363607E-13</v>
      </c>
      <c r="DP158" s="17">
        <f>DO158*VLOOKUP('Données projet'!$B$14,Paramètres!$A$1:$I$89,3,0)*VLOOKUP('Données projet'!$B$14,Paramètres!$A$1:$I$89,5,0)</f>
        <v>2.4740529624978082E-13</v>
      </c>
      <c r="DQ158" s="13">
        <f t="shared" si="176"/>
        <v>3.3447853361996459E-12</v>
      </c>
      <c r="DR158" s="20">
        <f t="shared" si="177"/>
        <v>6.2563986848494188E-12</v>
      </c>
      <c r="DS158" s="59">
        <f t="shared" si="125"/>
        <v>287.24935502518593</v>
      </c>
      <c r="DT158" s="59">
        <f ca="1">AVERAGE(OFFSET($DS$3,0,0,'Données projet'!$E$14+1,1))-AVERAGE(OFFSET($H$3,0,0,'Données projet'!$E$14+1,1))</f>
        <v>493.03862850474161</v>
      </c>
      <c r="DU158" s="59">
        <f t="shared" si="152"/>
        <v>312.51819065560528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73.602463779964097</v>
      </c>
      <c r="EB158" s="21">
        <f>EXP(-LN(2)/25)*EB157+(1-EXP(-LN(2)/25))/(LN(2)/25)*Calculateur!DW158*Calculateur!DY158*VLOOKUP('Données projet'!$B$14,Paramètres!$A$1:$I$89,3,0)*0.475*44/12</f>
        <v>12.582275029754255</v>
      </c>
      <c r="EC158" s="21">
        <f>EXP(-LN(2)/2)*EC157+(1-EXP(-LN(2)/2))/(LN(2)/2)*DW158*DZ158*VLOOKUP('Données projet'!$B$14,Paramètres!$A$1:$I$89,3,0)*0.475*44/12</f>
        <v>1.2565723737420645E-3</v>
      </c>
      <c r="ED158" s="22">
        <f t="shared" si="178"/>
        <v>86.185995382092102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2.5579538487363607E-13</v>
      </c>
      <c r="EK158" s="17">
        <f>EJ158*VLOOKUP('Données projet'!$B$15,Paramètres!$A$1:$I$89,3,0)*VLOOKUP('Données projet'!$B$15,Paramètres!$A$1:$I$89,5,0)</f>
        <v>2.7533815227798186E-13</v>
      </c>
      <c r="EL158" s="13">
        <f t="shared" si="179"/>
        <v>3.6763598146902537E-12</v>
      </c>
      <c r="EM158" s="20">
        <f t="shared" si="180"/>
        <v>6.88254062580301E-12</v>
      </c>
      <c r="EN158" s="59">
        <f t="shared" si="128"/>
        <v>287.24935502518656</v>
      </c>
      <c r="EO158" s="59">
        <f ca="1">AVERAGE(OFFSET($EN$3,0,0,'Données projet'!$E$15+1,1))-AVERAGE(OFFSET($H$3,0,0,'Données projet'!$E$15+1,1))</f>
        <v>539.72194201710272</v>
      </c>
      <c r="EP158" s="59">
        <f t="shared" si="154"/>
        <v>340.76505385159362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81.912419368024558</v>
      </c>
      <c r="EW158" s="21">
        <f>EXP(-LN(2)/25)*EW157+(1-EXP(-LN(2)/25))/(LN(2)/25)*Calculateur!ER158*Calculateur!ET158*VLOOKUP('Données projet'!$B$15,Paramètres!$A$1:$I$89,3,0)*0.475*44/12</f>
        <v>14.002854468597471</v>
      </c>
      <c r="EX158" s="21">
        <f>EXP(-LN(2)/2)*EX157+(1-EXP(-LN(2)/2))/(LN(2)/2)*ER158*EU158*VLOOKUP('Données projet'!$B$15,Paramètres!$A$1:$I$89,3,0)*0.475*44/12</f>
        <v>1.3984434481968116E-3</v>
      </c>
      <c r="EY158" s="22">
        <f t="shared" si="181"/>
        <v>95.91667228007023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>
        <f>FE158*VLOOKUP('Données projet'!$B$16,Paramètres!$A$1:$I$89,3,0)*VLOOKUP('Données projet'!$B$16,Paramètres!$A$1:$I$89,5,0)</f>
        <v>0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383.47860767209028</v>
      </c>
      <c r="FK158" s="59">
        <f t="shared" si="156"/>
        <v>370.49129421395628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12.001143039369689</v>
      </c>
      <c r="FR158" s="21">
        <f>EXP(-LN(2)/25)*FR157+(1-EXP(-LN(2)/25))/(LN(2)/25)*Calculateur!FM158*Calculateur!FO158*VLOOKUP('Données projet'!$B$16,Paramètres!$A$1:$I$89,3,0)*0.475*44/12</f>
        <v>6.5412618526434896</v>
      </c>
      <c r="FS158" s="21">
        <f>EXP(-LN(2)/2)*FS157+(1-EXP(-LN(2)/2))/(LN(2)/2)*FM158*FP158*VLOOKUP('Données projet'!$B$16,Paramètres!$A$1:$I$89,3,0)*0.475*44/12</f>
        <v>3.2744720427842517E-10</v>
      </c>
      <c r="FT158" s="22">
        <f t="shared" si="184"/>
        <v>18.542404892340624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7.5191666666666634</v>
      </c>
      <c r="FZ158" s="12">
        <f>IF('Données projet'!$A$244&gt;35,FZ157+FY158-GH157,IF(A158&lt;'Données projet'!$A$244,$FW$205^A158,IF(A158='Données projet'!$A$244,'Données projet'!$B$244,FZ157+FY158-GH157)))</f>
        <v>401.68083333333294</v>
      </c>
      <c r="GA158" s="17">
        <f>FZ158*VLOOKUP('Données projet'!$B$17,Paramètres!$A$1:$I$89,3,0)*VLOOKUP('Données projet'!$B$17,Paramètres!$A$1:$I$89,5,0)</f>
        <v>457.43413299999958</v>
      </c>
      <c r="GB158" s="13">
        <f t="shared" si="185"/>
        <v>103.32808662074075</v>
      </c>
      <c r="GC158" s="20">
        <f t="shared" si="186"/>
        <v>976.66086583945616</v>
      </c>
      <c r="GD158" s="59">
        <f t="shared" si="134"/>
        <v>1263.9102208646359</v>
      </c>
      <c r="GE158" s="59">
        <f ca="1">AVERAGE(OFFSET($GD$3,0,0,'Données projet'!$E$17+1,1))-AVERAGE(OFFSET($H$3,0,0,'Données projet'!$E$17+1,1))</f>
        <v>640.05156427113661</v>
      </c>
      <c r="GF158" s="59">
        <f t="shared" si="158"/>
        <v>308.77220155372902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30.058820257626465</v>
      </c>
      <c r="GM158" s="21">
        <f>EXP(-LN(2)/25)*GM157+(1-EXP(-LN(2)/25))/(LN(2)/25)*Calculateur!GH158*Calculateur!GJ158*VLOOKUP('Données projet'!$B$17,Paramètres!$A$1:$I$89,3,0)*0.475*44/12</f>
        <v>19.113956910545284</v>
      </c>
      <c r="GN158" s="21">
        <f>EXP(-LN(2)/2)*GN157+(1-EXP(-LN(2)/2))/(LN(2)/2)*GH158*GK158*VLOOKUP('Données projet'!$B$17,Paramètres!$A$1:$I$89,3,0)*0.475*44/12</f>
        <v>0.14657603714327841</v>
      </c>
      <c r="GO158" s="21">
        <f t="shared" si="187"/>
        <v>49.319353205315025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4.7884896048344674E-14</v>
      </c>
      <c r="P159" s="13">
        <f t="shared" si="141"/>
        <v>7.8374629847779921E-13</v>
      </c>
      <c r="Q159" s="20">
        <f t="shared" si="162"/>
        <v>1.4484243304663672E-12</v>
      </c>
      <c r="R159" s="59">
        <f t="shared" si="109"/>
        <v>287.35489844708974</v>
      </c>
      <c r="S159" s="59">
        <f ca="1">AVERAGE(OFFSET($R$3,0,0,'Données projet'!$E$9+1,1))-AVERAGE(OFFSET($H$3,0,0,'Données projet'!$E$9+1,1))</f>
        <v>456.35333554128226</v>
      </c>
      <c r="T159" s="59">
        <f t="shared" si="142"/>
        <v>296.4517290984877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45.449714534057456</v>
      </c>
      <c r="AA159" s="21">
        <f>EXP(-LN(2)/25)*AA158+(1-EXP(-LN(2)/25))/(LN(2)/25)*Calculateur!V159*Calculateur!X159*VLOOKUP('Données projet'!$B$9,Paramètres!$A$1:$I$89,3,0)*0.475*44/12</f>
        <v>6.9949548165821369</v>
      </c>
      <c r="AB159" s="21">
        <f>EXP(-LN(2)/2)*AB158+(1-EXP(-LN(2)/2))/(LN(2)/2)*V159*Y159*VLOOKUP('Données projet'!$B$9,Paramètres!$A$1:$I$89,3,0)*0.475*44/12</f>
        <v>2.212233401823427E-7</v>
      </c>
      <c r="AC159" s="22">
        <f t="shared" si="163"/>
        <v>52.444669571862931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408.246209980743</v>
      </c>
      <c r="AO159" s="59">
        <f t="shared" si="144"/>
        <v>394.10236303013903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12.670870093906904</v>
      </c>
      <c r="AV159" s="21">
        <f>EXP(-LN(2)/25)*AV158+(1-EXP(-LN(2)/25))/(LN(2)/25)*Calculateur!AQ159*Calculateur!AS159*VLOOKUP('Données projet'!$B$10,Paramètres!$A$1:$I$89,3,0)*0.475*44/12</f>
        <v>6.8518053727770214</v>
      </c>
      <c r="AW159" s="21">
        <f>EXP(-LN(2)/2)*AW158+(1-EXP(-LN(2)/2))/(LN(2)/2)*AQ159*AT159*VLOOKUP('Données projet'!$B$10,Paramètres!$A$1:$I$89,3,0)*0.475*44/12</f>
        <v>2.49350918520146E-10</v>
      </c>
      <c r="AX159" s="21">
        <f t="shared" si="166"/>
        <v>19.522675466933276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>
        <f>VLOOKUP(A159,'Données projet'!$A$87:$I$107,2,0)</f>
        <v>409.2</v>
      </c>
      <c r="BB159" s="12">
        <f>VLOOKUP(A159,'Données projet'!$A$87:$I$107,9,0)</f>
        <v>7.5191666666666634</v>
      </c>
      <c r="BC159" s="12">
        <f t="array" ref="BC159">INDEX(BB:BB,MIN(IF(ISNUMBER(BB159:BB355),ROW(BB159:BB355),"")))</f>
        <v>7.5191666666666634</v>
      </c>
      <c r="BD159" s="12">
        <f>IF('Données projet'!$A$88&gt;35,BD158+BC159-BL158,IF(A159&lt;'Données projet'!$A$88,$BA$205^A159,IF(A159='Données projet'!$A$88,'Données projet'!$B$88,BD158+BC159-BL158)))</f>
        <v>409.19999999999959</v>
      </c>
      <c r="BE159" s="13">
        <f>BD159*VLOOKUP('Données projet'!$B$11,Paramètres!$A$1:$I$89,3,0)*VLOOKUP('Données projet'!$B$11,Paramètres!$A$1:$I$89,5,0)</f>
        <v>414.92879999999963</v>
      </c>
      <c r="BF159" s="13">
        <f t="shared" si="167"/>
        <v>94.796765693156289</v>
      </c>
      <c r="BG159" s="20">
        <f t="shared" si="168"/>
        <v>887.77202691557977</v>
      </c>
      <c r="BH159" s="59">
        <f t="shared" si="116"/>
        <v>1175.1269253626681</v>
      </c>
      <c r="BI159" s="59">
        <f ca="1">AVERAGE(OFFSET($BH$3,0,0,'Données projet'!$E$11+1,1))-AVERAGE(OFFSET($H$3,0,0,'Données projet'!$E$11+1,1))</f>
        <v>580.02848304986492</v>
      </c>
      <c r="BJ159" s="59">
        <f t="shared" si="146"/>
        <v>281.68891895586728</v>
      </c>
      <c r="BK159" s="15">
        <f>IF(ISNA(VLOOKUP(A159,'Données projet'!$A$87:$I$107,3,0)),0,VLOOKUP(A159,'Données projet'!$A$87:$I$107,3,0))</f>
        <v>11</v>
      </c>
      <c r="BL159" s="15">
        <f>IF(ISNA(VLOOKUP(A159,'Données projet'!$A$87:$I$107,4,0)),0,VLOOKUP(A159,'Données projet'!$A$87:$I$107,4,0))</f>
        <v>65.69</v>
      </c>
      <c r="BM159" s="16">
        <f>IF(ISNA(VLOOKUP(A159,'Données projet'!$A$87:$I$107,5,0)),0%,VLOOKUP(A159,'Données projet'!$A$87:$I$107,5,0)*VLOOKUP('Données projet'!$B$11,Paramètres!$A$1:$I$89,7,0))</f>
        <v>0.215</v>
      </c>
      <c r="BN159" s="16">
        <f>IF(ISNA(VLOOKUP(A159,'Données projet'!$A$87:$I$107,6,0)),0%,VLOOKUP(A159,'Données projet'!$A$87:$I$107,6,0)*VLOOKUP('Données projet'!$B$11,Paramètres!$A$1:$I$89,7,0))</f>
        <v>8.6000000000000007E-2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42.071389784715464</v>
      </c>
      <c r="BQ159" s="21">
        <f>EXP(-LN(2)/25)*BQ158+(1-EXP(-LN(2)/25))/(LN(2)/25)*Calculateur!BL159*Calculateur!BN159*VLOOKUP('Données projet'!$B$11,Paramètres!$A$1:$I$89,3,0)*0.475*44/12</f>
        <v>22.861560310601355</v>
      </c>
      <c r="BR159" s="21">
        <f>EXP(-LN(2)/2)*BR158+(1-EXP(-LN(2)/2))/(LN(2)/2)*BL159*BO159*VLOOKUP('Données projet'!$B$11,Paramètres!$A$1:$I$89,3,0)*0.475*44/12</f>
        <v>9.2286563541440034E-2</v>
      </c>
      <c r="BS159" s="22">
        <f t="shared" si="169"/>
        <v>65.025236658858248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4.4337866711430253E-14</v>
      </c>
      <c r="CA159" s="13">
        <f t="shared" si="170"/>
        <v>7.3222115536967035E-13</v>
      </c>
      <c r="CB159" s="20">
        <f t="shared" si="171"/>
        <v>1.3525069634579169E-12</v>
      </c>
      <c r="CC159" s="59">
        <f t="shared" si="119"/>
        <v>287.35489844708968</v>
      </c>
      <c r="CD159" s="59">
        <f ca="1">AVERAGE(OFFSET($CC$3,0,0,'Données projet'!$E$12+1,1))-AVERAGE(OFFSET($H$3,0,0,'Données projet'!$E$12+1,1))</f>
        <v>308.85018589589453</v>
      </c>
      <c r="CE159" s="59">
        <f t="shared" si="148"/>
        <v>302.59481222418219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7.6767881159337934</v>
      </c>
      <c r="CL159" s="21">
        <f>EXP(-LN(2)/25)*CL158+(1-EXP(-LN(2)/25))/(LN(2)/25)*Calculateur!CG159*Calculateur!CI159*VLOOKUP('Données projet'!$B$12,Paramètres!$A$1:$I$89,3,0)*0.475*44/12</f>
        <v>3.7941722681233898</v>
      </c>
      <c r="CM159" s="21">
        <f>EXP(-LN(2)/2)*CM158+(1-EXP(-LN(2)/2))/(LN(2)/2)*CG159*CJ159*VLOOKUP('Données projet'!$B$12,Paramètres!$A$1:$I$89,3,0)*0.475*44/12</f>
        <v>4.8840996565733652E-12</v>
      </c>
      <c r="CN159" s="22">
        <f t="shared" si="172"/>
        <v>11.470960384062067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2.2737367544323206E-13</v>
      </c>
      <c r="CU159" s="17">
        <f>CT159*VLOOKUP('Données projet'!$B$13,Paramètres!$A$1:$I$89,3,0)*VLOOKUP('Données projet'!$B$13,Paramètres!$A$1:$I$89,5,0)</f>
        <v>1.5252226148732008E-13</v>
      </c>
      <c r="CV159" s="13">
        <f t="shared" si="173"/>
        <v>2.1814502464536512E-12</v>
      </c>
      <c r="CW159" s="20">
        <f t="shared" si="174"/>
        <v>4.0650021179971913E-12</v>
      </c>
      <c r="CX159" s="59">
        <f t="shared" si="122"/>
        <v>287.35489844709241</v>
      </c>
      <c r="CY159" s="59">
        <f ca="1">AVERAGE(OFFSET($CX$3,0,0,'Données projet'!$E$13+1,1))-AVERAGE(OFFSET($H$3,0,0,'Données projet'!$E$13+1,1))</f>
        <v>335.73816489539837</v>
      </c>
      <c r="CZ159" s="59">
        <f t="shared" si="150"/>
        <v>254.09787950201044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15.063405579634759</v>
      </c>
      <c r="DG159" s="21">
        <f>EXP(-LN(2)/25)*DG158+(1-EXP(-LN(2)/25))/(LN(2)/25)*Calculateur!DB159*Calculateur!DD159*VLOOKUP('Données projet'!$B$13,Paramètres!$A$1:$I$89,3,0)*0.475*44/12</f>
        <v>10.590077818200934</v>
      </c>
      <c r="DH159" s="21">
        <f>EXP(-LN(2)/2)*DH158+(1-EXP(-LN(2)/2))/(LN(2)/2)*DB159*DE159*VLOOKUP('Données projet'!$B$13,Paramètres!$A$1:$I$89,3,0)*0.475*44/12</f>
        <v>5.8359665368210928E-6</v>
      </c>
      <c r="DI159" s="22">
        <f t="shared" si="175"/>
        <v>25.65348923380223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2.5579538487363607E-13</v>
      </c>
      <c r="DP159" s="17">
        <f>DO159*VLOOKUP('Données projet'!$B$14,Paramètres!$A$1:$I$89,3,0)*VLOOKUP('Données projet'!$B$14,Paramètres!$A$1:$I$89,5,0)</f>
        <v>2.4740529624978082E-13</v>
      </c>
      <c r="DQ159" s="13">
        <f t="shared" si="176"/>
        <v>3.3447853361996459E-12</v>
      </c>
      <c r="DR159" s="20">
        <f t="shared" si="177"/>
        <v>6.2563986848494188E-12</v>
      </c>
      <c r="DS159" s="59">
        <f t="shared" si="125"/>
        <v>287.35489844709457</v>
      </c>
      <c r="DT159" s="59">
        <f ca="1">AVERAGE(OFFSET($DS$3,0,0,'Données projet'!$E$14+1,1))-AVERAGE(OFFSET($H$3,0,0,'Données projet'!$E$14+1,1))</f>
        <v>493.03862850474161</v>
      </c>
      <c r="DU159" s="59">
        <f t="shared" si="152"/>
        <v>312.51819065560528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72.159164358309084</v>
      </c>
      <c r="EB159" s="21">
        <f>EXP(-LN(2)/25)*EB158+(1-EXP(-LN(2)/25))/(LN(2)/25)*Calculateur!DW159*Calculateur!DY159*VLOOKUP('Données projet'!$B$14,Paramètres!$A$1:$I$89,3,0)*0.475*44/12</f>
        <v>12.238212057392538</v>
      </c>
      <c r="EC159" s="21">
        <f>EXP(-LN(2)/2)*EC158+(1-EXP(-LN(2)/2))/(LN(2)/2)*DW159*DZ159*VLOOKUP('Données projet'!$B$14,Paramètres!$A$1:$I$89,3,0)*0.475*44/12</f>
        <v>8.8853084652469063E-4</v>
      </c>
      <c r="ED159" s="22">
        <f t="shared" si="178"/>
        <v>84.398264946548139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2.5579538487363607E-13</v>
      </c>
      <c r="EK159" s="17">
        <f>EJ159*VLOOKUP('Données projet'!$B$15,Paramètres!$A$1:$I$89,3,0)*VLOOKUP('Données projet'!$B$15,Paramètres!$A$1:$I$89,5,0)</f>
        <v>2.7533815227798186E-13</v>
      </c>
      <c r="EL159" s="13">
        <f t="shared" si="179"/>
        <v>3.6763598146902537E-12</v>
      </c>
      <c r="EM159" s="20">
        <f t="shared" si="180"/>
        <v>6.88254062580301E-12</v>
      </c>
      <c r="EN159" s="59">
        <f t="shared" si="128"/>
        <v>287.3548984470952</v>
      </c>
      <c r="EO159" s="59">
        <f ca="1">AVERAGE(OFFSET($EN$3,0,0,'Données projet'!$E$15+1,1))-AVERAGE(OFFSET($H$3,0,0,'Données projet'!$E$15+1,1))</f>
        <v>539.72194201710272</v>
      </c>
      <c r="EP159" s="59">
        <f t="shared" si="154"/>
        <v>340.76505385159362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80.306166785860114</v>
      </c>
      <c r="EW159" s="21">
        <f>EXP(-LN(2)/25)*EW158+(1-EXP(-LN(2)/25))/(LN(2)/25)*Calculateur!ER159*Calculateur!ET159*VLOOKUP('Données projet'!$B$15,Paramètres!$A$1:$I$89,3,0)*0.475*44/12</f>
        <v>13.619945676775561</v>
      </c>
      <c r="EX159" s="21">
        <f>EXP(-LN(2)/2)*EX158+(1-EXP(-LN(2)/2))/(LN(2)/2)*ER159*EU159*VLOOKUP('Données projet'!$B$15,Paramètres!$A$1:$I$89,3,0)*0.475*44/12</f>
        <v>9.8884884532586385E-4</v>
      </c>
      <c r="EY159" s="22">
        <f t="shared" si="181"/>
        <v>93.927101311480996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>
        <f>FE159*VLOOKUP('Données projet'!$B$16,Paramètres!$A$1:$I$89,3,0)*VLOOKUP('Données projet'!$B$16,Paramètres!$A$1:$I$89,5,0)</f>
        <v>0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383.47860767209028</v>
      </c>
      <c r="FK159" s="59">
        <f t="shared" si="156"/>
        <v>370.49129421395628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11.765807944342116</v>
      </c>
      <c r="FR159" s="21">
        <f>EXP(-LN(2)/25)*FR158+(1-EXP(-LN(2)/25))/(LN(2)/25)*Calculateur!FM159*Calculateur!FO159*VLOOKUP('Données projet'!$B$16,Paramètres!$A$1:$I$89,3,0)*0.475*44/12</f>
        <v>6.3623907032929425</v>
      </c>
      <c r="FS159" s="21">
        <f>EXP(-LN(2)/2)*FS158+(1-EXP(-LN(2)/2))/(LN(2)/2)*FM159*FP159*VLOOKUP('Données projet'!$B$16,Paramètres!$A$1:$I$89,3,0)*0.475*44/12</f>
        <v>2.3154013862585113E-10</v>
      </c>
      <c r="FT159" s="22">
        <f t="shared" si="184"/>
        <v>18.128198647866601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>
        <f>VLOOKUP(A159,'Données projet'!$A$243:$I$263,2,0)</f>
        <v>409.2</v>
      </c>
      <c r="FX159" s="12">
        <f>VLOOKUP(A159,'Données projet'!$A$243:$I$263,9,0)</f>
        <v>7.5191666666666634</v>
      </c>
      <c r="FY159" s="12">
        <f t="array" ref="FY159">INDEX(FX:FX,MIN(IF(ISNUMBER(FX159:FX355),ROW(FX159:FX355),"")))</f>
        <v>7.5191666666666634</v>
      </c>
      <c r="FZ159" s="12">
        <f>IF('Données projet'!$A$244&gt;35,FZ158+FY159-GH158,IF(A159&lt;'Données projet'!$A$244,$FW$205^A159,IF(A159='Données projet'!$A$244,'Données projet'!$B$244,FZ158+FY159-GH158)))</f>
        <v>409.19999999999959</v>
      </c>
      <c r="GA159" s="17">
        <f>FZ159*VLOOKUP('Données projet'!$B$17,Paramètres!$A$1:$I$89,3,0)*VLOOKUP('Données projet'!$B$17,Paramètres!$A$1:$I$89,5,0)</f>
        <v>465.99695999999949</v>
      </c>
      <c r="GB159" s="13">
        <f t="shared" si="185"/>
        <v>105.03531868607018</v>
      </c>
      <c r="GC159" s="20">
        <f t="shared" si="186"/>
        <v>994.54788537823799</v>
      </c>
      <c r="GD159" s="59">
        <f t="shared" si="134"/>
        <v>1281.9027838253264</v>
      </c>
      <c r="GE159" s="59">
        <f ca="1">AVERAGE(OFFSET($GD$3,0,0,'Données projet'!$E$17+1,1))-AVERAGE(OFFSET($H$3,0,0,'Données projet'!$E$17+1,1))</f>
        <v>640.05156427113661</v>
      </c>
      <c r="GF159" s="59">
        <f t="shared" si="158"/>
        <v>308.77220155372902</v>
      </c>
      <c r="GG159" s="15">
        <f>IF(ISNA(VLOOKUP(A159,'Données projet'!$A$243:$I$263,3,0)),0,VLOOKUP(A159,'Données projet'!$A$243:$I$263,3,0))</f>
        <v>11</v>
      </c>
      <c r="GH159" s="15">
        <f>IF(ISNA(VLOOKUP(A159,'Données projet'!$A$243:$I$263,4,0)),0,VLOOKUP(A159,'Données projet'!$A$243:$I$263,4,0))</f>
        <v>65.69</v>
      </c>
      <c r="GI159" s="16">
        <f>IF(ISNA(VLOOKUP(A159,'Données projet'!$A$243:$I$263,5,0)),0%,VLOOKUP(A159,'Données projet'!$A$243:$I$263,5,0)*VLOOKUP('Données projet'!$B$17,Paramètres!$A$1:$I$89,7,0))</f>
        <v>0.215</v>
      </c>
      <c r="GJ159" s="16">
        <f>IF(ISNA(VLOOKUP(A159,'Données projet'!$A$243:$I$263,6,0)),0%,VLOOKUP(A159,'Données projet'!$A$243:$I$263,6,0)*VLOOKUP('Données projet'!$B$17,Paramètres!$A$1:$I$89,7,0))</f>
        <v>8.6000000000000007E-2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47.249406988988127</v>
      </c>
      <c r="GM159" s="21">
        <f>EXP(-LN(2)/25)*GM158+(1-EXP(-LN(2)/25))/(LN(2)/25)*Calculateur!GH159*Calculateur!GJ159*VLOOKUP('Données projet'!$B$17,Paramètres!$A$1:$I$89,3,0)*0.475*44/12</f>
        <v>25.675290810367677</v>
      </c>
      <c r="GN159" s="21">
        <f>EXP(-LN(2)/2)*GN158+(1-EXP(-LN(2)/2))/(LN(2)/2)*GH159*GK159*VLOOKUP('Données projet'!$B$17,Paramètres!$A$1:$I$89,3,0)*0.475*44/12</f>
        <v>0.10364490982346343</v>
      </c>
      <c r="GO159" s="21">
        <f t="shared" si="187"/>
        <v>73.02834270917927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4.7884896048344674E-14</v>
      </c>
      <c r="P160" s="13">
        <f t="shared" si="141"/>
        <v>7.8374629847779921E-13</v>
      </c>
      <c r="Q160" s="20">
        <f t="shared" si="162"/>
        <v>1.4484243304663672E-12</v>
      </c>
      <c r="R160" s="59">
        <f t="shared" si="109"/>
        <v>287.45861092658799</v>
      </c>
      <c r="S160" s="59">
        <f ca="1">AVERAGE(OFFSET($R$3,0,0,'Données projet'!$E$9+1,1))-AVERAGE(OFFSET($H$3,0,0,'Données projet'!$E$9+1,1))</f>
        <v>456.35333554128226</v>
      </c>
      <c r="T160" s="59">
        <f t="shared" si="142"/>
        <v>296.4517290984877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44.558473353633175</v>
      </c>
      <c r="AA160" s="21">
        <f>EXP(-LN(2)/25)*AA159+(1-EXP(-LN(2)/25))/(LN(2)/25)*Calculateur!V160*Calculateur!X160*VLOOKUP('Données projet'!$B$9,Paramètres!$A$1:$I$89,3,0)*0.475*44/12</f>
        <v>6.8036774092740115</v>
      </c>
      <c r="AB160" s="21">
        <f>EXP(-LN(2)/2)*AB159+(1-EXP(-LN(2)/2))/(LN(2)/2)*V160*Y160*VLOOKUP('Données projet'!$B$9,Paramètres!$A$1:$I$89,3,0)*0.475*44/12</f>
        <v>1.5642852399967296E-7</v>
      </c>
      <c r="AC160" s="22">
        <f t="shared" si="163"/>
        <v>51.362150919335711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408.246209980743</v>
      </c>
      <c r="AO160" s="59">
        <f t="shared" si="144"/>
        <v>394.10236303013903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12.422402059833024</v>
      </c>
      <c r="AV160" s="21">
        <f>EXP(-LN(2)/25)*AV159+(1-EXP(-LN(2)/25))/(LN(2)/25)*Calculateur!AQ160*Calculateur!AS160*VLOOKUP('Données projet'!$B$10,Paramètres!$A$1:$I$89,3,0)*0.475*44/12</f>
        <v>6.664442394537649</v>
      </c>
      <c r="AW160" s="21">
        <f>EXP(-LN(2)/2)*AW159+(1-EXP(-LN(2)/2))/(LN(2)/2)*AQ160*AT160*VLOOKUP('Données projet'!$B$10,Paramètres!$A$1:$I$89,3,0)*0.475*44/12</f>
        <v>1.7631772538068952E-10</v>
      </c>
      <c r="AX160" s="21">
        <f t="shared" si="166"/>
        <v>19.086844454546991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7.6783333333333319</v>
      </c>
      <c r="BD160" s="12">
        <f>IF('Données projet'!$A$88&gt;35,BD159+BC160-BL159,IF(A160&lt;'Données projet'!$A$88,$BA$205^A160,IF(A160='Données projet'!$A$88,'Données projet'!$B$88,BD159+BC160-BL159)))</f>
        <v>351.18833333333293</v>
      </c>
      <c r="BE160" s="13">
        <f>BD160*VLOOKUP('Données projet'!$B$11,Paramètres!$A$1:$I$89,3,0)*VLOOKUP('Données projet'!$B$11,Paramètres!$A$1:$I$89,5,0)</f>
        <v>356.10496999999958</v>
      </c>
      <c r="BF160" s="13">
        <f t="shared" si="167"/>
        <v>82.818320026492003</v>
      </c>
      <c r="BG160" s="20">
        <f t="shared" si="168"/>
        <v>764.45806346280631</v>
      </c>
      <c r="BH160" s="59">
        <f t="shared" si="116"/>
        <v>1051.9166743893929</v>
      </c>
      <c r="BI160" s="59">
        <f ca="1">AVERAGE(OFFSET($BH$3,0,0,'Données projet'!$E$11+1,1))-AVERAGE(OFFSET($H$3,0,0,'Données projet'!$E$11+1,1))</f>
        <v>580.02848304986492</v>
      </c>
      <c r="BJ160" s="59">
        <f t="shared" si="146"/>
        <v>281.68891895586728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41.24639549205115</v>
      </c>
      <c r="BQ160" s="21">
        <f>EXP(-LN(2)/25)*BQ159+(1-EXP(-LN(2)/25))/(LN(2)/25)*Calculateur!BL160*Calculateur!BN160*VLOOKUP('Données projet'!$B$11,Paramètres!$A$1:$I$89,3,0)*0.475*44/12</f>
        <v>22.236409741670755</v>
      </c>
      <c r="BR160" s="21">
        <f>EXP(-LN(2)/2)*BR159+(1-EXP(-LN(2)/2))/(LN(2)/2)*BL160*BO160*VLOOKUP('Données projet'!$B$11,Paramètres!$A$1:$I$89,3,0)*0.475*44/12</f>
        <v>6.5256454892555452E-2</v>
      </c>
      <c r="BS160" s="22">
        <f t="shared" si="169"/>
        <v>63.54806168861446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4.4337866711430253E-14</v>
      </c>
      <c r="CA160" s="13">
        <f t="shared" si="170"/>
        <v>7.3222115536967035E-13</v>
      </c>
      <c r="CB160" s="20">
        <f t="shared" si="171"/>
        <v>1.3525069634579169E-12</v>
      </c>
      <c r="CC160" s="59">
        <f t="shared" si="119"/>
        <v>287.45861092658794</v>
      </c>
      <c r="CD160" s="59">
        <f ca="1">AVERAGE(OFFSET($CC$3,0,0,'Données projet'!$E$12+1,1))-AVERAGE(OFFSET($H$3,0,0,'Données projet'!$E$12+1,1))</f>
        <v>308.85018589589453</v>
      </c>
      <c r="CE160" s="59">
        <f t="shared" si="148"/>
        <v>302.59481222418219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7.5262509833587359</v>
      </c>
      <c r="CL160" s="21">
        <f>EXP(-LN(2)/25)*CL159+(1-EXP(-LN(2)/25))/(LN(2)/25)*Calculateur!CG160*Calculateur!CI160*VLOOKUP('Données projet'!$B$12,Paramètres!$A$1:$I$89,3,0)*0.475*44/12</f>
        <v>3.6904204279247077</v>
      </c>
      <c r="CM160" s="21">
        <f>EXP(-LN(2)/2)*CM159+(1-EXP(-LN(2)/2))/(LN(2)/2)*CG160*CJ160*VLOOKUP('Données projet'!$B$12,Paramètres!$A$1:$I$89,3,0)*0.475*44/12</f>
        <v>3.4535799871539145E-12</v>
      </c>
      <c r="CN160" s="22">
        <f t="shared" si="172"/>
        <v>11.216671411286896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2.2737367544323206E-13</v>
      </c>
      <c r="CU160" s="17">
        <f>CT160*VLOOKUP('Données projet'!$B$13,Paramètres!$A$1:$I$89,3,0)*VLOOKUP('Données projet'!$B$13,Paramètres!$A$1:$I$89,5,0)</f>
        <v>1.5252226148732008E-13</v>
      </c>
      <c r="CV160" s="13">
        <f t="shared" si="173"/>
        <v>2.1814502464536512E-12</v>
      </c>
      <c r="CW160" s="20">
        <f t="shared" si="174"/>
        <v>4.0650021179971913E-12</v>
      </c>
      <c r="CX160" s="59">
        <f t="shared" si="122"/>
        <v>287.45861092659067</v>
      </c>
      <c r="CY160" s="59">
        <f ca="1">AVERAGE(OFFSET($CX$3,0,0,'Données projet'!$E$13+1,1))-AVERAGE(OFFSET($H$3,0,0,'Données projet'!$E$13+1,1))</f>
        <v>335.73816489539837</v>
      </c>
      <c r="CZ160" s="59">
        <f t="shared" si="150"/>
        <v>254.09787950201044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14.768021383988309</v>
      </c>
      <c r="DG160" s="21">
        <f>EXP(-LN(2)/25)*DG159+(1-EXP(-LN(2)/25))/(LN(2)/25)*Calculateur!DB160*Calculateur!DD160*VLOOKUP('Données projet'!$B$13,Paramètres!$A$1:$I$89,3,0)*0.475*44/12</f>
        <v>10.300491583354241</v>
      </c>
      <c r="DH160" s="21">
        <f>EXP(-LN(2)/2)*DH159+(1-EXP(-LN(2)/2))/(LN(2)/2)*DB160*DE160*VLOOKUP('Données projet'!$B$13,Paramètres!$A$1:$I$89,3,0)*0.475*44/12</f>
        <v>4.1266515129639659E-6</v>
      </c>
      <c r="DI160" s="22">
        <f t="shared" si="175"/>
        <v>25.068517093994064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2.5579538487363607E-13</v>
      </c>
      <c r="DP160" s="17">
        <f>DO160*VLOOKUP('Données projet'!$B$14,Paramètres!$A$1:$I$89,3,0)*VLOOKUP('Données projet'!$B$14,Paramètres!$A$1:$I$89,5,0)</f>
        <v>2.4740529624978082E-13</v>
      </c>
      <c r="DQ160" s="13">
        <f t="shared" si="176"/>
        <v>3.3447853361996459E-12</v>
      </c>
      <c r="DR160" s="20">
        <f t="shared" si="177"/>
        <v>6.2563986848494188E-12</v>
      </c>
      <c r="DS160" s="59">
        <f t="shared" si="125"/>
        <v>287.45861092659283</v>
      </c>
      <c r="DT160" s="59">
        <f ca="1">AVERAGE(OFFSET($DS$3,0,0,'Données projet'!$E$14+1,1))-AVERAGE(OFFSET($H$3,0,0,'Données projet'!$E$14+1,1))</f>
        <v>493.03862850474161</v>
      </c>
      <c r="DU160" s="59">
        <f t="shared" si="152"/>
        <v>312.51819065560528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70.744167157987007</v>
      </c>
      <c r="EB160" s="21">
        <f>EXP(-LN(2)/25)*EB159+(1-EXP(-LN(2)/25))/(LN(2)/25)*Calculateur!DW160*Calculateur!DY160*VLOOKUP('Données projet'!$B$14,Paramètres!$A$1:$I$89,3,0)*0.475*44/12</f>
        <v>11.903557505103537</v>
      </c>
      <c r="EC160" s="21">
        <f>EXP(-LN(2)/2)*EC159+(1-EXP(-LN(2)/2))/(LN(2)/2)*DW160*DZ160*VLOOKUP('Données projet'!$B$14,Paramètres!$A$1:$I$89,3,0)*0.475*44/12</f>
        <v>6.2828618687103225E-4</v>
      </c>
      <c r="ED160" s="22">
        <f t="shared" si="178"/>
        <v>82.64835294927741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2.5579538487363607E-13</v>
      </c>
      <c r="EK160" s="17">
        <f>EJ160*VLOOKUP('Données projet'!$B$15,Paramètres!$A$1:$I$89,3,0)*VLOOKUP('Données projet'!$B$15,Paramètres!$A$1:$I$89,5,0)</f>
        <v>2.7533815227798186E-13</v>
      </c>
      <c r="EL160" s="13">
        <f t="shared" si="179"/>
        <v>3.6763598146902537E-12</v>
      </c>
      <c r="EM160" s="20">
        <f t="shared" si="180"/>
        <v>6.88254062580301E-12</v>
      </c>
      <c r="EN160" s="59">
        <f t="shared" si="128"/>
        <v>287.45861092659345</v>
      </c>
      <c r="EO160" s="59">
        <f ca="1">AVERAGE(OFFSET($EN$3,0,0,'Données projet'!$E$15+1,1))-AVERAGE(OFFSET($H$3,0,0,'Données projet'!$E$15+1,1))</f>
        <v>539.72194201710272</v>
      </c>
      <c r="EP160" s="59">
        <f t="shared" si="154"/>
        <v>340.76505385159362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78.731411837114578</v>
      </c>
      <c r="EW160" s="21">
        <f>EXP(-LN(2)/25)*EW159+(1-EXP(-LN(2)/25))/(LN(2)/25)*Calculateur!ER160*Calculateur!ET160*VLOOKUP('Données projet'!$B$15,Paramètres!$A$1:$I$89,3,0)*0.475*44/12</f>
        <v>13.24750754600232</v>
      </c>
      <c r="EX160" s="21">
        <f>EXP(-LN(2)/2)*EX159+(1-EXP(-LN(2)/2))/(LN(2)/2)*ER160*EU160*VLOOKUP('Données projet'!$B$15,Paramètres!$A$1:$I$89,3,0)*0.475*44/12</f>
        <v>6.9922172409840578E-4</v>
      </c>
      <c r="EY160" s="22">
        <f t="shared" si="181"/>
        <v>91.979618604841008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>
        <f>FE160*VLOOKUP('Données projet'!$B$16,Paramètres!$A$1:$I$89,3,0)*VLOOKUP('Données projet'!$B$16,Paramètres!$A$1:$I$89,5,0)</f>
        <v>0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383.47860767209028</v>
      </c>
      <c r="FK160" s="59">
        <f t="shared" si="156"/>
        <v>370.49129421395628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11.535087626987799</v>
      </c>
      <c r="FR160" s="21">
        <f>EXP(-LN(2)/25)*FR159+(1-EXP(-LN(2)/25))/(LN(2)/25)*Calculateur!FM160*Calculateur!FO160*VLOOKUP('Données projet'!$B$16,Paramètres!$A$1:$I$89,3,0)*0.475*44/12</f>
        <v>6.1884107949278118</v>
      </c>
      <c r="FS160" s="21">
        <f>EXP(-LN(2)/2)*FS159+(1-EXP(-LN(2)/2))/(LN(2)/2)*FM160*FP160*VLOOKUP('Données projet'!$B$16,Paramètres!$A$1:$I$89,3,0)*0.475*44/12</f>
        <v>1.6372360213921261E-10</v>
      </c>
      <c r="FT160" s="22">
        <f t="shared" si="184"/>
        <v>17.723498422079334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7.6783333333333319</v>
      </c>
      <c r="FZ160" s="12">
        <f>IF('Données projet'!$A$244&gt;35,FZ159+FY160-GH159,IF(A160&lt;'Données projet'!$A$244,$FW$205^A160,IF(A160='Données projet'!$A$244,'Données projet'!$B$244,FZ159+FY160-GH159)))</f>
        <v>351.18833333333293</v>
      </c>
      <c r="GA160" s="17">
        <f>FZ160*VLOOKUP('Données projet'!$B$17,Paramètres!$A$1:$I$89,3,0)*VLOOKUP('Données projet'!$B$17,Paramètres!$A$1:$I$89,5,0)</f>
        <v>399.93327399999959</v>
      </c>
      <c r="GB160" s="13">
        <f t="shared" si="185"/>
        <v>91.763137417414484</v>
      </c>
      <c r="GC160" s="20">
        <f t="shared" si="186"/>
        <v>856.37124988532958</v>
      </c>
      <c r="GD160" s="59">
        <f t="shared" si="134"/>
        <v>1143.8298608119162</v>
      </c>
      <c r="GE160" s="59">
        <f ca="1">AVERAGE(OFFSET($GD$3,0,0,'Données projet'!$E$17+1,1))-AVERAGE(OFFSET($H$3,0,0,'Données projet'!$E$17+1,1))</f>
        <v>640.05156427113661</v>
      </c>
      <c r="GF160" s="59">
        <f t="shared" si="158"/>
        <v>308.77220155372902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46.322874937226665</v>
      </c>
      <c r="GM160" s="21">
        <f>EXP(-LN(2)/25)*GM159+(1-EXP(-LN(2)/25))/(LN(2)/25)*Calculateur!GH160*Calculateur!GJ160*VLOOKUP('Données projet'!$B$17,Paramètres!$A$1:$I$89,3,0)*0.475*44/12</f>
        <v>24.973198632953313</v>
      </c>
      <c r="GN160" s="21">
        <f>EXP(-LN(2)/2)*GN159+(1-EXP(-LN(2)/2))/(LN(2)/2)*GH160*GK160*VLOOKUP('Données projet'!$B$17,Paramètres!$A$1:$I$89,3,0)*0.475*44/12</f>
        <v>7.3288018571639205E-2</v>
      </c>
      <c r="GO160" s="21">
        <f t="shared" si="187"/>
        <v>71.369361588751616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4.7884896048344674E-14</v>
      </c>
      <c r="P161" s="13">
        <f t="shared" si="141"/>
        <v>7.8374629847779921E-13</v>
      </c>
      <c r="Q161" s="20">
        <f t="shared" si="162"/>
        <v>1.4484243304663672E-12</v>
      </c>
      <c r="R161" s="59">
        <f t="shared" si="109"/>
        <v>287.56052422643342</v>
      </c>
      <c r="S161" s="59">
        <f ca="1">AVERAGE(OFFSET($R$3,0,0,'Données projet'!$E$9+1,1))-AVERAGE(OFFSET($H$3,0,0,'Données projet'!$E$9+1,1))</f>
        <v>456.35333554128226</v>
      </c>
      <c r="T161" s="59">
        <f t="shared" si="142"/>
        <v>296.4517290984877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43.684708869153575</v>
      </c>
      <c r="AA161" s="21">
        <f>EXP(-LN(2)/25)*AA160+(1-EXP(-LN(2)/25))/(LN(2)/25)*Calculateur!V161*Calculateur!X161*VLOOKUP('Données projet'!$B$9,Paramètres!$A$1:$I$89,3,0)*0.475*44/12</f>
        <v>6.6176304927275691</v>
      </c>
      <c r="AB161" s="21">
        <f>EXP(-LN(2)/2)*AB160+(1-EXP(-LN(2)/2))/(LN(2)/2)*V161*Y161*VLOOKUP('Données projet'!$B$9,Paramètres!$A$1:$I$89,3,0)*0.475*44/12</f>
        <v>1.1061167009117135E-7</v>
      </c>
      <c r="AC161" s="22">
        <f t="shared" si="163"/>
        <v>50.302339472492818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408.246209980743</v>
      </c>
      <c r="AO161" s="59">
        <f t="shared" si="144"/>
        <v>394.10236303013903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12.178806332356796</v>
      </c>
      <c r="AV161" s="21">
        <f>EXP(-LN(2)/25)*AV160+(1-EXP(-LN(2)/25))/(LN(2)/25)*Calculateur!AQ161*Calculateur!AS161*VLOOKUP('Données projet'!$B$10,Paramètres!$A$1:$I$89,3,0)*0.475*44/12</f>
        <v>6.4822028667912228</v>
      </c>
      <c r="AW161" s="21">
        <f>EXP(-LN(2)/2)*AW160+(1-EXP(-LN(2)/2))/(LN(2)/2)*AQ161*AT161*VLOOKUP('Données projet'!$B$10,Paramètres!$A$1:$I$89,3,0)*0.475*44/12</f>
        <v>1.24675459260073E-10</v>
      </c>
      <c r="AX161" s="21">
        <f t="shared" si="166"/>
        <v>18.661009199272694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7.6783333333333319</v>
      </c>
      <c r="BD161" s="12">
        <f>IF('Données projet'!$A$88&gt;35,BD160+BC161-BL160,IF(A161&lt;'Données projet'!$A$88,$BA$205^A161,IF(A161='Données projet'!$A$88,'Données projet'!$B$88,BD160+BC161-BL160)))</f>
        <v>358.86666666666628</v>
      </c>
      <c r="BE161" s="13">
        <f>BD161*VLOOKUP('Données projet'!$B$11,Paramètres!$A$1:$I$89,3,0)*VLOOKUP('Données projet'!$B$11,Paramètres!$A$1:$I$89,5,0)</f>
        <v>363.89079999999962</v>
      </c>
      <c r="BF161" s="13">
        <f t="shared" si="167"/>
        <v>84.416260050559117</v>
      </c>
      <c r="BG161" s="20">
        <f t="shared" si="168"/>
        <v>780.80146292138977</v>
      </c>
      <c r="BH161" s="59">
        <f t="shared" si="116"/>
        <v>1068.3619871478218</v>
      </c>
      <c r="BI161" s="59">
        <f ca="1">AVERAGE(OFFSET($BH$3,0,0,'Données projet'!$E$11+1,1))-AVERAGE(OFFSET($H$3,0,0,'Données projet'!$E$11+1,1))</f>
        <v>580.02848304986492</v>
      </c>
      <c r="BJ161" s="59">
        <f t="shared" si="146"/>
        <v>281.68891895586728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40.437578834269146</v>
      </c>
      <c r="BQ161" s="21">
        <f>EXP(-LN(2)/25)*BQ160+(1-EXP(-LN(2)/25))/(LN(2)/25)*Calculateur!BL161*Calculateur!BN161*VLOOKUP('Données projet'!$B$11,Paramètres!$A$1:$I$89,3,0)*0.475*44/12</f>
        <v>21.6283539479228</v>
      </c>
      <c r="BR161" s="21">
        <f>EXP(-LN(2)/2)*BR160+(1-EXP(-LN(2)/2))/(LN(2)/2)*BL161*BO161*VLOOKUP('Données projet'!$B$11,Paramètres!$A$1:$I$89,3,0)*0.475*44/12</f>
        <v>4.6143281770720017E-2</v>
      </c>
      <c r="BS161" s="22">
        <f t="shared" si="169"/>
        <v>62.112076063962668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4.4337866711430253E-14</v>
      </c>
      <c r="CA161" s="13">
        <f t="shared" si="170"/>
        <v>7.3222115536967035E-13</v>
      </c>
      <c r="CB161" s="20">
        <f t="shared" si="171"/>
        <v>1.3525069634579169E-12</v>
      </c>
      <c r="CC161" s="59">
        <f t="shared" si="119"/>
        <v>287.56052422643336</v>
      </c>
      <c r="CD161" s="59">
        <f ca="1">AVERAGE(OFFSET($CC$3,0,0,'Données projet'!$E$12+1,1))-AVERAGE(OFFSET($H$3,0,0,'Données projet'!$E$12+1,1))</f>
        <v>308.85018589589453</v>
      </c>
      <c r="CE161" s="59">
        <f t="shared" si="148"/>
        <v>302.59481222418219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7.3786657921348908</v>
      </c>
      <c r="CL161" s="21">
        <f>EXP(-LN(2)/25)*CL160+(1-EXP(-LN(2)/25))/(LN(2)/25)*Calculateur!CG161*Calculateur!CI161*VLOOKUP('Données projet'!$B$12,Paramètres!$A$1:$I$89,3,0)*0.475*44/12</f>
        <v>3.589505687252331</v>
      </c>
      <c r="CM161" s="21">
        <f>EXP(-LN(2)/2)*CM160+(1-EXP(-LN(2)/2))/(LN(2)/2)*CG161*CJ161*VLOOKUP('Données projet'!$B$12,Paramètres!$A$1:$I$89,3,0)*0.475*44/12</f>
        <v>2.4420498282866826E-12</v>
      </c>
      <c r="CN161" s="22">
        <f t="shared" si="172"/>
        <v>10.968171479389664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2.2737367544323206E-13</v>
      </c>
      <c r="CU161" s="17">
        <f>CT161*VLOOKUP('Données projet'!$B$13,Paramètres!$A$1:$I$89,3,0)*VLOOKUP('Données projet'!$B$13,Paramètres!$A$1:$I$89,5,0)</f>
        <v>1.5252226148732008E-13</v>
      </c>
      <c r="CV161" s="13">
        <f t="shared" si="173"/>
        <v>2.1814502464536512E-12</v>
      </c>
      <c r="CW161" s="20">
        <f t="shared" si="174"/>
        <v>4.0650021179971913E-12</v>
      </c>
      <c r="CX161" s="59">
        <f t="shared" si="122"/>
        <v>287.56052422643609</v>
      </c>
      <c r="CY161" s="59">
        <f ca="1">AVERAGE(OFFSET($CX$3,0,0,'Données projet'!$E$13+1,1))-AVERAGE(OFFSET($H$3,0,0,'Données projet'!$E$13+1,1))</f>
        <v>335.73816489539837</v>
      </c>
      <c r="CZ161" s="59">
        <f t="shared" si="150"/>
        <v>254.09787950201044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14.478429492251916</v>
      </c>
      <c r="DG161" s="21">
        <f>EXP(-LN(2)/25)*DG160+(1-EXP(-LN(2)/25))/(LN(2)/25)*Calculateur!DB161*Calculateur!DD161*VLOOKUP('Données projet'!$B$13,Paramètres!$A$1:$I$89,3,0)*0.475*44/12</f>
        <v>10.018824099328109</v>
      </c>
      <c r="DH161" s="21">
        <f>EXP(-LN(2)/2)*DH160+(1-EXP(-LN(2)/2))/(LN(2)/2)*DB161*DE161*VLOOKUP('Données projet'!$B$13,Paramètres!$A$1:$I$89,3,0)*0.475*44/12</f>
        <v>2.9179832684105464E-6</v>
      </c>
      <c r="DI161" s="22">
        <f t="shared" si="175"/>
        <v>24.497256509563297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2.5579538487363607E-13</v>
      </c>
      <c r="DP161" s="17">
        <f>DO161*VLOOKUP('Données projet'!$B$14,Paramètres!$A$1:$I$89,3,0)*VLOOKUP('Données projet'!$B$14,Paramètres!$A$1:$I$89,5,0)</f>
        <v>2.4740529624978082E-13</v>
      </c>
      <c r="DQ161" s="13">
        <f t="shared" si="176"/>
        <v>3.3447853361996459E-12</v>
      </c>
      <c r="DR161" s="20">
        <f t="shared" si="177"/>
        <v>6.2563986848494188E-12</v>
      </c>
      <c r="DS161" s="59">
        <f t="shared" si="125"/>
        <v>287.56052422643825</v>
      </c>
      <c r="DT161" s="59">
        <f ca="1">AVERAGE(OFFSET($DS$3,0,0,'Données projet'!$E$14+1,1))-AVERAGE(OFFSET($H$3,0,0,'Données projet'!$E$14+1,1))</f>
        <v>493.03862850474161</v>
      </c>
      <c r="DU161" s="59">
        <f t="shared" si="152"/>
        <v>312.51819065560528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69.35691718970017</v>
      </c>
      <c r="EB161" s="21">
        <f>EXP(-LN(2)/25)*EB160+(1-EXP(-LN(2)/25))/(LN(2)/25)*Calculateur!DW161*Calculateur!DY161*VLOOKUP('Données projet'!$B$14,Paramètres!$A$1:$I$89,3,0)*0.475*44/12</f>
        <v>11.578054099145598</v>
      </c>
      <c r="EC161" s="21">
        <f>EXP(-LN(2)/2)*EC160+(1-EXP(-LN(2)/2))/(LN(2)/2)*DW161*DZ161*VLOOKUP('Données projet'!$B$14,Paramètres!$A$1:$I$89,3,0)*0.475*44/12</f>
        <v>4.4426542326234531E-4</v>
      </c>
      <c r="ED161" s="22">
        <f t="shared" si="178"/>
        <v>80.935415554269042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2.5579538487363607E-13</v>
      </c>
      <c r="EK161" s="17">
        <f>EJ161*VLOOKUP('Données projet'!$B$15,Paramètres!$A$1:$I$89,3,0)*VLOOKUP('Données projet'!$B$15,Paramètres!$A$1:$I$89,5,0)</f>
        <v>2.7533815227798186E-13</v>
      </c>
      <c r="EL161" s="13">
        <f t="shared" si="179"/>
        <v>3.6763598146902537E-12</v>
      </c>
      <c r="EM161" s="20">
        <f t="shared" si="180"/>
        <v>6.88254062580301E-12</v>
      </c>
      <c r="EN161" s="59">
        <f t="shared" si="128"/>
        <v>287.56052422643887</v>
      </c>
      <c r="EO161" s="59">
        <f ca="1">AVERAGE(OFFSET($EN$3,0,0,'Données projet'!$E$15+1,1))-AVERAGE(OFFSET($H$3,0,0,'Données projet'!$E$15+1,1))</f>
        <v>539.72194201710272</v>
      </c>
      <c r="EP161" s="59">
        <f t="shared" si="154"/>
        <v>340.76505385159362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77.187536872408259</v>
      </c>
      <c r="EW161" s="21">
        <f>EXP(-LN(2)/25)*EW160+(1-EXP(-LN(2)/25))/(LN(2)/25)*Calculateur!ER161*Calculateur!ET161*VLOOKUP('Données projet'!$B$15,Paramètres!$A$1:$I$89,3,0)*0.475*44/12</f>
        <v>12.885253755500742</v>
      </c>
      <c r="EX161" s="21">
        <f>EXP(-LN(2)/2)*EX160+(1-EXP(-LN(2)/2))/(LN(2)/2)*ER161*EU161*VLOOKUP('Données projet'!$B$15,Paramètres!$A$1:$I$89,3,0)*0.475*44/12</f>
        <v>4.9442442266293192E-4</v>
      </c>
      <c r="EY161" s="22">
        <f t="shared" si="181"/>
        <v>90.07328505233167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>
        <f>FE161*VLOOKUP('Données projet'!$B$16,Paramètres!$A$1:$I$89,3,0)*VLOOKUP('Données projet'!$B$16,Paramètres!$A$1:$I$89,5,0)</f>
        <v>0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383.47860767209028</v>
      </c>
      <c r="FK161" s="59">
        <f t="shared" si="156"/>
        <v>370.49129421395628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11.308891594331303</v>
      </c>
      <c r="FR161" s="21">
        <f>EXP(-LN(2)/25)*FR160+(1-EXP(-LN(2)/25))/(LN(2)/25)*Calculateur!FM161*Calculateur!FO161*VLOOKUP('Données projet'!$B$16,Paramètres!$A$1:$I$89,3,0)*0.475*44/12</f>
        <v>6.0191883763061309</v>
      </c>
      <c r="FS161" s="21">
        <f>EXP(-LN(2)/2)*FS160+(1-EXP(-LN(2)/2))/(LN(2)/2)*FM161*FP161*VLOOKUP('Données projet'!$B$16,Paramètres!$A$1:$I$89,3,0)*0.475*44/12</f>
        <v>1.1577006931292559E-10</v>
      </c>
      <c r="FT161" s="22">
        <f t="shared" si="184"/>
        <v>17.328079970753201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7.6783333333333319</v>
      </c>
      <c r="FZ161" s="12">
        <f>IF('Données projet'!$A$244&gt;35,FZ160+FY161-GH160,IF(A161&lt;'Données projet'!$A$244,$FW$205^A161,IF(A161='Données projet'!$A$244,'Données projet'!$B$244,FZ160+FY161-GH160)))</f>
        <v>358.86666666666628</v>
      </c>
      <c r="GA161" s="17">
        <f>FZ161*VLOOKUP('Données projet'!$B$17,Paramètres!$A$1:$I$89,3,0)*VLOOKUP('Données projet'!$B$17,Paramètres!$A$1:$I$89,5,0)</f>
        <v>408.67735999999957</v>
      </c>
      <c r="GB161" s="13">
        <f t="shared" si="185"/>
        <v>93.533663431059196</v>
      </c>
      <c r="GC161" s="20">
        <f t="shared" si="186"/>
        <v>874.68419914242725</v>
      </c>
      <c r="GD161" s="59">
        <f t="shared" si="134"/>
        <v>1162.2447233688592</v>
      </c>
      <c r="GE161" s="59">
        <f ca="1">AVERAGE(OFFSET($GD$3,0,0,'Données projet'!$E$17+1,1))-AVERAGE(OFFSET($H$3,0,0,'Données projet'!$E$17+1,1))</f>
        <v>640.05156427113661</v>
      </c>
      <c r="GF161" s="59">
        <f t="shared" si="158"/>
        <v>308.77220155372902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45.414511613871497</v>
      </c>
      <c r="GM161" s="21">
        <f>EXP(-LN(2)/25)*GM160+(1-EXP(-LN(2)/25))/(LN(2)/25)*Calculateur!GH161*Calculateur!GJ161*VLOOKUP('Données projet'!$B$17,Paramètres!$A$1:$I$89,3,0)*0.475*44/12</f>
        <v>24.290305203051766</v>
      </c>
      <c r="GN161" s="21">
        <f>EXP(-LN(2)/2)*GN160+(1-EXP(-LN(2)/2))/(LN(2)/2)*GH161*GK161*VLOOKUP('Données projet'!$B$17,Paramètres!$A$1:$I$89,3,0)*0.475*44/12</f>
        <v>5.1822454911731715E-2</v>
      </c>
      <c r="GO161" s="21">
        <f t="shared" si="187"/>
        <v>69.756639271834985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4.7884896048344674E-14</v>
      </c>
      <c r="P162" s="13">
        <f t="shared" si="141"/>
        <v>7.8374629847779921E-13</v>
      </c>
      <c r="Q162" s="20">
        <f t="shared" si="162"/>
        <v>1.4484243304663672E-12</v>
      </c>
      <c r="R162" s="59">
        <f t="shared" si="109"/>
        <v>287.66066955837039</v>
      </c>
      <c r="S162" s="59">
        <f ca="1">AVERAGE(OFFSET($R$3,0,0,'Données projet'!$E$9+1,1))-AVERAGE(OFFSET($H$3,0,0,'Données projet'!$E$9+1,1))</f>
        <v>456.35333554128226</v>
      </c>
      <c r="T162" s="59">
        <f t="shared" si="142"/>
        <v>296.4517290984877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42.828078373270905</v>
      </c>
      <c r="AA162" s="21">
        <f>EXP(-LN(2)/25)*AA161+(1-EXP(-LN(2)/25))/(LN(2)/25)*Calculateur!V162*Calculateur!X162*VLOOKUP('Données projet'!$B$9,Paramètres!$A$1:$I$89,3,0)*0.475*44/12</f>
        <v>6.4366710388978712</v>
      </c>
      <c r="AB162" s="21">
        <f>EXP(-LN(2)/2)*AB161+(1-EXP(-LN(2)/2))/(LN(2)/2)*V162*Y162*VLOOKUP('Données projet'!$B$9,Paramètres!$A$1:$I$89,3,0)*0.475*44/12</f>
        <v>7.8214261999836482E-8</v>
      </c>
      <c r="AC162" s="22">
        <f t="shared" si="163"/>
        <v>49.264749490383039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408.246209980743</v>
      </c>
      <c r="AO162" s="59">
        <f t="shared" si="144"/>
        <v>394.10236303013903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11.939987368517654</v>
      </c>
      <c r="AV162" s="21">
        <f>EXP(-LN(2)/25)*AV161+(1-EXP(-LN(2)/25))/(LN(2)/25)*Calculateur!AQ162*Calculateur!AS162*VLOOKUP('Données projet'!$B$10,Paramètres!$A$1:$I$89,3,0)*0.475*44/12</f>
        <v>6.3049466885145833</v>
      </c>
      <c r="AW162" s="21">
        <f>EXP(-LN(2)/2)*AW161+(1-EXP(-LN(2)/2))/(LN(2)/2)*AQ162*AT162*VLOOKUP('Données projet'!$B$10,Paramètres!$A$1:$I$89,3,0)*0.475*44/12</f>
        <v>8.8158862690344762E-11</v>
      </c>
      <c r="AX162" s="21">
        <f t="shared" si="166"/>
        <v>18.2449340571204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7.6783333333333319</v>
      </c>
      <c r="BD162" s="12">
        <f>IF('Données projet'!$A$88&gt;35,BD161+BC162-BL161,IF(A162&lt;'Données projet'!$A$88,$BA$205^A162,IF(A162='Données projet'!$A$88,'Données projet'!$B$88,BD161+BC162-BL161)))</f>
        <v>366.54499999999962</v>
      </c>
      <c r="BE162" s="13">
        <f>BD162*VLOOKUP('Données projet'!$B$11,Paramètres!$A$1:$I$89,3,0)*VLOOKUP('Données projet'!$B$11,Paramètres!$A$1:$I$89,5,0)</f>
        <v>371.67662999999965</v>
      </c>
      <c r="BF162" s="13">
        <f t="shared" si="167"/>
        <v>86.010225033473873</v>
      </c>
      <c r="BG162" s="20">
        <f t="shared" si="168"/>
        <v>797.13793918329975</v>
      </c>
      <c r="BH162" s="59">
        <f t="shared" si="116"/>
        <v>1084.7986087416687</v>
      </c>
      <c r="BI162" s="59">
        <f ca="1">AVERAGE(OFFSET($BH$3,0,0,'Données projet'!$E$11+1,1))-AVERAGE(OFFSET($H$3,0,0,'Données projet'!$E$11+1,1))</f>
        <v>580.02848304986492</v>
      </c>
      <c r="BJ162" s="59">
        <f t="shared" si="146"/>
        <v>281.68891895586728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39.644622577816804</v>
      </c>
      <c r="BQ162" s="21">
        <f>EXP(-LN(2)/25)*BQ161+(1-EXP(-LN(2)/25))/(LN(2)/25)*Calculateur!BL162*Calculateur!BN162*VLOOKUP('Données projet'!$B$11,Paramètres!$A$1:$I$89,3,0)*0.475*44/12</f>
        <v>21.03692547183115</v>
      </c>
      <c r="BR162" s="21">
        <f>EXP(-LN(2)/2)*BR161+(1-EXP(-LN(2)/2))/(LN(2)/2)*BL162*BO162*VLOOKUP('Données projet'!$B$11,Paramètres!$A$1:$I$89,3,0)*0.475*44/12</f>
        <v>3.2628227446277726E-2</v>
      </c>
      <c r="BS162" s="22">
        <f t="shared" si="169"/>
        <v>60.714176277094239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4.4337866711430253E-14</v>
      </c>
      <c r="CA162" s="13">
        <f t="shared" si="170"/>
        <v>7.3222115536967035E-13</v>
      </c>
      <c r="CB162" s="20">
        <f t="shared" si="171"/>
        <v>1.3525069634579169E-12</v>
      </c>
      <c r="CC162" s="59">
        <f t="shared" si="119"/>
        <v>287.66066955837033</v>
      </c>
      <c r="CD162" s="59">
        <f ca="1">AVERAGE(OFFSET($CC$3,0,0,'Données projet'!$E$12+1,1))-AVERAGE(OFFSET($H$3,0,0,'Données projet'!$E$12+1,1))</f>
        <v>308.85018589589453</v>
      </c>
      <c r="CE162" s="59">
        <f t="shared" si="148"/>
        <v>302.59481222418219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7.2339746564928671</v>
      </c>
      <c r="CL162" s="21">
        <f>EXP(-LN(2)/25)*CL161+(1-EXP(-LN(2)/25))/(LN(2)/25)*Calculateur!CG162*Calculateur!CI162*VLOOKUP('Données projet'!$B$12,Paramètres!$A$1:$I$89,3,0)*0.475*44/12</f>
        <v>3.4913504654705156</v>
      </c>
      <c r="CM162" s="21">
        <f>EXP(-LN(2)/2)*CM161+(1-EXP(-LN(2)/2))/(LN(2)/2)*CG162*CJ162*VLOOKUP('Données projet'!$B$12,Paramètres!$A$1:$I$89,3,0)*0.475*44/12</f>
        <v>1.7267899935769572E-12</v>
      </c>
      <c r="CN162" s="22">
        <f t="shared" si="172"/>
        <v>10.72532512196511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2.2737367544323206E-13</v>
      </c>
      <c r="CU162" s="17">
        <f>CT162*VLOOKUP('Données projet'!$B$13,Paramètres!$A$1:$I$89,3,0)*VLOOKUP('Données projet'!$B$13,Paramètres!$A$1:$I$89,5,0)</f>
        <v>1.5252226148732008E-13</v>
      </c>
      <c r="CV162" s="13">
        <f t="shared" si="173"/>
        <v>2.1814502464536512E-12</v>
      </c>
      <c r="CW162" s="20">
        <f t="shared" si="174"/>
        <v>4.0650021179971913E-12</v>
      </c>
      <c r="CX162" s="59">
        <f t="shared" si="122"/>
        <v>287.66066955837306</v>
      </c>
      <c r="CY162" s="59">
        <f ca="1">AVERAGE(OFFSET($CX$3,0,0,'Données projet'!$E$13+1,1))-AVERAGE(OFFSET($H$3,0,0,'Données projet'!$E$13+1,1))</f>
        <v>335.73816489539837</v>
      </c>
      <c r="CZ162" s="59">
        <f t="shared" si="150"/>
        <v>254.09787950201044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14.19451632087886</v>
      </c>
      <c r="DG162" s="21">
        <f>EXP(-LN(2)/25)*DG161+(1-EXP(-LN(2)/25))/(LN(2)/25)*Calculateur!DB162*Calculateur!DD162*VLOOKUP('Données projet'!$B$13,Paramètres!$A$1:$I$89,3,0)*0.475*44/12</f>
        <v>9.7448588274649204</v>
      </c>
      <c r="DH162" s="21">
        <f>EXP(-LN(2)/2)*DH161+(1-EXP(-LN(2)/2))/(LN(2)/2)*DB162*DE162*VLOOKUP('Données projet'!$B$13,Paramètres!$A$1:$I$89,3,0)*0.475*44/12</f>
        <v>2.063325756481983E-6</v>
      </c>
      <c r="DI162" s="22">
        <f t="shared" si="175"/>
        <v>23.939377211669534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2.5579538487363607E-13</v>
      </c>
      <c r="DP162" s="17">
        <f>DO162*VLOOKUP('Données projet'!$B$14,Paramètres!$A$1:$I$89,3,0)*VLOOKUP('Données projet'!$B$14,Paramètres!$A$1:$I$89,5,0)</f>
        <v>2.4740529624978082E-13</v>
      </c>
      <c r="DQ162" s="13">
        <f t="shared" si="176"/>
        <v>3.3447853361996459E-12</v>
      </c>
      <c r="DR162" s="20">
        <f t="shared" si="177"/>
        <v>6.2563986848494188E-12</v>
      </c>
      <c r="DS162" s="59">
        <f t="shared" si="125"/>
        <v>287.66066955837522</v>
      </c>
      <c r="DT162" s="59">
        <f ca="1">AVERAGE(OFFSET($DS$3,0,0,'Données projet'!$E$14+1,1))-AVERAGE(OFFSET($H$3,0,0,'Données projet'!$E$14+1,1))</f>
        <v>493.03862850474161</v>
      </c>
      <c r="DU162" s="59">
        <f t="shared" si="152"/>
        <v>312.51819065560528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67.996870347152509</v>
      </c>
      <c r="EB162" s="21">
        <f>EXP(-LN(2)/25)*EB161+(1-EXP(-LN(2)/25))/(LN(2)/25)*Calculateur!DW162*Calculateur!DY162*VLOOKUP('Données projet'!$B$14,Paramètres!$A$1:$I$89,3,0)*0.475*44/12</f>
        <v>11.261451600941058</v>
      </c>
      <c r="EC162" s="21">
        <f>EXP(-LN(2)/2)*EC161+(1-EXP(-LN(2)/2))/(LN(2)/2)*DW162*DZ162*VLOOKUP('Données projet'!$B$14,Paramètres!$A$1:$I$89,3,0)*0.475*44/12</f>
        <v>3.1414309343551612E-4</v>
      </c>
      <c r="ED162" s="22">
        <f t="shared" si="178"/>
        <v>79.258636091187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2.5579538487363607E-13</v>
      </c>
      <c r="EK162" s="17">
        <f>EJ162*VLOOKUP('Données projet'!$B$15,Paramètres!$A$1:$I$89,3,0)*VLOOKUP('Données projet'!$B$15,Paramètres!$A$1:$I$89,5,0)</f>
        <v>2.7533815227798186E-13</v>
      </c>
      <c r="EL162" s="13">
        <f t="shared" si="179"/>
        <v>3.6763598146902537E-12</v>
      </c>
      <c r="EM162" s="20">
        <f t="shared" si="180"/>
        <v>6.88254062580301E-12</v>
      </c>
      <c r="EN162" s="59">
        <f t="shared" si="128"/>
        <v>287.66066955837584</v>
      </c>
      <c r="EO162" s="59">
        <f ca="1">AVERAGE(OFFSET($EN$3,0,0,'Données projet'!$E$15+1,1))-AVERAGE(OFFSET($H$3,0,0,'Données projet'!$E$15+1,1))</f>
        <v>539.72194201710272</v>
      </c>
      <c r="EP162" s="59">
        <f t="shared" si="154"/>
        <v>340.76505385159362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75.673936354089079</v>
      </c>
      <c r="EW162" s="21">
        <f>EXP(-LN(2)/25)*EW161+(1-EXP(-LN(2)/25))/(LN(2)/25)*Calculateur!ER162*Calculateur!ET162*VLOOKUP('Données projet'!$B$15,Paramètres!$A$1:$I$89,3,0)*0.475*44/12</f>
        <v>12.532905813950528</v>
      </c>
      <c r="EX162" s="21">
        <f>EXP(-LN(2)/2)*EX161+(1-EXP(-LN(2)/2))/(LN(2)/2)*ER162*EU162*VLOOKUP('Données projet'!$B$15,Paramètres!$A$1:$I$89,3,0)*0.475*44/12</f>
        <v>3.4961086204920289E-4</v>
      </c>
      <c r="EY162" s="22">
        <f t="shared" si="181"/>
        <v>88.207191778901645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>
        <f>FE162*VLOOKUP('Données projet'!$B$16,Paramètres!$A$1:$I$89,3,0)*VLOOKUP('Données projet'!$B$16,Paramètres!$A$1:$I$89,5,0)</f>
        <v>0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383.47860767209028</v>
      </c>
      <c r="FK162" s="59">
        <f t="shared" si="156"/>
        <v>370.49129421395628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11.087131127909243</v>
      </c>
      <c r="FR162" s="21">
        <f>EXP(-LN(2)/25)*FR161+(1-EXP(-LN(2)/25))/(LN(2)/25)*Calculateur!FM162*Calculateur!FO162*VLOOKUP('Données projet'!$B$16,Paramètres!$A$1:$I$89,3,0)*0.475*44/12</f>
        <v>5.8545933536206798</v>
      </c>
      <c r="FS162" s="21">
        <f>EXP(-LN(2)/2)*FS161+(1-EXP(-LN(2)/2))/(LN(2)/2)*FM162*FP162*VLOOKUP('Données projet'!$B$16,Paramètres!$A$1:$I$89,3,0)*0.475*44/12</f>
        <v>8.1861801069606319E-11</v>
      </c>
      <c r="FT162" s="22">
        <f t="shared" si="184"/>
        <v>16.941724481611786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7.6783333333333319</v>
      </c>
      <c r="FZ162" s="12">
        <f>IF('Données projet'!$A$244&gt;35,FZ161+FY162-GH161,IF(A162&lt;'Données projet'!$A$244,$FW$205^A162,IF(A162='Données projet'!$A$244,'Données projet'!$B$244,FZ161+FY162-GH161)))</f>
        <v>366.54499999999962</v>
      </c>
      <c r="GA162" s="17">
        <f>FZ162*VLOOKUP('Données projet'!$B$17,Paramètres!$A$1:$I$89,3,0)*VLOOKUP('Données projet'!$B$17,Paramètres!$A$1:$I$89,5,0)</f>
        <v>417.42144599999961</v>
      </c>
      <c r="GB162" s="13">
        <f t="shared" si="185"/>
        <v>95.299785078044607</v>
      </c>
      <c r="GC162" s="20">
        <f t="shared" si="186"/>
        <v>892.98947746092699</v>
      </c>
      <c r="GD162" s="59">
        <f t="shared" si="134"/>
        <v>1180.6501470192959</v>
      </c>
      <c r="GE162" s="59">
        <f ca="1">AVERAGE(OFFSET($GD$3,0,0,'Données projet'!$E$17+1,1))-AVERAGE(OFFSET($H$3,0,0,'Données projet'!$E$17+1,1))</f>
        <v>640.05156427113661</v>
      </c>
      <c r="GF162" s="59">
        <f t="shared" si="158"/>
        <v>308.77220155372902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44.523960741240401</v>
      </c>
      <c r="GM162" s="21">
        <f>EXP(-LN(2)/25)*GM161+(1-EXP(-LN(2)/25))/(LN(2)/25)*Calculateur!GH162*Calculateur!GJ162*VLOOKUP('Données projet'!$B$17,Paramètres!$A$1:$I$89,3,0)*0.475*44/12</f>
        <v>23.626085529902682</v>
      </c>
      <c r="GN162" s="21">
        <f>EXP(-LN(2)/2)*GN161+(1-EXP(-LN(2)/2))/(LN(2)/2)*GH162*GK162*VLOOKUP('Données projet'!$B$17,Paramètres!$A$1:$I$89,3,0)*0.475*44/12</f>
        <v>3.6644009285819602E-2</v>
      </c>
      <c r="GO162" s="21">
        <f t="shared" si="187"/>
        <v>68.186690280428905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4.7884896048344674E-14</v>
      </c>
      <c r="P163" s="13">
        <f t="shared" si="141"/>
        <v>7.8374629847779921E-13</v>
      </c>
      <c r="Q163" s="20">
        <f t="shared" si="162"/>
        <v>1.4484243304663672E-12</v>
      </c>
      <c r="R163" s="59">
        <f t="shared" si="109"/>
        <v>287.75907759268978</v>
      </c>
      <c r="S163" s="59">
        <f ca="1">AVERAGE(OFFSET($R$3,0,0,'Données projet'!$E$9+1,1))-AVERAGE(OFFSET($H$3,0,0,'Données projet'!$E$9+1,1))</f>
        <v>456.35333554128226</v>
      </c>
      <c r="T163" s="59">
        <f t="shared" si="142"/>
        <v>296.4517290984877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41.988245878919486</v>
      </c>
      <c r="AA163" s="21">
        <f>EXP(-LN(2)/25)*AA162+(1-EXP(-LN(2)/25))/(LN(2)/25)*Calculateur!V163*Calculateur!X163*VLOOKUP('Données projet'!$B$9,Paramètres!$A$1:$I$89,3,0)*0.475*44/12</f>
        <v>6.26065993084939</v>
      </c>
      <c r="AB163" s="21">
        <f>EXP(-LN(2)/2)*AB162+(1-EXP(-LN(2)/2))/(LN(2)/2)*V163*Y163*VLOOKUP('Données projet'!$B$9,Paramètres!$A$1:$I$89,3,0)*0.475*44/12</f>
        <v>5.5305835045585675E-8</v>
      </c>
      <c r="AC163" s="22">
        <f t="shared" si="163"/>
        <v>48.248905865074711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408.246209980743</v>
      </c>
      <c r="AO163" s="59">
        <f t="shared" si="144"/>
        <v>394.10236303013903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11.705851498894214</v>
      </c>
      <c r="AV163" s="21">
        <f>EXP(-LN(2)/25)*AV162+(1-EXP(-LN(2)/25))/(LN(2)/25)*Calculateur!AQ163*Calculateur!AS163*VLOOKUP('Données projet'!$B$10,Paramètres!$A$1:$I$89,3,0)*0.475*44/12</f>
        <v>6.1325375897544161</v>
      </c>
      <c r="AW163" s="21">
        <f>EXP(-LN(2)/2)*AW162+(1-EXP(-LN(2)/2))/(LN(2)/2)*AQ163*AT163*VLOOKUP('Données projet'!$B$10,Paramètres!$A$1:$I$89,3,0)*0.475*44/12</f>
        <v>6.2337729630036501E-11</v>
      </c>
      <c r="AX163" s="21">
        <f t="shared" si="166"/>
        <v>17.838389088710969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7.6783333333333319</v>
      </c>
      <c r="BD163" s="12">
        <f>IF('Données projet'!$A$88&gt;35,BD162+BC163-BL162,IF(A163&lt;'Données projet'!$A$88,$BA$205^A163,IF(A163='Données projet'!$A$88,'Données projet'!$B$88,BD162+BC163-BL162)))</f>
        <v>374.22333333333296</v>
      </c>
      <c r="BE163" s="13">
        <f>BD163*VLOOKUP('Données projet'!$B$11,Paramètres!$A$1:$I$89,3,0)*VLOOKUP('Données projet'!$B$11,Paramètres!$A$1:$I$89,5,0)</f>
        <v>379.46245999999962</v>
      </c>
      <c r="BF163" s="13">
        <f t="shared" si="167"/>
        <v>87.600307836777574</v>
      </c>
      <c r="BG163" s="20">
        <f t="shared" si="168"/>
        <v>813.46765398238688</v>
      </c>
      <c r="BH163" s="59">
        <f t="shared" si="116"/>
        <v>1101.2267315750753</v>
      </c>
      <c r="BI163" s="59">
        <f ca="1">AVERAGE(OFFSET($BH$3,0,0,'Données projet'!$E$11+1,1))-AVERAGE(OFFSET($H$3,0,0,'Données projet'!$E$11+1,1))</f>
        <v>580.02848304986492</v>
      </c>
      <c r="BJ163" s="59">
        <f t="shared" si="146"/>
        <v>281.68891895586728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38.867215709897927</v>
      </c>
      <c r="BQ163" s="21">
        <f>EXP(-LN(2)/25)*BQ162+(1-EXP(-LN(2)/25))/(LN(2)/25)*Calculateur!BL163*Calculateur!BN163*VLOOKUP('Données projet'!$B$11,Paramètres!$A$1:$I$89,3,0)*0.475*44/12</f>
        <v>20.461669638520096</v>
      </c>
      <c r="BR163" s="21">
        <f>EXP(-LN(2)/2)*BR162+(1-EXP(-LN(2)/2))/(LN(2)/2)*BL163*BO163*VLOOKUP('Données projet'!$B$11,Paramètres!$A$1:$I$89,3,0)*0.475*44/12</f>
        <v>2.3071640885360008E-2</v>
      </c>
      <c r="BS163" s="22">
        <f t="shared" si="169"/>
        <v>59.351956989303389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4.4337866711430253E-14</v>
      </c>
      <c r="CA163" s="13">
        <f t="shared" si="170"/>
        <v>7.3222115536967035E-13</v>
      </c>
      <c r="CB163" s="20">
        <f t="shared" si="171"/>
        <v>1.3525069634579169E-12</v>
      </c>
      <c r="CC163" s="59">
        <f t="shared" si="119"/>
        <v>287.75907759268972</v>
      </c>
      <c r="CD163" s="59">
        <f ca="1">AVERAGE(OFFSET($CC$3,0,0,'Données projet'!$E$12+1,1))-AVERAGE(OFFSET($H$3,0,0,'Données projet'!$E$12+1,1))</f>
        <v>308.85018589589453</v>
      </c>
      <c r="CE163" s="59">
        <f t="shared" si="148"/>
        <v>302.59481222418219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7.0921208257679051</v>
      </c>
      <c r="CL163" s="21">
        <f>EXP(-LN(2)/25)*CL162+(1-EXP(-LN(2)/25))/(LN(2)/25)*Calculateur!CG163*Calculateur!CI163*VLOOKUP('Données projet'!$B$12,Paramètres!$A$1:$I$89,3,0)*0.475*44/12</f>
        <v>3.3958793033900831</v>
      </c>
      <c r="CM163" s="21">
        <f>EXP(-LN(2)/2)*CM162+(1-EXP(-LN(2)/2))/(LN(2)/2)*CG163*CJ163*VLOOKUP('Données projet'!$B$12,Paramètres!$A$1:$I$89,3,0)*0.475*44/12</f>
        <v>1.2210249141433413E-12</v>
      </c>
      <c r="CN163" s="22">
        <f t="shared" si="172"/>
        <v>10.488000129159209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2.2737367544323206E-13</v>
      </c>
      <c r="CU163" s="17">
        <f>CT163*VLOOKUP('Données projet'!$B$13,Paramètres!$A$1:$I$89,3,0)*VLOOKUP('Données projet'!$B$13,Paramètres!$A$1:$I$89,5,0)</f>
        <v>1.5252226148732008E-13</v>
      </c>
      <c r="CV163" s="13">
        <f t="shared" si="173"/>
        <v>2.1814502464536512E-12</v>
      </c>
      <c r="CW163" s="20">
        <f t="shared" si="174"/>
        <v>4.0650021179971913E-12</v>
      </c>
      <c r="CX163" s="59">
        <f t="shared" si="122"/>
        <v>287.75907759269245</v>
      </c>
      <c r="CY163" s="59">
        <f ca="1">AVERAGE(OFFSET($CX$3,0,0,'Données projet'!$E$13+1,1))-AVERAGE(OFFSET($H$3,0,0,'Données projet'!$E$13+1,1))</f>
        <v>335.73816489539837</v>
      </c>
      <c r="CZ163" s="59">
        <f t="shared" si="150"/>
        <v>254.09787950201044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13.916170513626493</v>
      </c>
      <c r="DG163" s="21">
        <f>EXP(-LN(2)/25)*DG162+(1-EXP(-LN(2)/25))/(LN(2)/25)*Calculateur!DB163*Calculateur!DD163*VLOOKUP('Données projet'!$B$13,Paramètres!$A$1:$I$89,3,0)*0.475*44/12</f>
        <v>9.4783851503680392</v>
      </c>
      <c r="DH163" s="21">
        <f>EXP(-LN(2)/2)*DH162+(1-EXP(-LN(2)/2))/(LN(2)/2)*DB163*DE163*VLOOKUP('Données projet'!$B$13,Paramètres!$A$1:$I$89,3,0)*0.475*44/12</f>
        <v>1.4589916342052732E-6</v>
      </c>
      <c r="DI163" s="22">
        <f t="shared" si="175"/>
        <v>23.394557122986164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2.5579538487363607E-13</v>
      </c>
      <c r="DP163" s="17">
        <f>DO163*VLOOKUP('Données projet'!$B$14,Paramètres!$A$1:$I$89,3,0)*VLOOKUP('Données projet'!$B$14,Paramètres!$A$1:$I$89,5,0)</f>
        <v>2.4740529624978082E-13</v>
      </c>
      <c r="DQ163" s="13">
        <f t="shared" si="176"/>
        <v>3.3447853361996459E-12</v>
      </c>
      <c r="DR163" s="20">
        <f t="shared" si="177"/>
        <v>6.2563986848494188E-12</v>
      </c>
      <c r="DS163" s="59">
        <f t="shared" si="125"/>
        <v>287.75907759269461</v>
      </c>
      <c r="DT163" s="59">
        <f ca="1">AVERAGE(OFFSET($DS$3,0,0,'Données projet'!$E$14+1,1))-AVERAGE(OFFSET($H$3,0,0,'Données projet'!$E$14+1,1))</f>
        <v>493.03862850474161</v>
      </c>
      <c r="DU163" s="59">
        <f t="shared" si="152"/>
        <v>312.51819065560528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66.663493193640548</v>
      </c>
      <c r="EB163" s="21">
        <f>EXP(-LN(2)/25)*EB162+(1-EXP(-LN(2)/25))/(LN(2)/25)*Calculateur!DW163*Calculateur!DY163*VLOOKUP('Données projet'!$B$14,Paramètres!$A$1:$I$89,3,0)*0.475*44/12</f>
        <v>10.953506614699323</v>
      </c>
      <c r="EC163" s="21">
        <f>EXP(-LN(2)/2)*EC162+(1-EXP(-LN(2)/2))/(LN(2)/2)*DW163*DZ163*VLOOKUP('Données projet'!$B$14,Paramètres!$A$1:$I$89,3,0)*0.475*44/12</f>
        <v>2.2213271163117266E-4</v>
      </c>
      <c r="ED163" s="22">
        <f t="shared" si="178"/>
        <v>77.617221941051497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2.5579538487363607E-13</v>
      </c>
      <c r="EK163" s="17">
        <f>EJ163*VLOOKUP('Données projet'!$B$15,Paramètres!$A$1:$I$89,3,0)*VLOOKUP('Données projet'!$B$15,Paramètres!$A$1:$I$89,5,0)</f>
        <v>2.7533815227798186E-13</v>
      </c>
      <c r="EL163" s="13">
        <f t="shared" si="179"/>
        <v>3.6763598146902537E-12</v>
      </c>
      <c r="EM163" s="20">
        <f t="shared" si="180"/>
        <v>6.88254062580301E-12</v>
      </c>
      <c r="EN163" s="59">
        <f t="shared" si="128"/>
        <v>287.75907759269523</v>
      </c>
      <c r="EO163" s="59">
        <f ca="1">AVERAGE(OFFSET($EN$3,0,0,'Données projet'!$E$15+1,1))-AVERAGE(OFFSET($H$3,0,0,'Données projet'!$E$15+1,1))</f>
        <v>539.72194201710272</v>
      </c>
      <c r="EP163" s="59">
        <f t="shared" si="154"/>
        <v>340.76505385159362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74.19001661872899</v>
      </c>
      <c r="EW163" s="21">
        <f>EXP(-LN(2)/25)*EW162+(1-EXP(-LN(2)/25))/(LN(2)/25)*Calculateur!ER163*Calculateur!ET163*VLOOKUP('Données projet'!$B$15,Paramètres!$A$1:$I$89,3,0)*0.475*44/12</f>
        <v>12.190192845391179</v>
      </c>
      <c r="EX163" s="21">
        <f>EXP(-LN(2)/2)*EX162+(1-EXP(-LN(2)/2))/(LN(2)/2)*ER163*EU163*VLOOKUP('Données projet'!$B$15,Paramètres!$A$1:$I$89,3,0)*0.475*44/12</f>
        <v>2.4721221133146596E-4</v>
      </c>
      <c r="EY163" s="22">
        <f t="shared" si="181"/>
        <v>86.380456676331505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>
        <f>FE163*VLOOKUP('Données projet'!$B$16,Paramètres!$A$1:$I$89,3,0)*VLOOKUP('Données projet'!$B$16,Paramètres!$A$1:$I$89,5,0)</f>
        <v>0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383.47860767209028</v>
      </c>
      <c r="FK163" s="59">
        <f t="shared" si="156"/>
        <v>370.49129421395628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10.869719248973192</v>
      </c>
      <c r="FR163" s="21">
        <f>EXP(-LN(2)/25)*FR162+(1-EXP(-LN(2)/25))/(LN(2)/25)*Calculateur!FM163*Calculateur!FO163*VLOOKUP('Données projet'!$B$16,Paramètres!$A$1:$I$89,3,0)*0.475*44/12</f>
        <v>5.6944991904862388</v>
      </c>
      <c r="FS163" s="21">
        <f>EXP(-LN(2)/2)*FS162+(1-EXP(-LN(2)/2))/(LN(2)/2)*FM163*FP163*VLOOKUP('Données projet'!$B$16,Paramètres!$A$1:$I$89,3,0)*0.475*44/12</f>
        <v>5.7885034656462802E-11</v>
      </c>
      <c r="FT163" s="22">
        <f t="shared" si="184"/>
        <v>16.564218439517315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7.6783333333333319</v>
      </c>
      <c r="FZ163" s="12">
        <f>IF('Données projet'!$A$244&gt;35,FZ162+FY163-GH162,IF(A163&lt;'Données projet'!$A$244,$FW$205^A163,IF(A163='Données projet'!$A$244,'Données projet'!$B$244,FZ162+FY163-GH162)))</f>
        <v>374.22333333333296</v>
      </c>
      <c r="GA163" s="17">
        <f>FZ163*VLOOKUP('Données projet'!$B$17,Paramètres!$A$1:$I$89,3,0)*VLOOKUP('Données projet'!$B$17,Paramètres!$A$1:$I$89,5,0)</f>
        <v>426.16553199999959</v>
      </c>
      <c r="GB163" s="13">
        <f t="shared" si="185"/>
        <v>97.061605249450551</v>
      </c>
      <c r="GC163" s="20">
        <f t="shared" si="186"/>
        <v>911.28726404279223</v>
      </c>
      <c r="GD163" s="59">
        <f t="shared" si="134"/>
        <v>1199.0463416354805</v>
      </c>
      <c r="GE163" s="59">
        <f ca="1">AVERAGE(OFFSET($GD$3,0,0,'Données projet'!$E$17+1,1))-AVERAGE(OFFSET($H$3,0,0,'Données projet'!$E$17+1,1))</f>
        <v>640.05156427113661</v>
      </c>
      <c r="GF163" s="59">
        <f t="shared" si="158"/>
        <v>308.77220155372902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43.650873028039207</v>
      </c>
      <c r="GM163" s="21">
        <f>EXP(-LN(2)/25)*GM162+(1-EXP(-LN(2)/25))/(LN(2)/25)*Calculateur!GH163*Calculateur!GJ163*VLOOKUP('Données projet'!$B$17,Paramètres!$A$1:$I$89,3,0)*0.475*44/12</f>
        <v>22.980028978645652</v>
      </c>
      <c r="GN163" s="21">
        <f>EXP(-LN(2)/2)*GN162+(1-EXP(-LN(2)/2))/(LN(2)/2)*GH163*GK163*VLOOKUP('Données projet'!$B$17,Paramètres!$A$1:$I$89,3,0)*0.475*44/12</f>
        <v>2.5911227455865857E-2</v>
      </c>
      <c r="GO163" s="21">
        <f t="shared" si="187"/>
        <v>66.656813234140728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4.7884896048344674E-14</v>
      </c>
      <c r="P164" s="13">
        <f t="shared" si="141"/>
        <v>7.8374629847779921E-13</v>
      </c>
      <c r="Q164" s="20">
        <f t="shared" si="162"/>
        <v>1.4484243304663672E-12</v>
      </c>
      <c r="R164" s="59">
        <f t="shared" si="109"/>
        <v>287.85577846762112</v>
      </c>
      <c r="S164" s="59">
        <f ca="1">AVERAGE(OFFSET($R$3,0,0,'Données projet'!$E$9+1,1))-AVERAGE(OFFSET($H$3,0,0,'Données projet'!$E$9+1,1))</f>
        <v>456.35333554128226</v>
      </c>
      <c r="T164" s="59">
        <f t="shared" si="142"/>
        <v>296.4517290984877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41.164881987535054</v>
      </c>
      <c r="AA164" s="21">
        <f>EXP(-LN(2)/25)*AA163+(1-EXP(-LN(2)/25))/(LN(2)/25)*Calculateur!V164*Calculateur!X164*VLOOKUP('Données projet'!$B$9,Paramètres!$A$1:$I$89,3,0)*0.475*44/12</f>
        <v>6.0894618558065163</v>
      </c>
      <c r="AB164" s="21">
        <f>EXP(-LN(2)/2)*AB163+(1-EXP(-LN(2)/2))/(LN(2)/2)*V164*Y164*VLOOKUP('Données projet'!$B$9,Paramètres!$A$1:$I$89,3,0)*0.475*44/12</f>
        <v>3.9107130999918241E-8</v>
      </c>
      <c r="AC164" s="22">
        <f t="shared" si="163"/>
        <v>47.254343882448701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408.246209980743</v>
      </c>
      <c r="AO164" s="59">
        <f t="shared" si="144"/>
        <v>394.10236303013903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11.47630689086531</v>
      </c>
      <c r="AV164" s="21">
        <f>EXP(-LN(2)/25)*AV163+(1-EXP(-LN(2)/25))/(LN(2)/25)*Calculateur!AQ164*Calculateur!AS164*VLOOKUP('Données projet'!$B$10,Paramètres!$A$1:$I$89,3,0)*0.475*44/12</f>
        <v>5.9648430268664461</v>
      </c>
      <c r="AW164" s="21">
        <f>EXP(-LN(2)/2)*AW163+(1-EXP(-LN(2)/2))/(LN(2)/2)*AQ164*AT164*VLOOKUP('Données projet'!$B$10,Paramètres!$A$1:$I$89,3,0)*0.475*44/12</f>
        <v>4.4079431345172381E-11</v>
      </c>
      <c r="AX164" s="21">
        <f t="shared" si="166"/>
        <v>17.441149917775835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7.6783333333333319</v>
      </c>
      <c r="BD164" s="12">
        <f>IF('Données projet'!$A$88&gt;35,BD163+BC164-BL163,IF(A164&lt;'Données projet'!$A$88,$BA$205^A164,IF(A164='Données projet'!$A$88,'Données projet'!$B$88,BD163+BC164-BL163)))</f>
        <v>381.9016666666663</v>
      </c>
      <c r="BE164" s="13">
        <f>BD164*VLOOKUP('Données projet'!$B$11,Paramètres!$A$1:$I$89,3,0)*VLOOKUP('Données projet'!$B$11,Paramètres!$A$1:$I$89,5,0)</f>
        <v>387.24828999999966</v>
      </c>
      <c r="BF164" s="13">
        <f t="shared" si="167"/>
        <v>89.186597293517707</v>
      </c>
      <c r="BG164" s="20">
        <f t="shared" si="168"/>
        <v>829.79076203620934</v>
      </c>
      <c r="BH164" s="59">
        <f t="shared" si="116"/>
        <v>1117.6465405038291</v>
      </c>
      <c r="BI164" s="59">
        <f ca="1">AVERAGE(OFFSET($BH$3,0,0,'Données projet'!$E$11+1,1))-AVERAGE(OFFSET($H$3,0,0,'Données projet'!$E$11+1,1))</f>
        <v>580.02848304986492</v>
      </c>
      <c r="BJ164" s="59">
        <f t="shared" si="146"/>
        <v>281.68891895586728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38.10505331648757</v>
      </c>
      <c r="BQ164" s="21">
        <f>EXP(-LN(2)/25)*BQ163+(1-EXP(-LN(2)/25))/(LN(2)/25)*Calculateur!BL164*Calculateur!BN164*VLOOKUP('Données projet'!$B$11,Paramètres!$A$1:$I$89,3,0)*0.475*44/12</f>
        <v>19.902144206222324</v>
      </c>
      <c r="BR164" s="21">
        <f>EXP(-LN(2)/2)*BR163+(1-EXP(-LN(2)/2))/(LN(2)/2)*BL164*BO164*VLOOKUP('Données projet'!$B$11,Paramètres!$A$1:$I$89,3,0)*0.475*44/12</f>
        <v>1.6314113723138863E-2</v>
      </c>
      <c r="BS164" s="22">
        <f t="shared" si="169"/>
        <v>58.023511636433035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4.4337866711430253E-14</v>
      </c>
      <c r="CA164" s="13">
        <f t="shared" si="170"/>
        <v>7.3222115536967035E-13</v>
      </c>
      <c r="CB164" s="20">
        <f t="shared" si="171"/>
        <v>1.3525069634579169E-12</v>
      </c>
      <c r="CC164" s="59">
        <f t="shared" si="119"/>
        <v>287.85577846762106</v>
      </c>
      <c r="CD164" s="59">
        <f ca="1">AVERAGE(OFFSET($CC$3,0,0,'Données projet'!$E$12+1,1))-AVERAGE(OFFSET($H$3,0,0,'Données projet'!$E$12+1,1))</f>
        <v>308.85018589589453</v>
      </c>
      <c r="CE164" s="59">
        <f t="shared" si="148"/>
        <v>302.59481222418219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6.9530486621411667</v>
      </c>
      <c r="CL164" s="21">
        <f>EXP(-LN(2)/25)*CL163+(1-EXP(-LN(2)/25))/(LN(2)/25)*Calculateur!CG164*Calculateur!CI164*VLOOKUP('Données projet'!$B$12,Paramètres!$A$1:$I$89,3,0)*0.475*44/12</f>
        <v>3.3030188052573504</v>
      </c>
      <c r="CM164" s="21">
        <f>EXP(-LN(2)/2)*CM163+(1-EXP(-LN(2)/2))/(LN(2)/2)*CG164*CJ164*VLOOKUP('Données projet'!$B$12,Paramètres!$A$1:$I$89,3,0)*0.475*44/12</f>
        <v>8.6339499678847862E-13</v>
      </c>
      <c r="CN164" s="22">
        <f t="shared" si="172"/>
        <v>10.256067467399379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2.2737367544323206E-13</v>
      </c>
      <c r="CU164" s="17">
        <f>CT164*VLOOKUP('Données projet'!$B$13,Paramètres!$A$1:$I$89,3,0)*VLOOKUP('Données projet'!$B$13,Paramètres!$A$1:$I$89,5,0)</f>
        <v>1.5252226148732008E-13</v>
      </c>
      <c r="CV164" s="13">
        <f t="shared" si="173"/>
        <v>2.1814502464536512E-12</v>
      </c>
      <c r="CW164" s="20">
        <f t="shared" si="174"/>
        <v>4.0650021179971913E-12</v>
      </c>
      <c r="CX164" s="59">
        <f t="shared" si="122"/>
        <v>287.85577846762379</v>
      </c>
      <c r="CY164" s="59">
        <f ca="1">AVERAGE(OFFSET($CX$3,0,0,'Données projet'!$E$13+1,1))-AVERAGE(OFFSET($H$3,0,0,'Données projet'!$E$13+1,1))</f>
        <v>335.73816489539837</v>
      </c>
      <c r="CZ164" s="59">
        <f t="shared" si="150"/>
        <v>254.09787950201044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13.643282897880168</v>
      </c>
      <c r="DG164" s="21">
        <f>EXP(-LN(2)/25)*DG163+(1-EXP(-LN(2)/25))/(LN(2)/25)*Calculateur!DB164*Calculateur!DD164*VLOOKUP('Données projet'!$B$13,Paramètres!$A$1:$I$89,3,0)*0.475*44/12</f>
        <v>9.2191982099846133</v>
      </c>
      <c r="DH164" s="21">
        <f>EXP(-LN(2)/2)*DH163+(1-EXP(-LN(2)/2))/(LN(2)/2)*DB164*DE164*VLOOKUP('Données projet'!$B$13,Paramètres!$A$1:$I$89,3,0)*0.475*44/12</f>
        <v>1.0316628782409915E-6</v>
      </c>
      <c r="DI164" s="22">
        <f t="shared" si="175"/>
        <v>22.862482139527661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2.5579538487363607E-13</v>
      </c>
      <c r="DP164" s="17">
        <f>DO164*VLOOKUP('Données projet'!$B$14,Paramètres!$A$1:$I$89,3,0)*VLOOKUP('Données projet'!$B$14,Paramètres!$A$1:$I$89,5,0)</f>
        <v>2.4740529624978082E-13</v>
      </c>
      <c r="DQ164" s="13">
        <f t="shared" si="176"/>
        <v>3.3447853361996459E-12</v>
      </c>
      <c r="DR164" s="20">
        <f t="shared" si="177"/>
        <v>6.2563986848494188E-12</v>
      </c>
      <c r="DS164" s="59">
        <f t="shared" si="125"/>
        <v>287.85577846762595</v>
      </c>
      <c r="DT164" s="59">
        <f ca="1">AVERAGE(OFFSET($DS$3,0,0,'Données projet'!$E$14+1,1))-AVERAGE(OFFSET($H$3,0,0,'Données projet'!$E$14+1,1))</f>
        <v>493.03862850474161</v>
      </c>
      <c r="DU164" s="59">
        <f t="shared" si="152"/>
        <v>312.51819065560528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65.356262752829196</v>
      </c>
      <c r="EB164" s="21">
        <f>EXP(-LN(2)/25)*EB163+(1-EXP(-LN(2)/25))/(LN(2)/25)*Calculateur!DW164*Calculateur!DY164*VLOOKUP('Données projet'!$B$14,Paramètres!$A$1:$I$89,3,0)*0.475*44/12</f>
        <v>10.653982400300492</v>
      </c>
      <c r="EC164" s="21">
        <f>EXP(-LN(2)/2)*EC163+(1-EXP(-LN(2)/2))/(LN(2)/2)*DW164*DZ164*VLOOKUP('Données projet'!$B$14,Paramètres!$A$1:$I$89,3,0)*0.475*44/12</f>
        <v>1.5707154671775806E-4</v>
      </c>
      <c r="ED164" s="22">
        <f t="shared" si="178"/>
        <v>76.010402224676412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2.5579538487363607E-13</v>
      </c>
      <c r="EK164" s="17">
        <f>EJ164*VLOOKUP('Données projet'!$B$15,Paramètres!$A$1:$I$89,3,0)*VLOOKUP('Données projet'!$B$15,Paramètres!$A$1:$I$89,5,0)</f>
        <v>2.7533815227798186E-13</v>
      </c>
      <c r="EL164" s="13">
        <f t="shared" si="179"/>
        <v>3.6763598146902537E-12</v>
      </c>
      <c r="EM164" s="20">
        <f t="shared" si="180"/>
        <v>6.88254062580301E-12</v>
      </c>
      <c r="EN164" s="59">
        <f t="shared" si="128"/>
        <v>287.85577846762658</v>
      </c>
      <c r="EO164" s="59">
        <f ca="1">AVERAGE(OFFSET($EN$3,0,0,'Données projet'!$E$15+1,1))-AVERAGE(OFFSET($H$3,0,0,'Données projet'!$E$15+1,1))</f>
        <v>539.72194201710272</v>
      </c>
      <c r="EP164" s="59">
        <f t="shared" si="154"/>
        <v>340.76505385159362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72.735195644277638</v>
      </c>
      <c r="EW164" s="21">
        <f>EXP(-LN(2)/25)*EW163+(1-EXP(-LN(2)/25))/(LN(2)/25)*Calculateur!ER164*Calculateur!ET164*VLOOKUP('Données projet'!$B$15,Paramètres!$A$1:$I$89,3,0)*0.475*44/12</f>
        <v>11.856851380979576</v>
      </c>
      <c r="EX164" s="21">
        <f>EXP(-LN(2)/2)*EX163+(1-EXP(-LN(2)/2))/(LN(2)/2)*ER164*EU164*VLOOKUP('Données projet'!$B$15,Paramètres!$A$1:$I$89,3,0)*0.475*44/12</f>
        <v>1.7480543102460145E-4</v>
      </c>
      <c r="EY164" s="22">
        <f t="shared" si="181"/>
        <v>84.592221830688246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>
        <f>FE164*VLOOKUP('Données projet'!$B$16,Paramètres!$A$1:$I$89,3,0)*VLOOKUP('Données projet'!$B$16,Paramètres!$A$1:$I$89,5,0)</f>
        <v>0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383.47860767209028</v>
      </c>
      <c r="FK164" s="59">
        <f t="shared" si="156"/>
        <v>370.49129421395628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10.656570684374923</v>
      </c>
      <c r="FR164" s="21">
        <f>EXP(-LN(2)/25)*FR163+(1-EXP(-LN(2)/25))/(LN(2)/25)*Calculateur!FM164*Calculateur!FO164*VLOOKUP('Données projet'!$B$16,Paramètres!$A$1:$I$89,3,0)*0.475*44/12</f>
        <v>5.5387828106616954</v>
      </c>
      <c r="FS164" s="21">
        <f>EXP(-LN(2)/2)*FS163+(1-EXP(-LN(2)/2))/(LN(2)/2)*FM164*FP164*VLOOKUP('Données projet'!$B$16,Paramètres!$A$1:$I$89,3,0)*0.475*44/12</f>
        <v>4.0930900534803166E-11</v>
      </c>
      <c r="FT164" s="22">
        <f t="shared" si="184"/>
        <v>16.195353495077551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7.6783333333333319</v>
      </c>
      <c r="FZ164" s="12">
        <f>IF('Données projet'!$A$244&gt;35,FZ163+FY164-GH163,IF(A164&lt;'Données projet'!$A$244,$FW$205^A164,IF(A164='Données projet'!$A$244,'Données projet'!$B$244,FZ163+FY164-GH163)))</f>
        <v>381.9016666666663</v>
      </c>
      <c r="GA164" s="17">
        <f>FZ164*VLOOKUP('Données projet'!$B$17,Paramètres!$A$1:$I$89,3,0)*VLOOKUP('Données projet'!$B$17,Paramètres!$A$1:$I$89,5,0)</f>
        <v>434.90961799999963</v>
      </c>
      <c r="GB164" s="13">
        <f t="shared" si="185"/>
        <v>98.819222372764287</v>
      </c>
      <c r="GC164" s="20">
        <f t="shared" si="186"/>
        <v>929.57773031589704</v>
      </c>
      <c r="GD164" s="59">
        <f t="shared" si="134"/>
        <v>1217.4335087835168</v>
      </c>
      <c r="GE164" s="59">
        <f ca="1">AVERAGE(OFFSET($GD$3,0,0,'Données projet'!$E$17+1,1))-AVERAGE(OFFSET($H$3,0,0,'Données projet'!$E$17+1,1))</f>
        <v>640.05156427113661</v>
      </c>
      <c r="GF164" s="59">
        <f t="shared" si="158"/>
        <v>308.77220155372902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42.794906032362967</v>
      </c>
      <c r="GM164" s="21">
        <f>EXP(-LN(2)/25)*GM163+(1-EXP(-LN(2)/25))/(LN(2)/25)*Calculateur!GH164*Calculateur!GJ164*VLOOKUP('Données projet'!$B$17,Paramètres!$A$1:$I$89,3,0)*0.475*44/12</f>
        <v>22.351638877757384</v>
      </c>
      <c r="GN164" s="21">
        <f>EXP(-LN(2)/2)*GN163+(1-EXP(-LN(2)/2))/(LN(2)/2)*GH164*GK164*VLOOKUP('Données projet'!$B$17,Paramètres!$A$1:$I$89,3,0)*0.475*44/12</f>
        <v>1.8322004642909801E-2</v>
      </c>
      <c r="GO164" s="21">
        <f t="shared" si="187"/>
        <v>65.164866914763266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4.7884896048344674E-14</v>
      </c>
      <c r="P165" s="13">
        <f t="shared" si="141"/>
        <v>7.8374629847779921E-13</v>
      </c>
      <c r="Q165" s="20">
        <f t="shared" si="162"/>
        <v>1.4484243304663672E-12</v>
      </c>
      <c r="R165" s="59">
        <f t="shared" si="109"/>
        <v>287.95080179856313</v>
      </c>
      <c r="S165" s="59">
        <f ca="1">AVERAGE(OFFSET($R$3,0,0,'Données projet'!$E$9+1,1))-AVERAGE(OFFSET($H$3,0,0,'Données projet'!$E$9+1,1))</f>
        <v>456.35333554128226</v>
      </c>
      <c r="T165" s="59">
        <f t="shared" si="142"/>
        <v>296.4517290984877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40.357663759858283</v>
      </c>
      <c r="AA165" s="21">
        <f>EXP(-LN(2)/25)*AA164+(1-EXP(-LN(2)/25))/(LN(2)/25)*Calculateur!V165*Calculateur!X165*VLOOKUP('Données projet'!$B$9,Paramètres!$A$1:$I$89,3,0)*0.475*44/12</f>
        <v>5.9229452011286057</v>
      </c>
      <c r="AB165" s="21">
        <f>EXP(-LN(2)/2)*AB164+(1-EXP(-LN(2)/2))/(LN(2)/2)*V165*Y165*VLOOKUP('Données projet'!$B$9,Paramètres!$A$1:$I$89,3,0)*0.475*44/12</f>
        <v>2.7652917522792837E-8</v>
      </c>
      <c r="AC165" s="22">
        <f t="shared" si="163"/>
        <v>46.280608988639806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408.246209980743</v>
      </c>
      <c r="AO165" s="59">
        <f t="shared" si="144"/>
        <v>394.10236303013903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11.251263512591466</v>
      </c>
      <c r="AV165" s="21">
        <f>EXP(-LN(2)/25)*AV164+(1-EXP(-LN(2)/25))/(LN(2)/25)*Calculateur!AQ165*Calculateur!AS165*VLOOKUP('Données projet'!$B$10,Paramètres!$A$1:$I$89,3,0)*0.475*44/12</f>
        <v>5.8017340806193207</v>
      </c>
      <c r="AW165" s="21">
        <f>EXP(-LN(2)/2)*AW164+(1-EXP(-LN(2)/2))/(LN(2)/2)*AQ165*AT165*VLOOKUP('Données projet'!$B$10,Paramètres!$A$1:$I$89,3,0)*0.475*44/12</f>
        <v>3.116886481501825E-11</v>
      </c>
      <c r="AX165" s="21">
        <f t="shared" si="166"/>
        <v>17.052997593241955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7.6783333333333319</v>
      </c>
      <c r="BD165" s="12">
        <f>IF('Données projet'!$A$88&gt;35,BD164+BC165-BL164,IF(A165&lt;'Données projet'!$A$88,$BA$205^A165,IF(A165='Données projet'!$A$88,'Données projet'!$B$88,BD164+BC165-BL164)))</f>
        <v>389.57999999999964</v>
      </c>
      <c r="BE165" s="13">
        <f>BD165*VLOOKUP('Données projet'!$B$11,Paramètres!$A$1:$I$89,3,0)*VLOOKUP('Données projet'!$B$11,Paramètres!$A$1:$I$89,5,0)</f>
        <v>395.03411999999969</v>
      </c>
      <c r="BF165" s="13">
        <f t="shared" si="167"/>
        <v>90.76917846043375</v>
      </c>
      <c r="BG165" s="20">
        <f t="shared" si="168"/>
        <v>846.10741148525494</v>
      </c>
      <c r="BH165" s="59">
        <f t="shared" si="116"/>
        <v>1134.0582132838167</v>
      </c>
      <c r="BI165" s="59">
        <f ca="1">AVERAGE(OFFSET($BH$3,0,0,'Données projet'!$E$11+1,1))-AVERAGE(OFFSET($H$3,0,0,'Données projet'!$E$11+1,1))</f>
        <v>580.02848304986492</v>
      </c>
      <c r="BJ165" s="59">
        <f t="shared" si="146"/>
        <v>281.68891895586728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37.357836462738838</v>
      </c>
      <c r="BQ165" s="21">
        <f>EXP(-LN(2)/25)*BQ164+(1-EXP(-LN(2)/25))/(LN(2)/25)*Calculateur!BL165*Calculateur!BN165*VLOOKUP('Données projet'!$B$11,Paramètres!$A$1:$I$89,3,0)*0.475*44/12</f>
        <v>19.357919026294898</v>
      </c>
      <c r="BR165" s="21">
        <f>EXP(-LN(2)/2)*BR164+(1-EXP(-LN(2)/2))/(LN(2)/2)*BL165*BO165*VLOOKUP('Données projet'!$B$11,Paramètres!$A$1:$I$89,3,0)*0.475*44/12</f>
        <v>1.1535820442680004E-2</v>
      </c>
      <c r="BS165" s="22">
        <f t="shared" si="169"/>
        <v>56.727291309476421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4.4337866711430253E-14</v>
      </c>
      <c r="CA165" s="13">
        <f t="shared" si="170"/>
        <v>7.3222115536967035E-13</v>
      </c>
      <c r="CB165" s="20">
        <f t="shared" si="171"/>
        <v>1.3525069634579169E-12</v>
      </c>
      <c r="CC165" s="59">
        <f t="shared" si="119"/>
        <v>287.95080179856308</v>
      </c>
      <c r="CD165" s="59">
        <f ca="1">AVERAGE(OFFSET($CC$3,0,0,'Données projet'!$E$12+1,1))-AVERAGE(OFFSET($H$3,0,0,'Données projet'!$E$12+1,1))</f>
        <v>308.85018589589453</v>
      </c>
      <c r="CE165" s="59">
        <f t="shared" si="148"/>
        <v>302.59481222418219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6.8167036188175043</v>
      </c>
      <c r="CL165" s="21">
        <f>EXP(-LN(2)/25)*CL164+(1-EXP(-LN(2)/25))/(LN(2)/25)*Calculateur!CG165*Calculateur!CI165*VLOOKUP('Données projet'!$B$12,Paramètres!$A$1:$I$89,3,0)*0.475*44/12</f>
        <v>3.2126975823293784</v>
      </c>
      <c r="CM165" s="21">
        <f>EXP(-LN(2)/2)*CM164+(1-EXP(-LN(2)/2))/(LN(2)/2)*CG165*CJ165*VLOOKUP('Données projet'!$B$12,Paramètres!$A$1:$I$89,3,0)*0.475*44/12</f>
        <v>6.1051245707167065E-13</v>
      </c>
      <c r="CN165" s="22">
        <f t="shared" si="172"/>
        <v>10.029401201147493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2.2737367544323206E-13</v>
      </c>
      <c r="CU165" s="17">
        <f>CT165*VLOOKUP('Données projet'!$B$13,Paramètres!$A$1:$I$89,3,0)*VLOOKUP('Données projet'!$B$13,Paramètres!$A$1:$I$89,5,0)</f>
        <v>1.5252226148732008E-13</v>
      </c>
      <c r="CV165" s="13">
        <f t="shared" si="173"/>
        <v>2.1814502464536512E-12</v>
      </c>
      <c r="CW165" s="20">
        <f t="shared" si="174"/>
        <v>4.0650021179971913E-12</v>
      </c>
      <c r="CX165" s="59">
        <f t="shared" si="122"/>
        <v>287.95080179856581</v>
      </c>
      <c r="CY165" s="59">
        <f ca="1">AVERAGE(OFFSET($CX$3,0,0,'Données projet'!$E$13+1,1))-AVERAGE(OFFSET($H$3,0,0,'Données projet'!$E$13+1,1))</f>
        <v>335.73816489539837</v>
      </c>
      <c r="CZ165" s="59">
        <f t="shared" si="150"/>
        <v>254.09787950201044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13.375746441833618</v>
      </c>
      <c r="DG165" s="21">
        <f>EXP(-LN(2)/25)*DG164+(1-EXP(-LN(2)/25))/(LN(2)/25)*Calculateur!DB165*Calculateur!DD165*VLOOKUP('Données projet'!$B$13,Paramètres!$A$1:$I$89,3,0)*0.475*44/12</f>
        <v>8.9670987501160209</v>
      </c>
      <c r="DH165" s="21">
        <f>EXP(-LN(2)/2)*DH164+(1-EXP(-LN(2)/2))/(LN(2)/2)*DB165*DE165*VLOOKUP('Données projet'!$B$13,Paramètres!$A$1:$I$89,3,0)*0.475*44/12</f>
        <v>7.294958171026366E-7</v>
      </c>
      <c r="DI165" s="22">
        <f t="shared" si="175"/>
        <v>22.342845921445456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2.5579538487363607E-13</v>
      </c>
      <c r="DP165" s="17">
        <f>DO165*VLOOKUP('Données projet'!$B$14,Paramètres!$A$1:$I$89,3,0)*VLOOKUP('Données projet'!$B$14,Paramètres!$A$1:$I$89,5,0)</f>
        <v>2.4740529624978082E-13</v>
      </c>
      <c r="DQ165" s="13">
        <f t="shared" si="176"/>
        <v>3.3447853361996459E-12</v>
      </c>
      <c r="DR165" s="20">
        <f t="shared" si="177"/>
        <v>6.2563986848494188E-12</v>
      </c>
      <c r="DS165" s="59">
        <f t="shared" si="125"/>
        <v>287.95080179856797</v>
      </c>
      <c r="DT165" s="59">
        <f ca="1">AVERAGE(OFFSET($DS$3,0,0,'Données projet'!$E$14+1,1))-AVERAGE(OFFSET($H$3,0,0,'Données projet'!$E$14+1,1))</f>
        <v>493.03862850474161</v>
      </c>
      <c r="DU165" s="59">
        <f t="shared" si="152"/>
        <v>312.51819065560528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64.074666303630309</v>
      </c>
      <c r="EB165" s="21">
        <f>EXP(-LN(2)/25)*EB164+(1-EXP(-LN(2)/25))/(LN(2)/25)*Calculateur!DW165*Calculateur!DY165*VLOOKUP('Données projet'!$B$14,Paramètres!$A$1:$I$89,3,0)*0.475*44/12</f>
        <v>10.362648691295691</v>
      </c>
      <c r="EC165" s="21">
        <f>EXP(-LN(2)/2)*EC164+(1-EXP(-LN(2)/2))/(LN(2)/2)*DW165*DZ165*VLOOKUP('Données projet'!$B$14,Paramètres!$A$1:$I$89,3,0)*0.475*44/12</f>
        <v>1.1106635581558633E-4</v>
      </c>
      <c r="ED165" s="22">
        <f t="shared" si="178"/>
        <v>74.437426061281812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2.5579538487363607E-13</v>
      </c>
      <c r="EK165" s="17">
        <f>EJ165*VLOOKUP('Données projet'!$B$15,Paramètres!$A$1:$I$89,3,0)*VLOOKUP('Données projet'!$B$15,Paramètres!$A$1:$I$89,5,0)</f>
        <v>2.7533815227798186E-13</v>
      </c>
      <c r="EL165" s="13">
        <f t="shared" si="179"/>
        <v>3.6763598146902537E-12</v>
      </c>
      <c r="EM165" s="20">
        <f t="shared" si="180"/>
        <v>6.88254062580301E-12</v>
      </c>
      <c r="EN165" s="59">
        <f t="shared" si="128"/>
        <v>287.95080179856859</v>
      </c>
      <c r="EO165" s="59">
        <f ca="1">AVERAGE(OFFSET($EN$3,0,0,'Données projet'!$E$15+1,1))-AVERAGE(OFFSET($H$3,0,0,'Données projet'!$E$15+1,1))</f>
        <v>539.72194201710272</v>
      </c>
      <c r="EP165" s="59">
        <f t="shared" si="154"/>
        <v>340.76505385159362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71.308902821782112</v>
      </c>
      <c r="EW165" s="21">
        <f>EXP(-LN(2)/25)*EW164+(1-EXP(-LN(2)/25))/(LN(2)/25)*Calculateur!ER165*Calculateur!ET165*VLOOKUP('Données projet'!$B$15,Paramètres!$A$1:$I$89,3,0)*0.475*44/12</f>
        <v>11.532625156441974</v>
      </c>
      <c r="EX165" s="21">
        <f>EXP(-LN(2)/2)*EX164+(1-EXP(-LN(2)/2))/(LN(2)/2)*ER165*EU165*VLOOKUP('Données projet'!$B$15,Paramètres!$A$1:$I$89,3,0)*0.475*44/12</f>
        <v>1.2360610566573298E-4</v>
      </c>
      <c r="EY165" s="22">
        <f t="shared" si="181"/>
        <v>82.841651584329753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>
        <f>FE165*VLOOKUP('Données projet'!$B$16,Paramètres!$A$1:$I$89,3,0)*VLOOKUP('Données projet'!$B$16,Paramètres!$A$1:$I$89,5,0)</f>
        <v>0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383.47860767209028</v>
      </c>
      <c r="FK165" s="59">
        <f t="shared" si="156"/>
        <v>370.49129421395628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10.44760183312064</v>
      </c>
      <c r="FR165" s="21">
        <f>EXP(-LN(2)/25)*FR164+(1-EXP(-LN(2)/25))/(LN(2)/25)*Calculateur!FM165*Calculateur!FO165*VLOOKUP('Données projet'!$B$16,Paramètres!$A$1:$I$89,3,0)*0.475*44/12</f>
        <v>5.3873245034322226</v>
      </c>
      <c r="FS165" s="21">
        <f>EXP(-LN(2)/2)*FS164+(1-EXP(-LN(2)/2))/(LN(2)/2)*FM165*FP165*VLOOKUP('Données projet'!$B$16,Paramètres!$A$1:$I$89,3,0)*0.475*44/12</f>
        <v>2.8942517328231404E-11</v>
      </c>
      <c r="FT165" s="22">
        <f t="shared" si="184"/>
        <v>15.834926336581804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7.6783333333333319</v>
      </c>
      <c r="FZ165" s="12">
        <f>IF('Données projet'!$A$244&gt;35,FZ164+FY165-GH164,IF(A165&lt;'Données projet'!$A$244,$FW$205^A165,IF(A165='Données projet'!$A$244,'Données projet'!$B$244,FZ164+FY165-GH164)))</f>
        <v>389.57999999999964</v>
      </c>
      <c r="GA165" s="17">
        <f>FZ165*VLOOKUP('Données projet'!$B$17,Paramètres!$A$1:$I$89,3,0)*VLOOKUP('Données projet'!$B$17,Paramètres!$A$1:$I$89,5,0)</f>
        <v>443.65370399999966</v>
      </c>
      <c r="GB165" s="13">
        <f t="shared" si="185"/>
        <v>100.57273069130399</v>
      </c>
      <c r="GC165" s="20">
        <f t="shared" si="186"/>
        <v>947.86104042068712</v>
      </c>
      <c r="GD165" s="59">
        <f t="shared" si="134"/>
        <v>1235.8118422192488</v>
      </c>
      <c r="GE165" s="59">
        <f ca="1">AVERAGE(OFFSET($GD$3,0,0,'Données projet'!$E$17+1,1))-AVERAGE(OFFSET($H$3,0,0,'Données projet'!$E$17+1,1))</f>
        <v>640.05156427113661</v>
      </c>
      <c r="GF165" s="59">
        <f t="shared" si="158"/>
        <v>308.77220155372902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41.955724027383617</v>
      </c>
      <c r="GM165" s="21">
        <f>EXP(-LN(2)/25)*GM164+(1-EXP(-LN(2)/25))/(LN(2)/25)*Calculateur!GH165*Calculateur!GJ165*VLOOKUP('Données projet'!$B$17,Paramètres!$A$1:$I$89,3,0)*0.475*44/12</f>
        <v>21.740432137223504</v>
      </c>
      <c r="GN165" s="21">
        <f>EXP(-LN(2)/2)*GN164+(1-EXP(-LN(2)/2))/(LN(2)/2)*GH165*GK165*VLOOKUP('Données projet'!$B$17,Paramètres!$A$1:$I$89,3,0)*0.475*44/12</f>
        <v>1.2955613727932929E-2</v>
      </c>
      <c r="GO165" s="21">
        <f t="shared" si="187"/>
        <v>63.70911177833505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4.7884896048344674E-14</v>
      </c>
      <c r="P166" s="13">
        <f t="shared" si="141"/>
        <v>7.8374629847779921E-13</v>
      </c>
      <c r="Q166" s="20">
        <f t="shared" si="162"/>
        <v>1.4484243304663672E-12</v>
      </c>
      <c r="R166" s="59">
        <f t="shared" si="109"/>
        <v>288.04417668715365</v>
      </c>
      <c r="S166" s="59">
        <f ca="1">AVERAGE(OFFSET($R$3,0,0,'Données projet'!$E$9+1,1))-AVERAGE(OFFSET($H$3,0,0,'Données projet'!$E$9+1,1))</f>
        <v>456.35333554128226</v>
      </c>
      <c r="T166" s="59">
        <f t="shared" si="142"/>
        <v>296.4517290984877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39.566274589271757</v>
      </c>
      <c r="AA166" s="21">
        <f>EXP(-LN(2)/25)*AA165+(1-EXP(-LN(2)/25))/(LN(2)/25)*Calculateur!V166*Calculateur!X166*VLOOKUP('Données projet'!$B$9,Paramètres!$A$1:$I$89,3,0)*0.475*44/12</f>
        <v>5.7609819531295932</v>
      </c>
      <c r="AB166" s="21">
        <f>EXP(-LN(2)/2)*AB165+(1-EXP(-LN(2)/2))/(LN(2)/2)*V166*Y166*VLOOKUP('Données projet'!$B$9,Paramètres!$A$1:$I$89,3,0)*0.475*44/12</f>
        <v>1.955356549995912E-8</v>
      </c>
      <c r="AC166" s="22">
        <f t="shared" si="163"/>
        <v>45.327256561954918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408.246209980743</v>
      </c>
      <c r="AO166" s="59">
        <f t="shared" si="144"/>
        <v>394.10236303013903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11.030633097702665</v>
      </c>
      <c r="AV166" s="21">
        <f>EXP(-LN(2)/25)*AV165+(1-EXP(-LN(2)/25))/(LN(2)/25)*Calculateur!AQ166*Calculateur!AS166*VLOOKUP('Données projet'!$B$10,Paramètres!$A$1:$I$89,3,0)*0.475*44/12</f>
        <v>5.6430853570848498</v>
      </c>
      <c r="AW166" s="21">
        <f>EXP(-LN(2)/2)*AW165+(1-EXP(-LN(2)/2))/(LN(2)/2)*AQ166*AT166*VLOOKUP('Données projet'!$B$10,Paramètres!$A$1:$I$89,3,0)*0.475*44/12</f>
        <v>2.203971567258619E-11</v>
      </c>
      <c r="AX166" s="21">
        <f t="shared" si="166"/>
        <v>16.673718454809556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7.6783333333333319</v>
      </c>
      <c r="BD166" s="12">
        <f>IF('Données projet'!$A$88&gt;35,BD165+BC166-BL165,IF(A166&lt;'Données projet'!$A$88,$BA$205^A166,IF(A166='Données projet'!$A$88,'Données projet'!$B$88,BD165+BC166-BL165)))</f>
        <v>397.25833333333298</v>
      </c>
      <c r="BE166" s="13">
        <f>BD166*VLOOKUP('Données projet'!$B$11,Paramètres!$A$1:$I$89,3,0)*VLOOKUP('Données projet'!$B$11,Paramètres!$A$1:$I$89,5,0)</f>
        <v>402.81994999999966</v>
      </c>
      <c r="BF166" s="13">
        <f t="shared" si="167"/>
        <v>92.348132849699439</v>
      </c>
      <c r="BG166" s="20">
        <f t="shared" si="168"/>
        <v>862.41774429655925</v>
      </c>
      <c r="BH166" s="59">
        <f t="shared" si="116"/>
        <v>1150.4619209837115</v>
      </c>
      <c r="BI166" s="59">
        <f ca="1">AVERAGE(OFFSET($BH$3,0,0,'Données projet'!$E$11+1,1))-AVERAGE(OFFSET($H$3,0,0,'Données projet'!$E$11+1,1))</f>
        <v>580.02848304986492</v>
      </c>
      <c r="BJ166" s="59">
        <f t="shared" si="146"/>
        <v>281.68891895586728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36.625272075734841</v>
      </c>
      <c r="BQ166" s="21">
        <f>EXP(-LN(2)/25)*BQ165+(1-EXP(-LN(2)/25))/(LN(2)/25)*Calculateur!BL166*Calculateur!BN166*VLOOKUP('Données projet'!$B$11,Paramètres!$A$1:$I$89,3,0)*0.475*44/12</f>
        <v>18.828575712532146</v>
      </c>
      <c r="BR166" s="21">
        <f>EXP(-LN(2)/2)*BR165+(1-EXP(-LN(2)/2))/(LN(2)/2)*BL166*BO166*VLOOKUP('Données projet'!$B$11,Paramètres!$A$1:$I$89,3,0)*0.475*44/12</f>
        <v>8.1570568615694315E-3</v>
      </c>
      <c r="BS166" s="22">
        <f t="shared" si="169"/>
        <v>55.462004845128554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4.4337866711430253E-14</v>
      </c>
      <c r="CA166" s="13">
        <f t="shared" si="170"/>
        <v>7.3222115536967035E-13</v>
      </c>
      <c r="CB166" s="20">
        <f t="shared" si="171"/>
        <v>1.3525069634579169E-12</v>
      </c>
      <c r="CC166" s="59">
        <f t="shared" si="119"/>
        <v>288.04417668715359</v>
      </c>
      <c r="CD166" s="59">
        <f ca="1">AVERAGE(OFFSET($CC$3,0,0,'Données projet'!$E$12+1,1))-AVERAGE(OFFSET($H$3,0,0,'Données projet'!$E$12+1,1))</f>
        <v>308.85018589589453</v>
      </c>
      <c r="CE166" s="59">
        <f t="shared" si="148"/>
        <v>302.59481222418219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6.6830322186311539</v>
      </c>
      <c r="CL166" s="21">
        <f>EXP(-LN(2)/25)*CL165+(1-EXP(-LN(2)/25))/(LN(2)/25)*Calculateur!CG166*Calculateur!CI166*VLOOKUP('Données projet'!$B$12,Paramètres!$A$1:$I$89,3,0)*0.475*44/12</f>
        <v>3.1248461979921585</v>
      </c>
      <c r="CM166" s="21">
        <f>EXP(-LN(2)/2)*CM165+(1-EXP(-LN(2)/2))/(LN(2)/2)*CG166*CJ166*VLOOKUP('Données projet'!$B$12,Paramètres!$A$1:$I$89,3,0)*0.475*44/12</f>
        <v>4.3169749839423931E-13</v>
      </c>
      <c r="CN166" s="22">
        <f t="shared" si="172"/>
        <v>9.807878416623744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2.2737367544323206E-13</v>
      </c>
      <c r="CU166" s="17">
        <f>CT166*VLOOKUP('Données projet'!$B$13,Paramètres!$A$1:$I$89,3,0)*VLOOKUP('Données projet'!$B$13,Paramètres!$A$1:$I$89,5,0)</f>
        <v>1.5252226148732008E-13</v>
      </c>
      <c r="CV166" s="13">
        <f t="shared" si="173"/>
        <v>2.1814502464536512E-12</v>
      </c>
      <c r="CW166" s="20">
        <f t="shared" si="174"/>
        <v>4.0650021179971913E-12</v>
      </c>
      <c r="CX166" s="59">
        <f t="shared" si="122"/>
        <v>288.04417668715632</v>
      </c>
      <c r="CY166" s="59">
        <f ca="1">AVERAGE(OFFSET($CX$3,0,0,'Données projet'!$E$13+1,1))-AVERAGE(OFFSET($H$3,0,0,'Données projet'!$E$13+1,1))</f>
        <v>335.73816489539837</v>
      </c>
      <c r="CZ166" s="59">
        <f t="shared" si="150"/>
        <v>254.09787950201044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13.113456212509016</v>
      </c>
      <c r="DG166" s="21">
        <f>EXP(-LN(2)/25)*DG165+(1-EXP(-LN(2)/25))/(LN(2)/25)*Calculateur!DB166*Calculateur!DD166*VLOOKUP('Données projet'!$B$13,Paramètres!$A$1:$I$89,3,0)*0.475*44/12</f>
        <v>8.7218929632348701</v>
      </c>
      <c r="DH166" s="21">
        <f>EXP(-LN(2)/2)*DH165+(1-EXP(-LN(2)/2))/(LN(2)/2)*DB166*DE166*VLOOKUP('Données projet'!$B$13,Paramètres!$A$1:$I$89,3,0)*0.475*44/12</f>
        <v>5.1583143912049574E-7</v>
      </c>
      <c r="DI166" s="22">
        <f t="shared" si="175"/>
        <v>21.835349691575324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2.5579538487363607E-13</v>
      </c>
      <c r="DP166" s="17">
        <f>DO166*VLOOKUP('Données projet'!$B$14,Paramètres!$A$1:$I$89,3,0)*VLOOKUP('Données projet'!$B$14,Paramètres!$A$1:$I$89,5,0)</f>
        <v>2.4740529624978082E-13</v>
      </c>
      <c r="DQ166" s="13">
        <f t="shared" si="176"/>
        <v>3.3447853361996459E-12</v>
      </c>
      <c r="DR166" s="20">
        <f t="shared" si="177"/>
        <v>6.2563986848494188E-12</v>
      </c>
      <c r="DS166" s="59">
        <f t="shared" si="125"/>
        <v>288.04417668715848</v>
      </c>
      <c r="DT166" s="59">
        <f ca="1">AVERAGE(OFFSET($DS$3,0,0,'Données projet'!$E$14+1,1))-AVERAGE(OFFSET($H$3,0,0,'Données projet'!$E$14+1,1))</f>
        <v>493.03862850474161</v>
      </c>
      <c r="DU166" s="59">
        <f t="shared" si="152"/>
        <v>312.51819065560528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62.818201179103568</v>
      </c>
      <c r="EB166" s="21">
        <f>EXP(-LN(2)/25)*EB165+(1-EXP(-LN(2)/25))/(LN(2)/25)*Calculateur!DW166*Calculateur!DY166*VLOOKUP('Données projet'!$B$14,Paramètres!$A$1:$I$89,3,0)*0.475*44/12</f>
        <v>10.079281517884199</v>
      </c>
      <c r="EC166" s="21">
        <f>EXP(-LN(2)/2)*EC165+(1-EXP(-LN(2)/2))/(LN(2)/2)*DW166*DZ166*VLOOKUP('Données projet'!$B$14,Paramètres!$A$1:$I$89,3,0)*0.475*44/12</f>
        <v>7.8535773358879031E-5</v>
      </c>
      <c r="ED166" s="22">
        <f t="shared" si="178"/>
        <v>72.89756123276112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2.5579538487363607E-13</v>
      </c>
      <c r="EK166" s="17">
        <f>EJ166*VLOOKUP('Données projet'!$B$15,Paramètres!$A$1:$I$89,3,0)*VLOOKUP('Données projet'!$B$15,Paramètres!$A$1:$I$89,5,0)</f>
        <v>2.7533815227798186E-13</v>
      </c>
      <c r="EL166" s="13">
        <f t="shared" si="179"/>
        <v>3.6763598146902537E-12</v>
      </c>
      <c r="EM166" s="20">
        <f t="shared" si="180"/>
        <v>6.88254062580301E-12</v>
      </c>
      <c r="EN166" s="59">
        <f t="shared" si="128"/>
        <v>288.04417668715911</v>
      </c>
      <c r="EO166" s="59">
        <f ca="1">AVERAGE(OFFSET($EN$3,0,0,'Données projet'!$E$15+1,1))-AVERAGE(OFFSET($H$3,0,0,'Données projet'!$E$15+1,1))</f>
        <v>539.72194201710272</v>
      </c>
      <c r="EP166" s="59">
        <f t="shared" si="154"/>
        <v>340.76505385159362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69.910578731583001</v>
      </c>
      <c r="EW166" s="21">
        <f>EXP(-LN(2)/25)*EW165+(1-EXP(-LN(2)/25))/(LN(2)/25)*Calculateur!ER166*Calculateur!ET166*VLOOKUP('Données projet'!$B$15,Paramètres!$A$1:$I$89,3,0)*0.475*44/12</f>
        <v>11.217264915064669</v>
      </c>
      <c r="EX166" s="21">
        <f>EXP(-LN(2)/2)*EX165+(1-EXP(-LN(2)/2))/(LN(2)/2)*ER166*EU166*VLOOKUP('Données projet'!$B$15,Paramètres!$A$1:$I$89,3,0)*0.475*44/12</f>
        <v>8.7402715512300723E-5</v>
      </c>
      <c r="EY166" s="22">
        <f t="shared" si="181"/>
        <v>81.127931049363184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>
        <f>FE166*VLOOKUP('Données projet'!$B$16,Paramètres!$A$1:$I$89,3,0)*VLOOKUP('Données projet'!$B$16,Paramètres!$A$1:$I$89,5,0)</f>
        <v>0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383.47860767209028</v>
      </c>
      <c r="FK166" s="59">
        <f t="shared" si="156"/>
        <v>370.49129421395628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10.242730733581039</v>
      </c>
      <c r="FR166" s="21">
        <f>EXP(-LN(2)/25)*FR165+(1-EXP(-LN(2)/25))/(LN(2)/25)*Calculateur!FM166*Calculateur!FO166*VLOOKUP('Données projet'!$B$16,Paramètres!$A$1:$I$89,3,0)*0.475*44/12</f>
        <v>5.2400078315787857</v>
      </c>
      <c r="FS166" s="21">
        <f>EXP(-LN(2)/2)*FS165+(1-EXP(-LN(2)/2))/(LN(2)/2)*FM166*FP166*VLOOKUP('Données projet'!$B$16,Paramètres!$A$1:$I$89,3,0)*0.475*44/12</f>
        <v>2.0465450267401586E-11</v>
      </c>
      <c r="FT166" s="22">
        <f t="shared" si="184"/>
        <v>15.48273856518029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7.6783333333333319</v>
      </c>
      <c r="FZ166" s="12">
        <f>IF('Données projet'!$A$244&gt;35,FZ165+FY166-GH165,IF(A166&lt;'Données projet'!$A$244,$FW$205^A166,IF(A166='Données projet'!$A$244,'Données projet'!$B$244,FZ165+FY166-GH165)))</f>
        <v>397.25833333333298</v>
      </c>
      <c r="GA166" s="17">
        <f>FZ166*VLOOKUP('Données projet'!$B$17,Paramètres!$A$1:$I$89,3,0)*VLOOKUP('Données projet'!$B$17,Paramètres!$A$1:$I$89,5,0)</f>
        <v>452.39778999999959</v>
      </c>
      <c r="GB166" s="13">
        <f t="shared" si="185"/>
        <v>102.32222052098986</v>
      </c>
      <c r="GC166" s="20">
        <f t="shared" si="186"/>
        <v>966.13735165739001</v>
      </c>
      <c r="GD166" s="59">
        <f t="shared" si="134"/>
        <v>1254.1815283445421</v>
      </c>
      <c r="GE166" s="59">
        <f ca="1">AVERAGE(OFFSET($GD$3,0,0,'Données projet'!$E$17+1,1))-AVERAGE(OFFSET($H$3,0,0,'Données projet'!$E$17+1,1))</f>
        <v>640.05156427113661</v>
      </c>
      <c r="GF166" s="59">
        <f t="shared" si="158"/>
        <v>308.77220155372902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41.132997869671435</v>
      </c>
      <c r="GM166" s="21">
        <f>EXP(-LN(2)/25)*GM165+(1-EXP(-LN(2)/25))/(LN(2)/25)*Calculateur!GH166*Calculateur!GJ166*VLOOKUP('Données projet'!$B$17,Paramètres!$A$1:$I$89,3,0)*0.475*44/12</f>
        <v>21.14593887715149</v>
      </c>
      <c r="GN166" s="21">
        <f>EXP(-LN(2)/2)*GN165+(1-EXP(-LN(2)/2))/(LN(2)/2)*GH166*GK166*VLOOKUP('Données projet'!$B$17,Paramètres!$A$1:$I$89,3,0)*0.475*44/12</f>
        <v>9.1610023214549006E-3</v>
      </c>
      <c r="GO166" s="21">
        <f t="shared" si="187"/>
        <v>62.288097749144377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4.7884896048344674E-14</v>
      </c>
      <c r="P167" s="13">
        <f t="shared" si="141"/>
        <v>7.8374629847779921E-13</v>
      </c>
      <c r="Q167" s="20">
        <f t="shared" si="162"/>
        <v>1.4484243304663672E-12</v>
      </c>
      <c r="R167" s="59">
        <f t="shared" si="109"/>
        <v>288.13593173018211</v>
      </c>
      <c r="S167" s="59">
        <f ca="1">AVERAGE(OFFSET($R$3,0,0,'Données projet'!$E$9+1,1))-AVERAGE(OFFSET($H$3,0,0,'Données projet'!$E$9+1,1))</f>
        <v>456.35333554128226</v>
      </c>
      <c r="T167" s="59">
        <f t="shared" si="142"/>
        <v>296.4517290984877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38.7904040776207</v>
      </c>
      <c r="AA167" s="21">
        <f>EXP(-LN(2)/25)*AA166+(1-EXP(-LN(2)/25))/(LN(2)/25)*Calculateur!V167*Calculateur!X167*VLOOKUP('Données projet'!$B$9,Paramètres!$A$1:$I$89,3,0)*0.475*44/12</f>
        <v>5.6034475986643901</v>
      </c>
      <c r="AB167" s="21">
        <f>EXP(-LN(2)/2)*AB166+(1-EXP(-LN(2)/2))/(LN(2)/2)*V167*Y167*VLOOKUP('Données projet'!$B$9,Paramètres!$A$1:$I$89,3,0)*0.475*44/12</f>
        <v>1.3826458761396419E-8</v>
      </c>
      <c r="AC167" s="22">
        <f t="shared" si="163"/>
        <v>44.393851690111546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408.246209980743</v>
      </c>
      <c r="AO167" s="59">
        <f t="shared" si="144"/>
        <v>394.10236303013903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10.814329110678569</v>
      </c>
      <c r="AV167" s="21">
        <f>EXP(-LN(2)/25)*AV166+(1-EXP(-LN(2)/25))/(LN(2)/25)*Calculateur!AQ167*Calculateur!AS167*VLOOKUP('Données projet'!$B$10,Paramètres!$A$1:$I$89,3,0)*0.475*44/12</f>
        <v>5.4887748912384033</v>
      </c>
      <c r="AW167" s="21">
        <f>EXP(-LN(2)/2)*AW166+(1-EXP(-LN(2)/2))/(LN(2)/2)*AQ167*AT167*VLOOKUP('Données projet'!$B$10,Paramètres!$A$1:$I$89,3,0)*0.475*44/12</f>
        <v>1.5584432407509125E-11</v>
      </c>
      <c r="AX167" s="21">
        <f t="shared" si="166"/>
        <v>16.303104001932557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7.6783333333333319</v>
      </c>
      <c r="BD167" s="12">
        <f>IF('Données projet'!$A$88&gt;35,BD166+BC167-BL166,IF(A167&lt;'Données projet'!$A$88,$BA$205^A167,IF(A167='Données projet'!$A$88,'Données projet'!$B$88,BD166+BC167-BL166)))</f>
        <v>404.93666666666633</v>
      </c>
      <c r="BE167" s="13">
        <f>BD167*VLOOKUP('Données projet'!$B$11,Paramètres!$A$1:$I$89,3,0)*VLOOKUP('Données projet'!$B$11,Paramètres!$A$1:$I$89,5,0)</f>
        <v>410.6057799999997</v>
      </c>
      <c r="BF167" s="13">
        <f t="shared" si="167"/>
        <v>93.923538642241823</v>
      </c>
      <c r="BG167" s="20">
        <f t="shared" si="168"/>
        <v>878.72189663523716</v>
      </c>
      <c r="BH167" s="59">
        <f t="shared" si="116"/>
        <v>1166.8578283654178</v>
      </c>
      <c r="BI167" s="59">
        <f ca="1">AVERAGE(OFFSET($BH$3,0,0,'Données projet'!$E$11+1,1))-AVERAGE(OFFSET($H$3,0,0,'Données projet'!$E$11+1,1))</f>
        <v>580.02848304986492</v>
      </c>
      <c r="BJ167" s="59">
        <f t="shared" si="146"/>
        <v>281.68891895586728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35.907072829539835</v>
      </c>
      <c r="BQ167" s="21">
        <f>EXP(-LN(2)/25)*BQ166+(1-EXP(-LN(2)/25))/(LN(2)/25)*Calculateur!BL167*Calculateur!BN167*VLOOKUP('Données projet'!$B$11,Paramètres!$A$1:$I$89,3,0)*0.475*44/12</f>
        <v>18.313707319521193</v>
      </c>
      <c r="BR167" s="21">
        <f>EXP(-LN(2)/2)*BR166+(1-EXP(-LN(2)/2))/(LN(2)/2)*BL167*BO167*VLOOKUP('Données projet'!$B$11,Paramètres!$A$1:$I$89,3,0)*0.475*44/12</f>
        <v>5.7679102213400021E-3</v>
      </c>
      <c r="BS167" s="22">
        <f t="shared" si="169"/>
        <v>54.226548059282365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4.4337866711430253E-14</v>
      </c>
      <c r="CA167" s="13">
        <f t="shared" si="170"/>
        <v>7.3222115536967035E-13</v>
      </c>
      <c r="CB167" s="20">
        <f t="shared" si="171"/>
        <v>1.3525069634579169E-12</v>
      </c>
      <c r="CC167" s="59">
        <f t="shared" si="119"/>
        <v>288.13593173018205</v>
      </c>
      <c r="CD167" s="59">
        <f ca="1">AVERAGE(OFFSET($CC$3,0,0,'Données projet'!$E$12+1,1))-AVERAGE(OFFSET($H$3,0,0,'Données projet'!$E$12+1,1))</f>
        <v>308.85018589589453</v>
      </c>
      <c r="CE167" s="59">
        <f t="shared" si="148"/>
        <v>302.59481222418219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6.5519820330709546</v>
      </c>
      <c r="CL167" s="21">
        <f>EXP(-LN(2)/25)*CL166+(1-EXP(-LN(2)/25))/(LN(2)/25)*Calculateur!CG167*Calculateur!CI167*VLOOKUP('Données projet'!$B$12,Paramètres!$A$1:$I$89,3,0)*0.475*44/12</f>
        <v>3.0393971143795433</v>
      </c>
      <c r="CM167" s="21">
        <f>EXP(-LN(2)/2)*CM166+(1-EXP(-LN(2)/2))/(LN(2)/2)*CG167*CJ167*VLOOKUP('Données projet'!$B$12,Paramètres!$A$1:$I$89,3,0)*0.475*44/12</f>
        <v>3.0525622853583532E-13</v>
      </c>
      <c r="CN167" s="22">
        <f t="shared" si="172"/>
        <v>9.5913791474508034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2.2737367544323206E-13</v>
      </c>
      <c r="CU167" s="17">
        <f>CT167*VLOOKUP('Données projet'!$B$13,Paramètres!$A$1:$I$89,3,0)*VLOOKUP('Données projet'!$B$13,Paramètres!$A$1:$I$89,5,0)</f>
        <v>1.5252226148732008E-13</v>
      </c>
      <c r="CV167" s="13">
        <f t="shared" si="173"/>
        <v>2.1814502464536512E-12</v>
      </c>
      <c r="CW167" s="20">
        <f t="shared" si="174"/>
        <v>4.0650021179971913E-12</v>
      </c>
      <c r="CX167" s="59">
        <f t="shared" si="122"/>
        <v>288.13593173018478</v>
      </c>
      <c r="CY167" s="59">
        <f ca="1">AVERAGE(OFFSET($CX$3,0,0,'Données projet'!$E$13+1,1))-AVERAGE(OFFSET($H$3,0,0,'Données projet'!$E$13+1,1))</f>
        <v>335.73816489539837</v>
      </c>
      <c r="CZ167" s="59">
        <f t="shared" si="150"/>
        <v>254.09787950201044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12.856309334600226</v>
      </c>
      <c r="DG167" s="21">
        <f>EXP(-LN(2)/25)*DG166+(1-EXP(-LN(2)/25))/(LN(2)/25)*Calculateur!DB167*Calculateur!DD167*VLOOKUP('Données projet'!$B$13,Paramètres!$A$1:$I$89,3,0)*0.475*44/12</f>
        <v>8.483392341490795</v>
      </c>
      <c r="DH167" s="21">
        <f>EXP(-LN(2)/2)*DH166+(1-EXP(-LN(2)/2))/(LN(2)/2)*DB167*DE167*VLOOKUP('Données projet'!$B$13,Paramètres!$A$1:$I$89,3,0)*0.475*44/12</f>
        <v>3.647479085513183E-7</v>
      </c>
      <c r="DI167" s="22">
        <f t="shared" si="175"/>
        <v>21.33970204083893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2.5579538487363607E-13</v>
      </c>
      <c r="DP167" s="17">
        <f>DO167*VLOOKUP('Données projet'!$B$14,Paramètres!$A$1:$I$89,3,0)*VLOOKUP('Données projet'!$B$14,Paramètres!$A$1:$I$89,5,0)</f>
        <v>2.4740529624978082E-13</v>
      </c>
      <c r="DQ167" s="13">
        <f t="shared" si="176"/>
        <v>3.3447853361996459E-12</v>
      </c>
      <c r="DR167" s="20">
        <f t="shared" si="177"/>
        <v>6.2563986848494188E-12</v>
      </c>
      <c r="DS167" s="59">
        <f t="shared" si="125"/>
        <v>288.13593173018694</v>
      </c>
      <c r="DT167" s="59">
        <f ca="1">AVERAGE(OFFSET($DS$3,0,0,'Données projet'!$E$14+1,1))-AVERAGE(OFFSET($H$3,0,0,'Données projet'!$E$14+1,1))</f>
        <v>493.03862850474161</v>
      </c>
      <c r="DU167" s="59">
        <f t="shared" si="152"/>
        <v>312.51819065560528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61.586374569300744</v>
      </c>
      <c r="EB167" s="21">
        <f>EXP(-LN(2)/25)*EB166+(1-EXP(-LN(2)/25))/(LN(2)/25)*Calculateur!DW167*Calculateur!DY167*VLOOKUP('Données projet'!$B$14,Paramètres!$A$1:$I$89,3,0)*0.475*44/12</f>
        <v>9.8036630347312776</v>
      </c>
      <c r="EC167" s="21">
        <f>EXP(-LN(2)/2)*EC166+(1-EXP(-LN(2)/2))/(LN(2)/2)*DW167*DZ167*VLOOKUP('Données projet'!$B$14,Paramètres!$A$1:$I$89,3,0)*0.475*44/12</f>
        <v>5.5533177907793164E-5</v>
      </c>
      <c r="ED167" s="22">
        <f t="shared" si="178"/>
        <v>71.390093137209931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2.5579538487363607E-13</v>
      </c>
      <c r="EK167" s="17">
        <f>EJ167*VLOOKUP('Données projet'!$B$15,Paramètres!$A$1:$I$89,3,0)*VLOOKUP('Données projet'!$B$15,Paramètres!$A$1:$I$89,5,0)</f>
        <v>2.7533815227798186E-13</v>
      </c>
      <c r="EL167" s="13">
        <f t="shared" si="179"/>
        <v>3.6763598146902537E-12</v>
      </c>
      <c r="EM167" s="20">
        <f t="shared" si="180"/>
        <v>6.88254062580301E-12</v>
      </c>
      <c r="EN167" s="59">
        <f t="shared" si="128"/>
        <v>288.13593173018756</v>
      </c>
      <c r="EO167" s="59">
        <f ca="1">AVERAGE(OFFSET($EN$3,0,0,'Données projet'!$E$15+1,1))-AVERAGE(OFFSET($H$3,0,0,'Données projet'!$E$15+1,1))</f>
        <v>539.72194201710272</v>
      </c>
      <c r="EP167" s="59">
        <f t="shared" si="154"/>
        <v>340.76505385159362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68.539674923899213</v>
      </c>
      <c r="EW167" s="21">
        <f>EXP(-LN(2)/25)*EW166+(1-EXP(-LN(2)/25))/(LN(2)/25)*Calculateur!ER167*Calculateur!ET167*VLOOKUP('Données projet'!$B$15,Paramètres!$A$1:$I$89,3,0)*0.475*44/12</f>
        <v>10.910528216071901</v>
      </c>
      <c r="EX167" s="21">
        <f>EXP(-LN(2)/2)*EX166+(1-EXP(-LN(2)/2))/(LN(2)/2)*ER167*EU167*VLOOKUP('Données projet'!$B$15,Paramètres!$A$1:$I$89,3,0)*0.475*44/12</f>
        <v>6.1803052832866491E-5</v>
      </c>
      <c r="EY167" s="22">
        <f t="shared" si="181"/>
        <v>79.450264943023939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>
        <f>FE167*VLOOKUP('Données projet'!$B$16,Paramètres!$A$1:$I$89,3,0)*VLOOKUP('Données projet'!$B$16,Paramètres!$A$1:$I$89,5,0)</f>
        <v>0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383.47860767209028</v>
      </c>
      <c r="FK167" s="59">
        <f t="shared" si="156"/>
        <v>370.49129421395628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10.041877031344379</v>
      </c>
      <c r="FR167" s="21">
        <f>EXP(-LN(2)/25)*FR166+(1-EXP(-LN(2)/25))/(LN(2)/25)*Calculateur!FM167*Calculateur!FO167*VLOOKUP('Données projet'!$B$16,Paramètres!$A$1:$I$89,3,0)*0.475*44/12</f>
        <v>5.0967195418642284</v>
      </c>
      <c r="FS167" s="21">
        <f>EXP(-LN(2)/2)*FS166+(1-EXP(-LN(2)/2))/(LN(2)/2)*FM167*FP167*VLOOKUP('Données projet'!$B$16,Paramètres!$A$1:$I$89,3,0)*0.475*44/12</f>
        <v>1.4471258664115705E-11</v>
      </c>
      <c r="FT167" s="22">
        <f t="shared" si="184"/>
        <v>15.138596573223079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7.6783333333333319</v>
      </c>
      <c r="FZ167" s="12">
        <f>IF('Données projet'!$A$244&gt;35,FZ166+FY167-GH166,IF(A167&lt;'Données projet'!$A$244,$FW$205^A167,IF(A167='Données projet'!$A$244,'Données projet'!$B$244,FZ166+FY167-GH166)))</f>
        <v>404.93666666666633</v>
      </c>
      <c r="GA167" s="17">
        <f>FZ167*VLOOKUP('Données projet'!$B$17,Paramètres!$A$1:$I$89,3,0)*VLOOKUP('Données projet'!$B$17,Paramètres!$A$1:$I$89,5,0)</f>
        <v>461.14187599999957</v>
      </c>
      <c r="GB167" s="13">
        <f t="shared" si="185"/>
        <v>104.06777848670333</v>
      </c>
      <c r="GC167" s="20">
        <f t="shared" si="186"/>
        <v>984.40681489767428</v>
      </c>
      <c r="GD167" s="59">
        <f t="shared" si="134"/>
        <v>1272.542746627855</v>
      </c>
      <c r="GE167" s="59">
        <f ca="1">AVERAGE(OFFSET($GD$3,0,0,'Données projet'!$E$17+1,1))-AVERAGE(OFFSET($H$3,0,0,'Données projet'!$E$17+1,1))</f>
        <v>640.05156427113661</v>
      </c>
      <c r="GF167" s="59">
        <f t="shared" si="158"/>
        <v>308.77220155372902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40.326404870098578</v>
      </c>
      <c r="GM167" s="21">
        <f>EXP(-LN(2)/25)*GM166+(1-EXP(-LN(2)/25))/(LN(2)/25)*Calculateur!GH167*Calculateur!GJ167*VLOOKUP('Données projet'!$B$17,Paramètres!$A$1:$I$89,3,0)*0.475*44/12</f>
        <v>20.567702066539187</v>
      </c>
      <c r="GN167" s="21">
        <f>EXP(-LN(2)/2)*GN166+(1-EXP(-LN(2)/2))/(LN(2)/2)*GH167*GK167*VLOOKUP('Données projet'!$B$17,Paramètres!$A$1:$I$89,3,0)*0.475*44/12</f>
        <v>6.4778068639664644E-3</v>
      </c>
      <c r="GO167" s="21">
        <f t="shared" si="187"/>
        <v>60.900584743501739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4.7884896048344674E-14</v>
      </c>
      <c r="P168" s="13">
        <f t="shared" si="141"/>
        <v>7.8374629847779921E-13</v>
      </c>
      <c r="Q168" s="20">
        <f t="shared" si="162"/>
        <v>1.4484243304663672E-12</v>
      </c>
      <c r="R168" s="59">
        <f t="shared" si="109"/>
        <v>288.22609502834757</v>
      </c>
      <c r="S168" s="59">
        <f ca="1">AVERAGE(OFFSET($R$3,0,0,'Données projet'!$E$9+1,1))-AVERAGE(OFFSET($H$3,0,0,'Données projet'!$E$9+1,1))</f>
        <v>456.35333554128226</v>
      </c>
      <c r="T168" s="59">
        <f t="shared" si="142"/>
        <v>296.4517290984877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38.029747913468832</v>
      </c>
      <c r="AA168" s="21">
        <f>EXP(-LN(2)/25)*AA167+(1-EXP(-LN(2)/25))/(LN(2)/25)*Calculateur!V168*Calculateur!X168*VLOOKUP('Données projet'!$B$9,Paramètres!$A$1:$I$89,3,0)*0.475*44/12</f>
        <v>5.4502210294064097</v>
      </c>
      <c r="AB168" s="21">
        <f>EXP(-LN(2)/2)*AB167+(1-EXP(-LN(2)/2))/(LN(2)/2)*V168*Y168*VLOOKUP('Données projet'!$B$9,Paramètres!$A$1:$I$89,3,0)*0.475*44/12</f>
        <v>9.7767827499795602E-9</v>
      </c>
      <c r="AC168" s="22">
        <f t="shared" si="163"/>
        <v>43.479968952652023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408.246209980743</v>
      </c>
      <c r="AO168" s="59">
        <f t="shared" si="144"/>
        <v>394.10236303013903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10.60226671290761</v>
      </c>
      <c r="AV168" s="21">
        <f>EXP(-LN(2)/25)*AV167+(1-EXP(-LN(2)/25))/(LN(2)/25)*Calculateur!AQ168*Calculateur!AS168*VLOOKUP('Données projet'!$B$10,Paramètres!$A$1:$I$89,3,0)*0.475*44/12</f>
        <v>5.3386840531953625</v>
      </c>
      <c r="AW168" s="21">
        <f>EXP(-LN(2)/2)*AW167+(1-EXP(-LN(2)/2))/(LN(2)/2)*AQ168*AT168*VLOOKUP('Données projet'!$B$10,Paramètres!$A$1:$I$89,3,0)*0.475*44/12</f>
        <v>1.1019857836293095E-11</v>
      </c>
      <c r="AX168" s="21">
        <f t="shared" si="166"/>
        <v>15.940950766113993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7.6783333333333319</v>
      </c>
      <c r="BD168" s="12">
        <f>IF('Données projet'!$A$88&gt;35,BD167+BC168-BL167,IF(A168&lt;'Données projet'!$A$88,$BA$205^A168,IF(A168='Données projet'!$A$88,'Données projet'!$B$88,BD167+BC168-BL167)))</f>
        <v>412.61499999999967</v>
      </c>
      <c r="BE168" s="13">
        <f>BD168*VLOOKUP('Données projet'!$B$11,Paramètres!$A$1:$I$89,3,0)*VLOOKUP('Données projet'!$B$11,Paramètres!$A$1:$I$89,5,0)</f>
        <v>418.39160999999967</v>
      </c>
      <c r="BF168" s="13">
        <f t="shared" si="167"/>
        <v>95.495470884423355</v>
      </c>
      <c r="BG168" s="20">
        <f t="shared" si="168"/>
        <v>895.0199992070369</v>
      </c>
      <c r="BH168" s="59">
        <f t="shared" si="116"/>
        <v>1183.246094235383</v>
      </c>
      <c r="BI168" s="59">
        <f ca="1">AVERAGE(OFFSET($BH$3,0,0,'Données projet'!$E$11+1,1))-AVERAGE(OFFSET($H$3,0,0,'Données projet'!$E$11+1,1))</f>
        <v>580.02848304986492</v>
      </c>
      <c r="BJ168" s="59">
        <f t="shared" si="146"/>
        <v>281.68891895586728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35.202957032504429</v>
      </c>
      <c r="BQ168" s="21">
        <f>EXP(-LN(2)/25)*BQ167+(1-EXP(-LN(2)/25))/(LN(2)/25)*Calculateur!BL168*Calculateur!BN168*VLOOKUP('Données projet'!$B$11,Paramètres!$A$1:$I$89,3,0)*0.475*44/12</f>
        <v>17.812918029792876</v>
      </c>
      <c r="BR168" s="21">
        <f>EXP(-LN(2)/2)*BR167+(1-EXP(-LN(2)/2))/(LN(2)/2)*BL168*BO168*VLOOKUP('Données projet'!$B$11,Paramètres!$A$1:$I$89,3,0)*0.475*44/12</f>
        <v>4.0785284307847157E-3</v>
      </c>
      <c r="BS168" s="22">
        <f t="shared" si="169"/>
        <v>53.019953590728086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4.4337866711430253E-14</v>
      </c>
      <c r="CA168" s="13">
        <f t="shared" si="170"/>
        <v>7.3222115536967035E-13</v>
      </c>
      <c r="CB168" s="20">
        <f t="shared" si="171"/>
        <v>1.3525069634579169E-12</v>
      </c>
      <c r="CC168" s="59">
        <f t="shared" si="119"/>
        <v>288.22609502834752</v>
      </c>
      <c r="CD168" s="59">
        <f ca="1">AVERAGE(OFFSET($CC$3,0,0,'Données projet'!$E$12+1,1))-AVERAGE(OFFSET($H$3,0,0,'Données projet'!$E$12+1,1))</f>
        <v>308.85018589589453</v>
      </c>
      <c r="CE168" s="59">
        <f t="shared" si="148"/>
        <v>302.59481222418219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6.4235016617168696</v>
      </c>
      <c r="CL168" s="21">
        <f>EXP(-LN(2)/25)*CL167+(1-EXP(-LN(2)/25))/(LN(2)/25)*Calculateur!CG168*Calculateur!CI168*VLOOKUP('Données projet'!$B$12,Paramètres!$A$1:$I$89,3,0)*0.475*44/12</f>
        <v>2.9562846404518872</v>
      </c>
      <c r="CM168" s="21">
        <f>EXP(-LN(2)/2)*CM167+(1-EXP(-LN(2)/2))/(LN(2)/2)*CG168*CJ168*VLOOKUP('Données projet'!$B$12,Paramètres!$A$1:$I$89,3,0)*0.475*44/12</f>
        <v>2.1584874919711966E-13</v>
      </c>
      <c r="CN168" s="22">
        <f t="shared" si="172"/>
        <v>9.3797863021689736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2.2737367544323206E-13</v>
      </c>
      <c r="CU168" s="17">
        <f>CT168*VLOOKUP('Données projet'!$B$13,Paramètres!$A$1:$I$89,3,0)*VLOOKUP('Données projet'!$B$13,Paramètres!$A$1:$I$89,5,0)</f>
        <v>1.5252226148732008E-13</v>
      </c>
      <c r="CV168" s="13">
        <f t="shared" si="173"/>
        <v>2.1814502464536512E-12</v>
      </c>
      <c r="CW168" s="20">
        <f t="shared" si="174"/>
        <v>4.0650021179971913E-12</v>
      </c>
      <c r="CX168" s="59">
        <f t="shared" si="122"/>
        <v>288.22609502835024</v>
      </c>
      <c r="CY168" s="59">
        <f ca="1">AVERAGE(OFFSET($CX$3,0,0,'Données projet'!$E$13+1,1))-AVERAGE(OFFSET($H$3,0,0,'Données projet'!$E$13+1,1))</f>
        <v>335.73816489539837</v>
      </c>
      <c r="CZ168" s="59">
        <f t="shared" si="150"/>
        <v>254.09787950201044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12.604204950123119</v>
      </c>
      <c r="DG168" s="21">
        <f>EXP(-LN(2)/25)*DG167+(1-EXP(-LN(2)/25))/(LN(2)/25)*Calculateur!DB168*Calculateur!DD168*VLOOKUP('Données projet'!$B$13,Paramètres!$A$1:$I$89,3,0)*0.475*44/12</f>
        <v>8.2514135317905151</v>
      </c>
      <c r="DH168" s="21">
        <f>EXP(-LN(2)/2)*DH167+(1-EXP(-LN(2)/2))/(LN(2)/2)*DB168*DE168*VLOOKUP('Données projet'!$B$13,Paramètres!$A$1:$I$89,3,0)*0.475*44/12</f>
        <v>2.5791571956024787E-7</v>
      </c>
      <c r="DI168" s="22">
        <f t="shared" si="175"/>
        <v>20.855618739829353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2.5579538487363607E-13</v>
      </c>
      <c r="DP168" s="17">
        <f>DO168*VLOOKUP('Données projet'!$B$14,Paramètres!$A$1:$I$89,3,0)*VLOOKUP('Données projet'!$B$14,Paramètres!$A$1:$I$89,5,0)</f>
        <v>2.4740529624978082E-13</v>
      </c>
      <c r="DQ168" s="13">
        <f t="shared" si="176"/>
        <v>3.3447853361996459E-12</v>
      </c>
      <c r="DR168" s="20">
        <f t="shared" si="177"/>
        <v>6.2563986848494188E-12</v>
      </c>
      <c r="DS168" s="59">
        <f t="shared" si="125"/>
        <v>288.2260950283524</v>
      </c>
      <c r="DT168" s="59">
        <f ca="1">AVERAGE(OFFSET($DS$3,0,0,'Données projet'!$E$14+1,1))-AVERAGE(OFFSET($H$3,0,0,'Données projet'!$E$14+1,1))</f>
        <v>493.03862850474161</v>
      </c>
      <c r="DU168" s="59">
        <f t="shared" si="152"/>
        <v>312.51819065560528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60.378703327976112</v>
      </c>
      <c r="EB168" s="21">
        <f>EXP(-LN(2)/25)*EB167+(1-EXP(-LN(2)/25))/(LN(2)/25)*Calculateur!DW168*Calculateur!DY168*VLOOKUP('Données projet'!$B$14,Paramètres!$A$1:$I$89,3,0)*0.475*44/12</f>
        <v>9.5355813534943188</v>
      </c>
      <c r="EC168" s="21">
        <f>EXP(-LN(2)/2)*EC167+(1-EXP(-LN(2)/2))/(LN(2)/2)*DW168*DZ168*VLOOKUP('Données projet'!$B$14,Paramètres!$A$1:$I$89,3,0)*0.475*44/12</f>
        <v>3.9267886679439515E-5</v>
      </c>
      <c r="ED168" s="22">
        <f t="shared" si="178"/>
        <v>69.914323949357112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2.5579538487363607E-13</v>
      </c>
      <c r="EK168" s="17">
        <f>EJ168*VLOOKUP('Données projet'!$B$15,Paramètres!$A$1:$I$89,3,0)*VLOOKUP('Données projet'!$B$15,Paramètres!$A$1:$I$89,5,0)</f>
        <v>2.7533815227798186E-13</v>
      </c>
      <c r="EL168" s="13">
        <f t="shared" si="179"/>
        <v>3.6763598146902537E-12</v>
      </c>
      <c r="EM168" s="20">
        <f t="shared" si="180"/>
        <v>6.88254062580301E-12</v>
      </c>
      <c r="EN168" s="59">
        <f t="shared" si="128"/>
        <v>288.22609502835303</v>
      </c>
      <c r="EO168" s="59">
        <f ca="1">AVERAGE(OFFSET($EN$3,0,0,'Données projet'!$E$15+1,1))-AVERAGE(OFFSET($H$3,0,0,'Données projet'!$E$15+1,1))</f>
        <v>539.72194201710272</v>
      </c>
      <c r="EP168" s="59">
        <f t="shared" si="154"/>
        <v>340.76505385159362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67.195653703715351</v>
      </c>
      <c r="EW168" s="21">
        <f>EXP(-LN(2)/25)*EW167+(1-EXP(-LN(2)/25))/(LN(2)/25)*Calculateur!ER168*Calculateur!ET168*VLOOKUP('Données projet'!$B$15,Paramètres!$A$1:$I$89,3,0)*0.475*44/12</f>
        <v>10.612179248243672</v>
      </c>
      <c r="EX168" s="21">
        <f>EXP(-LN(2)/2)*EX167+(1-EXP(-LN(2)/2))/(LN(2)/2)*ER168*EU168*VLOOKUP('Données projet'!$B$15,Paramètres!$A$1:$I$89,3,0)*0.475*44/12</f>
        <v>4.3701357756150361E-5</v>
      </c>
      <c r="EY168" s="22">
        <f t="shared" si="181"/>
        <v>77.807876653316782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>
        <f>FE168*VLOOKUP('Données projet'!$B$16,Paramètres!$A$1:$I$89,3,0)*VLOOKUP('Données projet'!$B$16,Paramètres!$A$1:$I$89,5,0)</f>
        <v>0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383.47860767209028</v>
      </c>
      <c r="FK168" s="59">
        <f t="shared" si="156"/>
        <v>370.49129421395628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9.8449619476999164</v>
      </c>
      <c r="FR168" s="21">
        <f>EXP(-LN(2)/25)*FR167+(1-EXP(-LN(2)/25))/(LN(2)/25)*Calculateur!FM168*Calculateur!FO168*VLOOKUP('Données projet'!$B$16,Paramètres!$A$1:$I$89,3,0)*0.475*44/12</f>
        <v>4.957349477967119</v>
      </c>
      <c r="FS168" s="21">
        <f>EXP(-LN(2)/2)*FS167+(1-EXP(-LN(2)/2))/(LN(2)/2)*FM168*FP168*VLOOKUP('Données projet'!$B$16,Paramètres!$A$1:$I$89,3,0)*0.475*44/12</f>
        <v>1.0232725133700795E-11</v>
      </c>
      <c r="FT168" s="22">
        <f t="shared" si="184"/>
        <v>14.802311425677269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7.6783333333333319</v>
      </c>
      <c r="FZ168" s="12">
        <f>IF('Données projet'!$A$244&gt;35,FZ167+FY168-GH167,IF(A168&lt;'Données projet'!$A$244,$FW$205^A168,IF(A168='Données projet'!$A$244,'Données projet'!$B$244,FZ167+FY168-GH167)))</f>
        <v>412.61499999999967</v>
      </c>
      <c r="GA168" s="17">
        <f>FZ168*VLOOKUP('Données projet'!$B$17,Paramètres!$A$1:$I$89,3,0)*VLOOKUP('Données projet'!$B$17,Paramètres!$A$1:$I$89,5,0)</f>
        <v>469.88596199999961</v>
      </c>
      <c r="GB168" s="13">
        <f t="shared" si="185"/>
        <v>105.80948774021181</v>
      </c>
      <c r="GC168" s="20">
        <f t="shared" si="186"/>
        <v>1002.6695749642014</v>
      </c>
      <c r="GD168" s="59">
        <f t="shared" si="134"/>
        <v>1290.8956699925475</v>
      </c>
      <c r="GE168" s="59">
        <f ca="1">AVERAGE(OFFSET($GD$3,0,0,'Données projet'!$E$17+1,1))-AVERAGE(OFFSET($H$3,0,0,'Données projet'!$E$17+1,1))</f>
        <v>640.05156427113661</v>
      </c>
      <c r="GF168" s="59">
        <f t="shared" si="158"/>
        <v>308.77220155372902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39.535628667274196</v>
      </c>
      <c r="GM168" s="21">
        <f>EXP(-LN(2)/25)*GM167+(1-EXP(-LN(2)/25))/(LN(2)/25)*Calculateur!GH168*Calculateur!GJ168*VLOOKUP('Données projet'!$B$17,Paramètres!$A$1:$I$89,3,0)*0.475*44/12</f>
        <v>20.005277171921229</v>
      </c>
      <c r="GN168" s="21">
        <f>EXP(-LN(2)/2)*GN167+(1-EXP(-LN(2)/2))/(LN(2)/2)*GH168*GK168*VLOOKUP('Données projet'!$B$17,Paramètres!$A$1:$I$89,3,0)*0.475*44/12</f>
        <v>4.5805011607274503E-3</v>
      </c>
      <c r="GO168" s="21">
        <f t="shared" si="187"/>
        <v>59.545486340356149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4.7884896048344674E-14</v>
      </c>
      <c r="P169" s="13">
        <f t="shared" si="141"/>
        <v>7.8374629847779921E-13</v>
      </c>
      <c r="Q169" s="20">
        <f t="shared" si="162"/>
        <v>1.4484243304663672E-12</v>
      </c>
      <c r="R169" s="59">
        <f t="shared" si="109"/>
        <v>288.31469419486484</v>
      </c>
      <c r="S169" s="59">
        <f ca="1">AVERAGE(OFFSET($R$3,0,0,'Données projet'!$E$9+1,1))-AVERAGE(OFFSET($H$3,0,0,'Données projet'!$E$9+1,1))</f>
        <v>456.35333554128226</v>
      </c>
      <c r="T169" s="59">
        <f t="shared" si="142"/>
        <v>296.4517290984877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37.284007752741537</v>
      </c>
      <c r="AA169" s="21">
        <f>EXP(-LN(2)/25)*AA168+(1-EXP(-LN(2)/25))/(LN(2)/25)*Calculateur!V169*Calculateur!X169*VLOOKUP('Données projet'!$B$9,Paramètres!$A$1:$I$89,3,0)*0.475*44/12</f>
        <v>5.3011844487426245</v>
      </c>
      <c r="AB169" s="21">
        <f>EXP(-LN(2)/2)*AB168+(1-EXP(-LN(2)/2))/(LN(2)/2)*V169*Y169*VLOOKUP('Données projet'!$B$9,Paramètres!$A$1:$I$89,3,0)*0.475*44/12</f>
        <v>6.9132293806982094E-9</v>
      </c>
      <c r="AC169" s="22">
        <f t="shared" si="163"/>
        <v>42.585192208397395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408.246209980743</v>
      </c>
      <c r="AO169" s="59">
        <f t="shared" si="144"/>
        <v>394.10236303013903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10.394362729411649</v>
      </c>
      <c r="AV169" s="21">
        <f>EXP(-LN(2)/25)*AV168+(1-EXP(-LN(2)/25))/(LN(2)/25)*Calculateur!AQ169*Calculateur!AS169*VLOOKUP('Données projet'!$B$10,Paramètres!$A$1:$I$89,3,0)*0.475*44/12</f>
        <v>5.1926974570115423</v>
      </c>
      <c r="AW169" s="21">
        <f>EXP(-LN(2)/2)*AW168+(1-EXP(-LN(2)/2))/(LN(2)/2)*AQ169*AT169*VLOOKUP('Données projet'!$B$10,Paramètres!$A$1:$I$89,3,0)*0.475*44/12</f>
        <v>7.7922162037545626E-12</v>
      </c>
      <c r="AX169" s="21">
        <f t="shared" si="166"/>
        <v>15.587060186430984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7.6783333333333319</v>
      </c>
      <c r="BD169" s="12">
        <f>IF('Données projet'!$A$88&gt;35,BD168+BC169-BL168,IF(A169&lt;'Données projet'!$A$88,$BA$205^A169,IF(A169='Données projet'!$A$88,'Données projet'!$B$88,BD168+BC169-BL168)))</f>
        <v>420.29333333333301</v>
      </c>
      <c r="BE169" s="13">
        <f>BD169*VLOOKUP('Données projet'!$B$11,Paramètres!$A$1:$I$89,3,0)*VLOOKUP('Données projet'!$B$11,Paramètres!$A$1:$I$89,5,0)</f>
        <v>426.17743999999971</v>
      </c>
      <c r="BF169" s="13">
        <f t="shared" si="167"/>
        <v>97.064001669669764</v>
      </c>
      <c r="BG169" s="20">
        <f t="shared" si="168"/>
        <v>911.31217757467437</v>
      </c>
      <c r="BH169" s="59">
        <f t="shared" si="116"/>
        <v>1199.6268717695377</v>
      </c>
      <c r="BI169" s="59">
        <f ca="1">AVERAGE(OFFSET($BH$3,0,0,'Données projet'!$E$11+1,1))-AVERAGE(OFFSET($H$3,0,0,'Données projet'!$E$11+1,1))</f>
        <v>580.02848304986492</v>
      </c>
      <c r="BJ169" s="59">
        <f t="shared" si="146"/>
        <v>281.68891895586728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34.512648516780658</v>
      </c>
      <c r="BQ169" s="21">
        <f>EXP(-LN(2)/25)*BQ168+(1-EXP(-LN(2)/25))/(LN(2)/25)*Calculateur!BL169*Calculateur!BN169*VLOOKUP('Données projet'!$B$11,Paramètres!$A$1:$I$89,3,0)*0.475*44/12</f>
        <v>17.32582284952754</v>
      </c>
      <c r="BR169" s="21">
        <f>EXP(-LN(2)/2)*BR168+(1-EXP(-LN(2)/2))/(LN(2)/2)*BL169*BO169*VLOOKUP('Données projet'!$B$11,Paramètres!$A$1:$I$89,3,0)*0.475*44/12</f>
        <v>2.8839551106700011E-3</v>
      </c>
      <c r="BS169" s="22">
        <f t="shared" si="169"/>
        <v>51.841355321418867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4.4337866711430253E-14</v>
      </c>
      <c r="CA169" s="13">
        <f t="shared" si="170"/>
        <v>7.3222115536967035E-13</v>
      </c>
      <c r="CB169" s="20">
        <f t="shared" si="171"/>
        <v>1.3525069634579169E-12</v>
      </c>
      <c r="CC169" s="59">
        <f t="shared" si="119"/>
        <v>288.31469419486479</v>
      </c>
      <c r="CD169" s="59">
        <f ca="1">AVERAGE(OFFSET($CC$3,0,0,'Données projet'!$E$12+1,1))-AVERAGE(OFFSET($H$3,0,0,'Données projet'!$E$12+1,1))</f>
        <v>308.85018589589453</v>
      </c>
      <c r="CE169" s="59">
        <f t="shared" si="148"/>
        <v>302.59481222418219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6.2975407120797504</v>
      </c>
      <c r="CL169" s="21">
        <f>EXP(-LN(2)/25)*CL168+(1-EXP(-LN(2)/25))/(LN(2)/25)*Calculateur!CG169*Calculateur!CI169*VLOOKUP('Données projet'!$B$12,Paramètres!$A$1:$I$89,3,0)*0.475*44/12</f>
        <v>2.8754448814944777</v>
      </c>
      <c r="CM169" s="21">
        <f>EXP(-LN(2)/2)*CM168+(1-EXP(-LN(2)/2))/(LN(2)/2)*CG169*CJ169*VLOOKUP('Données projet'!$B$12,Paramètres!$A$1:$I$89,3,0)*0.475*44/12</f>
        <v>1.5262811426791766E-13</v>
      </c>
      <c r="CN169" s="22">
        <f t="shared" si="172"/>
        <v>9.1729855935743814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2.2737367544323206E-13</v>
      </c>
      <c r="CU169" s="17">
        <f>CT169*VLOOKUP('Données projet'!$B$13,Paramètres!$A$1:$I$89,3,0)*VLOOKUP('Données projet'!$B$13,Paramètres!$A$1:$I$89,5,0)</f>
        <v>1.5252226148732008E-13</v>
      </c>
      <c r="CV169" s="13">
        <f t="shared" si="173"/>
        <v>2.1814502464536512E-12</v>
      </c>
      <c r="CW169" s="20">
        <f t="shared" si="174"/>
        <v>4.0650021179971913E-12</v>
      </c>
      <c r="CX169" s="59">
        <f t="shared" si="122"/>
        <v>288.31469419486751</v>
      </c>
      <c r="CY169" s="59">
        <f ca="1">AVERAGE(OFFSET($CX$3,0,0,'Données projet'!$E$13+1,1))-AVERAGE(OFFSET($H$3,0,0,'Données projet'!$E$13+1,1))</f>
        <v>335.73816489539837</v>
      </c>
      <c r="CZ169" s="59">
        <f t="shared" si="150"/>
        <v>254.09787950201044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12.357044178857116</v>
      </c>
      <c r="DG169" s="21">
        <f>EXP(-LN(2)/25)*DG168+(1-EXP(-LN(2)/25))/(LN(2)/25)*Calculateur!DB169*Calculateur!DD169*VLOOKUP('Données projet'!$B$13,Paramètres!$A$1:$I$89,3,0)*0.475*44/12</f>
        <v>8.0257781948407239</v>
      </c>
      <c r="DH169" s="21">
        <f>EXP(-LN(2)/2)*DH168+(1-EXP(-LN(2)/2))/(LN(2)/2)*DB169*DE169*VLOOKUP('Données projet'!$B$13,Paramètres!$A$1:$I$89,3,0)*0.475*44/12</f>
        <v>1.8237395427565915E-7</v>
      </c>
      <c r="DI169" s="22">
        <f t="shared" si="175"/>
        <v>20.382822556071797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2.5579538487363607E-13</v>
      </c>
      <c r="DP169" s="17">
        <f>DO169*VLOOKUP('Données projet'!$B$14,Paramètres!$A$1:$I$89,3,0)*VLOOKUP('Données projet'!$B$14,Paramètres!$A$1:$I$89,5,0)</f>
        <v>2.4740529624978082E-13</v>
      </c>
      <c r="DQ169" s="13">
        <f t="shared" si="176"/>
        <v>3.3447853361996459E-12</v>
      </c>
      <c r="DR169" s="20">
        <f t="shared" si="177"/>
        <v>6.2563986848494188E-12</v>
      </c>
      <c r="DS169" s="59">
        <f t="shared" si="125"/>
        <v>288.31469419486967</v>
      </c>
      <c r="DT169" s="59">
        <f ca="1">AVERAGE(OFFSET($DS$3,0,0,'Données projet'!$E$14+1,1))-AVERAGE(OFFSET($H$3,0,0,'Données projet'!$E$14+1,1))</f>
        <v>493.03862850474161</v>
      </c>
      <c r="DU169" s="59">
        <f t="shared" si="152"/>
        <v>312.51819065560528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59.194713783087131</v>
      </c>
      <c r="EB169" s="21">
        <f>EXP(-LN(2)/25)*EB168+(1-EXP(-LN(2)/25))/(LN(2)/25)*Calculateur!DW169*Calculateur!DY169*VLOOKUP('Données projet'!$B$14,Paramètres!$A$1:$I$89,3,0)*0.475*44/12</f>
        <v>9.2748303799285878</v>
      </c>
      <c r="EC169" s="21">
        <f>EXP(-LN(2)/2)*EC168+(1-EXP(-LN(2)/2))/(LN(2)/2)*DW169*DZ169*VLOOKUP('Données projet'!$B$14,Paramètres!$A$1:$I$89,3,0)*0.475*44/12</f>
        <v>2.7766588953896582E-5</v>
      </c>
      <c r="ED169" s="22">
        <f t="shared" si="178"/>
        <v>68.469571929604669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2.5579538487363607E-13</v>
      </c>
      <c r="EK169" s="17">
        <f>EJ169*VLOOKUP('Données projet'!$B$15,Paramètres!$A$1:$I$89,3,0)*VLOOKUP('Données projet'!$B$15,Paramètres!$A$1:$I$89,5,0)</f>
        <v>2.7533815227798186E-13</v>
      </c>
      <c r="EL169" s="13">
        <f t="shared" si="179"/>
        <v>3.6763598146902537E-12</v>
      </c>
      <c r="EM169" s="20">
        <f t="shared" si="180"/>
        <v>6.88254062580301E-12</v>
      </c>
      <c r="EN169" s="59">
        <f t="shared" si="128"/>
        <v>288.3146941948703</v>
      </c>
      <c r="EO169" s="59">
        <f ca="1">AVERAGE(OFFSET($EN$3,0,0,'Données projet'!$E$15+1,1))-AVERAGE(OFFSET($H$3,0,0,'Données projet'!$E$15+1,1))</f>
        <v>539.72194201710272</v>
      </c>
      <c r="EP169" s="59">
        <f t="shared" si="154"/>
        <v>340.76505385159362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65.877987919887289</v>
      </c>
      <c r="EW169" s="21">
        <f>EXP(-LN(2)/25)*EW168+(1-EXP(-LN(2)/25))/(LN(2)/25)*Calculateur!ER169*Calculateur!ET169*VLOOKUP('Données projet'!$B$15,Paramètres!$A$1:$I$89,3,0)*0.475*44/12</f>
        <v>10.321988648630196</v>
      </c>
      <c r="EX169" s="21">
        <f>EXP(-LN(2)/2)*EX168+(1-EXP(-LN(2)/2))/(LN(2)/2)*ER169*EU169*VLOOKUP('Données projet'!$B$15,Paramètres!$A$1:$I$89,3,0)*0.475*44/12</f>
        <v>3.0901526416433245E-5</v>
      </c>
      <c r="EY169" s="22">
        <f t="shared" si="181"/>
        <v>76.2000074700439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>
        <f>FE169*VLOOKUP('Données projet'!$B$16,Paramètres!$A$1:$I$89,3,0)*VLOOKUP('Données projet'!$B$16,Paramètres!$A$1:$I$89,5,0)</f>
        <v>0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383.47860767209028</v>
      </c>
      <c r="FK169" s="59">
        <f t="shared" si="156"/>
        <v>370.49129421395628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9.6519082487393817</v>
      </c>
      <c r="FR169" s="21">
        <f>EXP(-LN(2)/25)*FR168+(1-EXP(-LN(2)/25))/(LN(2)/25)*Calculateur!FM169*Calculateur!FO169*VLOOKUP('Données projet'!$B$16,Paramètres!$A$1:$I$89,3,0)*0.475*44/12</f>
        <v>4.8217904957964288</v>
      </c>
      <c r="FS169" s="21">
        <f>EXP(-LN(2)/2)*FS168+(1-EXP(-LN(2)/2))/(LN(2)/2)*FM169*FP169*VLOOKUP('Données projet'!$B$16,Paramètres!$A$1:$I$89,3,0)*0.475*44/12</f>
        <v>7.2356293320578535E-12</v>
      </c>
      <c r="FT169" s="22">
        <f t="shared" si="184"/>
        <v>14.473698744543045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7.6783333333333319</v>
      </c>
      <c r="FZ169" s="12">
        <f>IF('Données projet'!$A$244&gt;35,FZ168+FY169-GH168,IF(A169&lt;'Données projet'!$A$244,$FW$205^A169,IF(A169='Données projet'!$A$244,'Données projet'!$B$244,FZ168+FY169-GH168)))</f>
        <v>420.29333333333301</v>
      </c>
      <c r="GA169" s="17">
        <f>FZ169*VLOOKUP('Données projet'!$B$17,Paramètres!$A$1:$I$89,3,0)*VLOOKUP('Données projet'!$B$17,Paramètres!$A$1:$I$89,5,0)</f>
        <v>478.63004799999959</v>
      </c>
      <c r="GB169" s="13">
        <f t="shared" si="185"/>
        <v>107.54742816141284</v>
      </c>
      <c r="GC169" s="20">
        <f t="shared" si="186"/>
        <v>1020.9257709811267</v>
      </c>
      <c r="GD169" s="59">
        <f t="shared" si="134"/>
        <v>1309.24046517599</v>
      </c>
      <c r="GE169" s="59">
        <f ca="1">AVERAGE(OFFSET($GD$3,0,0,'Données projet'!$E$17+1,1))-AVERAGE(OFFSET($H$3,0,0,'Données projet'!$E$17+1,1))</f>
        <v>640.05156427113661</v>
      </c>
      <c r="GF169" s="59">
        <f t="shared" si="158"/>
        <v>308.77220155372902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38.76035910346134</v>
      </c>
      <c r="GM169" s="21">
        <f>EXP(-LN(2)/25)*GM168+(1-EXP(-LN(2)/25))/(LN(2)/25)*Calculateur!GH169*Calculateur!GJ169*VLOOKUP('Données projet'!$B$17,Paramètres!$A$1:$I$89,3,0)*0.475*44/12</f>
        <v>19.45823181562324</v>
      </c>
      <c r="GN169" s="21">
        <f>EXP(-LN(2)/2)*GN168+(1-EXP(-LN(2)/2))/(LN(2)/2)*GH169*GK169*VLOOKUP('Données projet'!$B$17,Paramètres!$A$1:$I$89,3,0)*0.475*44/12</f>
        <v>3.2389034319832322E-3</v>
      </c>
      <c r="GO169" s="21">
        <f t="shared" si="187"/>
        <v>58.221829822516561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4.7884896048344674E-14</v>
      </c>
      <c r="P170" s="13">
        <f t="shared" si="141"/>
        <v>7.8374629847779921E-13</v>
      </c>
      <c r="Q170" s="20">
        <f t="shared" si="162"/>
        <v>1.4484243304663672E-12</v>
      </c>
      <c r="R170" s="59">
        <f t="shared" si="109"/>
        <v>288.40175636392104</v>
      </c>
      <c r="S170" s="59">
        <f ca="1">AVERAGE(OFFSET($R$3,0,0,'Données projet'!$E$9+1,1))-AVERAGE(OFFSET($H$3,0,0,'Données projet'!$E$9+1,1))</f>
        <v>456.35333554128226</v>
      </c>
      <c r="T170" s="59">
        <f t="shared" si="142"/>
        <v>296.4517290984877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36.55289110170952</v>
      </c>
      <c r="AA170" s="21">
        <f>EXP(-LN(2)/25)*AA169+(1-EXP(-LN(2)/25))/(LN(2)/25)*Calculateur!V170*Calculateur!X170*VLOOKUP('Données projet'!$B$9,Paramètres!$A$1:$I$89,3,0)*0.475*44/12</f>
        <v>5.156223281214583</v>
      </c>
      <c r="AB170" s="21">
        <f>EXP(-LN(2)/2)*AB169+(1-EXP(-LN(2)/2))/(LN(2)/2)*V170*Y170*VLOOKUP('Données projet'!$B$9,Paramètres!$A$1:$I$89,3,0)*0.475*44/12</f>
        <v>4.8883913749897801E-9</v>
      </c>
      <c r="AC170" s="22">
        <f t="shared" si="163"/>
        <v>41.709114387812491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408.246209980743</v>
      </c>
      <c r="AO170" s="59">
        <f t="shared" si="144"/>
        <v>394.10236303013903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10.190535616223135</v>
      </c>
      <c r="AV170" s="21">
        <f>EXP(-LN(2)/25)*AV169+(1-EXP(-LN(2)/25))/(LN(2)/25)*Calculateur!AQ170*Calculateur!AS170*VLOOKUP('Données projet'!$B$10,Paramètres!$A$1:$I$89,3,0)*0.475*44/12</f>
        <v>5.05070287197747</v>
      </c>
      <c r="AW170" s="21">
        <f>EXP(-LN(2)/2)*AW169+(1-EXP(-LN(2)/2))/(LN(2)/2)*AQ170*AT170*VLOOKUP('Données projet'!$B$10,Paramètres!$A$1:$I$89,3,0)*0.475*44/12</f>
        <v>5.5099289181465476E-12</v>
      </c>
      <c r="AX170" s="21">
        <f t="shared" si="166"/>
        <v>15.241238488206115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7.6783333333333319</v>
      </c>
      <c r="BD170" s="12">
        <f>IF('Données projet'!$A$88&gt;35,BD169+BC170-BL169,IF(A170&lt;'Données projet'!$A$88,$BA$205^A170,IF(A170='Données projet'!$A$88,'Données projet'!$B$88,BD169+BC170-BL169)))</f>
        <v>427.97166666666635</v>
      </c>
      <c r="BE170" s="13">
        <f>BD170*VLOOKUP('Données projet'!$B$11,Paramètres!$A$1:$I$89,3,0)*VLOOKUP('Données projet'!$B$11,Paramètres!$A$1:$I$89,5,0)</f>
        <v>433.96326999999974</v>
      </c>
      <c r="BF170" s="13">
        <f t="shared" si="167"/>
        <v>98.629200306449263</v>
      </c>
      <c r="BG170" s="20">
        <f t="shared" si="168"/>
        <v>927.59855245039887</v>
      </c>
      <c r="BH170" s="59">
        <f t="shared" si="116"/>
        <v>1216.0003088143185</v>
      </c>
      <c r="BI170" s="59">
        <f ca="1">AVERAGE(OFFSET($BH$3,0,0,'Données projet'!$E$11+1,1))-AVERAGE(OFFSET($H$3,0,0,'Données projet'!$E$11+1,1))</f>
        <v>580.02848304986492</v>
      </c>
      <c r="BJ170" s="59">
        <f t="shared" si="146"/>
        <v>281.68891895586728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33.83587653000361</v>
      </c>
      <c r="BQ170" s="21">
        <f>EXP(-LN(2)/25)*BQ169+(1-EXP(-LN(2)/25))/(LN(2)/25)*Calculateur!BL170*Calculateur!BN170*VLOOKUP('Données projet'!$B$11,Paramètres!$A$1:$I$89,3,0)*0.475*44/12</f>
        <v>16.852047312581785</v>
      </c>
      <c r="BR170" s="21">
        <f>EXP(-LN(2)/2)*BR169+(1-EXP(-LN(2)/2))/(LN(2)/2)*BL170*BO170*VLOOKUP('Données projet'!$B$11,Paramètres!$A$1:$I$89,3,0)*0.475*44/12</f>
        <v>2.0392642153923579E-3</v>
      </c>
      <c r="BS170" s="22">
        <f t="shared" si="169"/>
        <v>50.689963106800782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4.4337866711430253E-14</v>
      </c>
      <c r="CA170" s="13">
        <f t="shared" si="170"/>
        <v>7.3222115536967035E-13</v>
      </c>
      <c r="CB170" s="20">
        <f t="shared" si="171"/>
        <v>1.3525069634579169E-12</v>
      </c>
      <c r="CC170" s="59">
        <f t="shared" si="119"/>
        <v>288.40175636392098</v>
      </c>
      <c r="CD170" s="59">
        <f ca="1">AVERAGE(OFFSET($CC$3,0,0,'Données projet'!$E$12+1,1))-AVERAGE(OFFSET($H$3,0,0,'Données projet'!$E$12+1,1))</f>
        <v>308.85018589589453</v>
      </c>
      <c r="CE170" s="59">
        <f t="shared" si="148"/>
        <v>302.59481222418219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6.1740497798364213</v>
      </c>
      <c r="CL170" s="21">
        <f>EXP(-LN(2)/25)*CL169+(1-EXP(-LN(2)/25))/(LN(2)/25)*Calculateur!CG170*Calculateur!CI170*VLOOKUP('Données projet'!$B$12,Paramètres!$A$1:$I$89,3,0)*0.475*44/12</f>
        <v>2.796815689996937</v>
      </c>
      <c r="CM170" s="21">
        <f>EXP(-LN(2)/2)*CM169+(1-EXP(-LN(2)/2))/(LN(2)/2)*CG170*CJ170*VLOOKUP('Données projet'!$B$12,Paramètres!$A$1:$I$89,3,0)*0.475*44/12</f>
        <v>1.0792437459855983E-13</v>
      </c>
      <c r="CN170" s="22">
        <f t="shared" si="172"/>
        <v>8.9708654698334662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2.2737367544323206E-13</v>
      </c>
      <c r="CU170" s="17">
        <f>CT170*VLOOKUP('Données projet'!$B$13,Paramètres!$A$1:$I$89,3,0)*VLOOKUP('Données projet'!$B$13,Paramètres!$A$1:$I$89,5,0)</f>
        <v>1.5252226148732008E-13</v>
      </c>
      <c r="CV170" s="13">
        <f t="shared" si="173"/>
        <v>2.1814502464536512E-12</v>
      </c>
      <c r="CW170" s="20">
        <f t="shared" si="174"/>
        <v>4.0650021179971913E-12</v>
      </c>
      <c r="CX170" s="59">
        <f t="shared" si="122"/>
        <v>288.40175636392371</v>
      </c>
      <c r="CY170" s="59">
        <f ca="1">AVERAGE(OFFSET($CX$3,0,0,'Données projet'!$E$13+1,1))-AVERAGE(OFFSET($H$3,0,0,'Données projet'!$E$13+1,1))</f>
        <v>335.73816489539837</v>
      </c>
      <c r="CZ170" s="59">
        <f t="shared" si="150"/>
        <v>254.09787950201044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12.114730079562454</v>
      </c>
      <c r="DG170" s="21">
        <f>EXP(-LN(2)/25)*DG169+(1-EXP(-LN(2)/25))/(LN(2)/25)*Calculateur!DB170*Calculateur!DD170*VLOOKUP('Données projet'!$B$13,Paramètres!$A$1:$I$89,3,0)*0.475*44/12</f>
        <v>7.8063128680454721</v>
      </c>
      <c r="DH170" s="21">
        <f>EXP(-LN(2)/2)*DH169+(1-EXP(-LN(2)/2))/(LN(2)/2)*DB170*DE170*VLOOKUP('Données projet'!$B$13,Paramètres!$A$1:$I$89,3,0)*0.475*44/12</f>
        <v>1.2895785978012394E-7</v>
      </c>
      <c r="DI170" s="22">
        <f t="shared" si="175"/>
        <v>19.921043076565788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2.5579538487363607E-13</v>
      </c>
      <c r="DP170" s="17">
        <f>DO170*VLOOKUP('Données projet'!$B$14,Paramètres!$A$1:$I$89,3,0)*VLOOKUP('Données projet'!$B$14,Paramètres!$A$1:$I$89,5,0)</f>
        <v>2.4740529624978082E-13</v>
      </c>
      <c r="DQ170" s="13">
        <f t="shared" si="176"/>
        <v>3.3447853361996459E-12</v>
      </c>
      <c r="DR170" s="20">
        <f t="shared" si="177"/>
        <v>6.2563986848494188E-12</v>
      </c>
      <c r="DS170" s="59">
        <f t="shared" si="125"/>
        <v>288.40175636392587</v>
      </c>
      <c r="DT170" s="59">
        <f ca="1">AVERAGE(OFFSET($DS$3,0,0,'Données projet'!$E$14+1,1))-AVERAGE(OFFSET($H$3,0,0,'Données projet'!$E$14+1,1))</f>
        <v>493.03862850474161</v>
      </c>
      <c r="DU170" s="59">
        <f t="shared" si="152"/>
        <v>312.51819065560528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58.033941551011104</v>
      </c>
      <c r="EB170" s="21">
        <f>EXP(-LN(2)/25)*EB169+(1-EXP(-LN(2)/25))/(LN(2)/25)*Calculateur!DW170*Calculateur!DY170*VLOOKUP('Données projet'!$B$14,Paramètres!$A$1:$I$89,3,0)*0.475*44/12</f>
        <v>9.0212096554473096</v>
      </c>
      <c r="EC170" s="21">
        <f>EXP(-LN(2)/2)*EC169+(1-EXP(-LN(2)/2))/(LN(2)/2)*DW170*DZ170*VLOOKUP('Données projet'!$B$14,Paramètres!$A$1:$I$89,3,0)*0.475*44/12</f>
        <v>1.9633943339719758E-5</v>
      </c>
      <c r="ED170" s="22">
        <f t="shared" si="178"/>
        <v>67.055170840401757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2.5579538487363607E-13</v>
      </c>
      <c r="EK170" s="17">
        <f>EJ170*VLOOKUP('Données projet'!$B$15,Paramètres!$A$1:$I$89,3,0)*VLOOKUP('Données projet'!$B$15,Paramètres!$A$1:$I$89,5,0)</f>
        <v>2.7533815227798186E-13</v>
      </c>
      <c r="EL170" s="13">
        <f t="shared" si="179"/>
        <v>3.6763598146902537E-12</v>
      </c>
      <c r="EM170" s="20">
        <f t="shared" si="180"/>
        <v>6.88254062580301E-12</v>
      </c>
      <c r="EN170" s="59">
        <f t="shared" si="128"/>
        <v>288.40175636392649</v>
      </c>
      <c r="EO170" s="59">
        <f ca="1">AVERAGE(OFFSET($EN$3,0,0,'Données projet'!$E$15+1,1))-AVERAGE(OFFSET($H$3,0,0,'Données projet'!$E$15+1,1))</f>
        <v>539.72194201710272</v>
      </c>
      <c r="EP170" s="59">
        <f t="shared" si="154"/>
        <v>340.76505385159362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64.586160758383329</v>
      </c>
      <c r="EW170" s="21">
        <f>EXP(-LN(2)/25)*EW169+(1-EXP(-LN(2)/25))/(LN(2)/25)*Calculateur!ER170*Calculateur!ET170*VLOOKUP('Données projet'!$B$15,Paramètres!$A$1:$I$89,3,0)*0.475*44/12</f>
        <v>10.039733326223612</v>
      </c>
      <c r="EX170" s="21">
        <f>EXP(-LN(2)/2)*EX169+(1-EXP(-LN(2)/2))/(LN(2)/2)*ER170*EU170*VLOOKUP('Données projet'!$B$15,Paramètres!$A$1:$I$89,3,0)*0.475*44/12</f>
        <v>2.1850678878075181E-5</v>
      </c>
      <c r="EY170" s="22">
        <f t="shared" si="181"/>
        <v>74.625915935285818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>
        <f>FE170*VLOOKUP('Données projet'!$B$16,Paramètres!$A$1:$I$89,3,0)*VLOOKUP('Données projet'!$B$16,Paramètres!$A$1:$I$89,5,0)</f>
        <v>0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383.47860767209028</v>
      </c>
      <c r="FK170" s="59">
        <f t="shared" si="156"/>
        <v>370.49129421395628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9.4626402150643329</v>
      </c>
      <c r="FR170" s="21">
        <f>EXP(-LN(2)/25)*FR169+(1-EXP(-LN(2)/25))/(LN(2)/25)*Calculateur!FM170*Calculateur!FO170*VLOOKUP('Données projet'!$B$16,Paramètres!$A$1:$I$89,3,0)*0.475*44/12</f>
        <v>4.6899383811219337</v>
      </c>
      <c r="FS170" s="21">
        <f>EXP(-LN(2)/2)*FS169+(1-EXP(-LN(2)/2))/(LN(2)/2)*FM170*FP170*VLOOKUP('Données projet'!$B$16,Paramètres!$A$1:$I$89,3,0)*0.475*44/12</f>
        <v>5.1163625668503982E-12</v>
      </c>
      <c r="FT170" s="22">
        <f t="shared" si="184"/>
        <v>14.152578596191383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7.6783333333333319</v>
      </c>
      <c r="FZ170" s="12">
        <f>IF('Données projet'!$A$244&gt;35,FZ169+FY170-GH169,IF(A170&lt;'Données projet'!$A$244,$FW$205^A170,IF(A170='Données projet'!$A$244,'Données projet'!$B$244,FZ169+FY170-GH169)))</f>
        <v>427.97166666666635</v>
      </c>
      <c r="GA170" s="17">
        <f>FZ170*VLOOKUP('Données projet'!$B$17,Paramètres!$A$1:$I$89,3,0)*VLOOKUP('Données projet'!$B$17,Paramètres!$A$1:$I$89,5,0)</f>
        <v>487.37413399999963</v>
      </c>
      <c r="GB170" s="13">
        <f t="shared" si="185"/>
        <v>109.28167654445673</v>
      </c>
      <c r="GC170" s="20">
        <f t="shared" si="186"/>
        <v>1039.1755366982613</v>
      </c>
      <c r="GD170" s="59">
        <f t="shared" si="134"/>
        <v>1327.5772930621811</v>
      </c>
      <c r="GE170" s="59">
        <f ca="1">AVERAGE(OFFSET($GD$3,0,0,'Données projet'!$E$17+1,1))-AVERAGE(OFFSET($H$3,0,0,'Données projet'!$E$17+1,1))</f>
        <v>640.05156427113661</v>
      </c>
      <c r="GF170" s="59">
        <f t="shared" si="158"/>
        <v>308.77220155372902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38.000292102927112</v>
      </c>
      <c r="GM170" s="21">
        <f>EXP(-LN(2)/25)*GM169+(1-EXP(-LN(2)/25))/(LN(2)/25)*Calculateur!GH170*Calculateur!GJ170*VLOOKUP('Données projet'!$B$17,Paramètres!$A$1:$I$89,3,0)*0.475*44/12</f>
        <v>18.926145443361083</v>
      </c>
      <c r="GN170" s="21">
        <f>EXP(-LN(2)/2)*GN169+(1-EXP(-LN(2)/2))/(LN(2)/2)*GH170*GK170*VLOOKUP('Données projet'!$B$17,Paramètres!$A$1:$I$89,3,0)*0.475*44/12</f>
        <v>2.2902505803637251E-3</v>
      </c>
      <c r="GO170" s="21">
        <f t="shared" si="187"/>
        <v>56.928727796868564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4.7884896048344674E-14</v>
      </c>
      <c r="P171" s="13">
        <f t="shared" si="141"/>
        <v>7.8374629847779921E-13</v>
      </c>
      <c r="Q171" s="20">
        <f t="shared" si="162"/>
        <v>1.4484243304663672E-12</v>
      </c>
      <c r="R171" s="59">
        <f t="shared" si="109"/>
        <v>288.48730819898594</v>
      </c>
      <c r="S171" s="59">
        <f ca="1">AVERAGE(OFFSET($R$3,0,0,'Données projet'!$E$9+1,1))-AVERAGE(OFFSET($H$3,0,0,'Données projet'!$E$9+1,1))</f>
        <v>456.35333554128226</v>
      </c>
      <c r="T171" s="59">
        <f t="shared" si="142"/>
        <v>296.4517290984877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35.836111202267112</v>
      </c>
      <c r="AA171" s="21">
        <f>EXP(-LN(2)/25)*AA170+(1-EXP(-LN(2)/25))/(LN(2)/25)*Calculateur!V171*Calculateur!X171*VLOOKUP('Données projet'!$B$9,Paramètres!$A$1:$I$89,3,0)*0.475*44/12</f>
        <v>5.0152260844357723</v>
      </c>
      <c r="AB171" s="21">
        <f>EXP(-LN(2)/2)*AB170+(1-EXP(-LN(2)/2))/(LN(2)/2)*V171*Y171*VLOOKUP('Données projet'!$B$9,Paramètres!$A$1:$I$89,3,0)*0.475*44/12</f>
        <v>3.4566146903491047E-9</v>
      </c>
      <c r="AC171" s="22">
        <f t="shared" si="163"/>
        <v>40.851337290159499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408.246209980743</v>
      </c>
      <c r="AO171" s="59">
        <f t="shared" si="144"/>
        <v>394.10236303013903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9.9907054284019843</v>
      </c>
      <c r="AV171" s="21">
        <f>EXP(-LN(2)/25)*AV170+(1-EXP(-LN(2)/25))/(LN(2)/25)*Calculateur!AQ171*Calculateur!AS171*VLOOKUP('Données projet'!$B$10,Paramètres!$A$1:$I$89,3,0)*0.475*44/12</f>
        <v>4.9125911363383254</v>
      </c>
      <c r="AW171" s="21">
        <f>EXP(-LN(2)/2)*AW170+(1-EXP(-LN(2)/2))/(LN(2)/2)*AQ171*AT171*VLOOKUP('Données projet'!$B$10,Paramètres!$A$1:$I$89,3,0)*0.475*44/12</f>
        <v>3.8961081018772813E-12</v>
      </c>
      <c r="AX171" s="21">
        <f t="shared" si="166"/>
        <v>14.903296564744204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>
        <f>VLOOKUP(A171,'Données projet'!$A$87:$I$107,2,0)</f>
        <v>435.65</v>
      </c>
      <c r="BB171" s="12">
        <f>VLOOKUP(A171,'Données projet'!$A$87:$I$107,9,0)</f>
        <v>7.6783333333333319</v>
      </c>
      <c r="BC171" s="12">
        <f t="array" ref="BC171">INDEX(BB:BB,MIN(IF(ISNUMBER(BB171:BB367),ROW(BB171:BB367),"")))</f>
        <v>7.6783333333333319</v>
      </c>
      <c r="BD171" s="12">
        <f>IF('Données projet'!$A$88&gt;35,BD170+BC171-BL170,IF(A171&lt;'Données projet'!$A$88,$BA$205^A171,IF(A171='Données projet'!$A$88,'Données projet'!$B$88,BD170+BC171-BL170)))</f>
        <v>435.64999999999969</v>
      </c>
      <c r="BE171" s="13">
        <f>BD171*VLOOKUP('Données projet'!$B$11,Paramètres!$A$1:$I$89,3,0)*VLOOKUP('Données projet'!$B$11,Paramètres!$A$1:$I$89,5,0)</f>
        <v>441.74909999999966</v>
      </c>
      <c r="BF171" s="13">
        <f t="shared" si="167"/>
        <v>100.19113347385638</v>
      </c>
      <c r="BG171" s="20">
        <f t="shared" si="168"/>
        <v>943.879239966966</v>
      </c>
      <c r="BH171" s="59">
        <f t="shared" si="116"/>
        <v>1232.3665481659505</v>
      </c>
      <c r="BI171" s="59">
        <f ca="1">AVERAGE(OFFSET($BH$3,0,0,'Données projet'!$E$11+1,1))-AVERAGE(OFFSET($H$3,0,0,'Données projet'!$E$11+1,1))</f>
        <v>580.02848304986492</v>
      </c>
      <c r="BJ171" s="59">
        <f t="shared" si="146"/>
        <v>281.68891895586728</v>
      </c>
      <c r="BK171" s="15">
        <f>IF(ISNA(VLOOKUP(A171,'Données projet'!$A$87:$I$107,3,0)),0,VLOOKUP(A171,'Données projet'!$A$87:$I$107,3,0))</f>
        <v>12</v>
      </c>
      <c r="BL171" s="15">
        <f>IF(ISNA(VLOOKUP(A171,'Données projet'!$A$87:$I$107,4,0)),0,VLOOKUP(A171,'Données projet'!$A$87:$I$107,4,0))</f>
        <v>71.37</v>
      </c>
      <c r="BM171" s="16">
        <f>IF(ISNA(VLOOKUP(A171,'Données projet'!$A$87:$I$107,5,0)),0%,VLOOKUP(A171,'Données projet'!$A$87:$I$107,5,0)*VLOOKUP('Données projet'!$B$11,Paramètres!$A$1:$I$89,7,0))</f>
        <v>0.215</v>
      </c>
      <c r="BN171" s="16">
        <f>IF(ISNA(VLOOKUP(A171,'Données projet'!$A$87:$I$107,6,0)),0%,VLOOKUP(A171,'Données projet'!$A$87:$I$107,6,0)*VLOOKUP('Données projet'!$B$11,Paramètres!$A$1:$I$89,7,0))</f>
        <v>8.6000000000000007E-2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50.372802378531105</v>
      </c>
      <c r="BQ171" s="21">
        <f>EXP(-LN(2)/25)*BQ170+(1-EXP(-LN(2)/25))/(LN(2)/25)*Calculateur!BL171*Calculateur!BN171*VLOOKUP('Données projet'!$B$11,Paramètres!$A$1:$I$89,3,0)*0.475*44/12</f>
        <v>23.244308038786613</v>
      </c>
      <c r="BR171" s="21">
        <f>EXP(-LN(2)/2)*BR170+(1-EXP(-LN(2)/2))/(LN(2)/2)*BL171*BO171*VLOOKUP('Données projet'!$B$11,Paramètres!$A$1:$I$89,3,0)*0.475*44/12</f>
        <v>1.4419775553350005E-3</v>
      </c>
      <c r="BS171" s="22">
        <f t="shared" si="169"/>
        <v>73.618552394873049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4.4337866711430253E-14</v>
      </c>
      <c r="CA171" s="13">
        <f t="shared" si="170"/>
        <v>7.3222115536967035E-13</v>
      </c>
      <c r="CB171" s="20">
        <f t="shared" si="171"/>
        <v>1.3525069634579169E-12</v>
      </c>
      <c r="CC171" s="59">
        <f t="shared" si="119"/>
        <v>288.48730819898589</v>
      </c>
      <c r="CD171" s="59">
        <f ca="1">AVERAGE(OFFSET($CC$3,0,0,'Données projet'!$E$12+1,1))-AVERAGE(OFFSET($H$3,0,0,'Données projet'!$E$12+1,1))</f>
        <v>308.85018589589453</v>
      </c>
      <c r="CE171" s="59">
        <f t="shared" si="148"/>
        <v>302.59481222418219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6.0529804294523535</v>
      </c>
      <c r="CL171" s="21">
        <f>EXP(-LN(2)/25)*CL170+(1-EXP(-LN(2)/25))/(LN(2)/25)*Calculateur!CG171*Calculateur!CI171*VLOOKUP('Données projet'!$B$12,Paramètres!$A$1:$I$89,3,0)*0.475*44/12</f>
        <v>2.7203366178758257</v>
      </c>
      <c r="CM171" s="21">
        <f>EXP(-LN(2)/2)*CM170+(1-EXP(-LN(2)/2))/(LN(2)/2)*CG171*CJ171*VLOOKUP('Données projet'!$B$12,Paramètres!$A$1:$I$89,3,0)*0.475*44/12</f>
        <v>7.6314057133958831E-14</v>
      </c>
      <c r="CN171" s="22">
        <f t="shared" si="172"/>
        <v>8.7733170473282556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2.2737367544323206E-13</v>
      </c>
      <c r="CU171" s="17">
        <f>CT171*VLOOKUP('Données projet'!$B$13,Paramètres!$A$1:$I$89,3,0)*VLOOKUP('Données projet'!$B$13,Paramètres!$A$1:$I$89,5,0)</f>
        <v>1.5252226148732008E-13</v>
      </c>
      <c r="CV171" s="13">
        <f t="shared" si="173"/>
        <v>2.1814502464536512E-12</v>
      </c>
      <c r="CW171" s="20">
        <f t="shared" si="174"/>
        <v>4.0650021179971913E-12</v>
      </c>
      <c r="CX171" s="59">
        <f t="shared" si="122"/>
        <v>288.48730819898861</v>
      </c>
      <c r="CY171" s="59">
        <f ca="1">AVERAGE(OFFSET($CX$3,0,0,'Données projet'!$E$13+1,1))-AVERAGE(OFFSET($H$3,0,0,'Données projet'!$E$13+1,1))</f>
        <v>335.73816489539837</v>
      </c>
      <c r="CZ171" s="59">
        <f t="shared" si="150"/>
        <v>254.09787950201044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11.877167611957955</v>
      </c>
      <c r="DG171" s="21">
        <f>EXP(-LN(2)/25)*DG170+(1-EXP(-LN(2)/25))/(LN(2)/25)*Calculateur!DB171*Calculateur!DD171*VLOOKUP('Données projet'!$B$13,Paramètres!$A$1:$I$89,3,0)*0.475*44/12</f>
        <v>7.5928488321526162</v>
      </c>
      <c r="DH171" s="21">
        <f>EXP(-LN(2)/2)*DH170+(1-EXP(-LN(2)/2))/(LN(2)/2)*DB171*DE171*VLOOKUP('Données projet'!$B$13,Paramètres!$A$1:$I$89,3,0)*0.475*44/12</f>
        <v>9.1186977137829576E-8</v>
      </c>
      <c r="DI171" s="22">
        <f t="shared" si="175"/>
        <v>19.470016535297546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2.5579538487363607E-13</v>
      </c>
      <c r="DP171" s="17">
        <f>DO171*VLOOKUP('Données projet'!$B$14,Paramètres!$A$1:$I$89,3,0)*VLOOKUP('Données projet'!$B$14,Paramètres!$A$1:$I$89,5,0)</f>
        <v>2.4740529624978082E-13</v>
      </c>
      <c r="DQ171" s="13">
        <f t="shared" si="176"/>
        <v>3.3447853361996459E-12</v>
      </c>
      <c r="DR171" s="20">
        <f t="shared" si="177"/>
        <v>6.2563986848494188E-12</v>
      </c>
      <c r="DS171" s="59">
        <f t="shared" si="125"/>
        <v>288.48730819899077</v>
      </c>
      <c r="DT171" s="59">
        <f ca="1">AVERAGE(OFFSET($DS$3,0,0,'Données projet'!$E$14+1,1))-AVERAGE(OFFSET($H$3,0,0,'Données projet'!$E$14+1,1))</f>
        <v>493.03862850474161</v>
      </c>
      <c r="DU171" s="59">
        <f t="shared" si="152"/>
        <v>312.51819065560528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56.895931354404937</v>
      </c>
      <c r="EB171" s="21">
        <f>EXP(-LN(2)/25)*EB170+(1-EXP(-LN(2)/25))/(LN(2)/25)*Calculateur!DW171*Calculateur!DY171*VLOOKUP('Données projet'!$B$14,Paramètres!$A$1:$I$89,3,0)*0.475*44/12</f>
        <v>8.7745242030143054</v>
      </c>
      <c r="EC171" s="21">
        <f>EXP(-LN(2)/2)*EC170+(1-EXP(-LN(2)/2))/(LN(2)/2)*DW171*DZ171*VLOOKUP('Données projet'!$B$14,Paramètres!$A$1:$I$89,3,0)*0.475*44/12</f>
        <v>1.3883294476948291E-5</v>
      </c>
      <c r="ED171" s="22">
        <f t="shared" si="178"/>
        <v>65.670469440713717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2.5579538487363607E-13</v>
      </c>
      <c r="EK171" s="17">
        <f>EJ171*VLOOKUP('Données projet'!$B$15,Paramètres!$A$1:$I$89,3,0)*VLOOKUP('Données projet'!$B$15,Paramètres!$A$1:$I$89,5,0)</f>
        <v>2.7533815227798186E-13</v>
      </c>
      <c r="EL171" s="13">
        <f t="shared" si="179"/>
        <v>3.6763598146902537E-12</v>
      </c>
      <c r="EM171" s="20">
        <f t="shared" si="180"/>
        <v>6.88254062580301E-12</v>
      </c>
      <c r="EN171" s="59">
        <f t="shared" si="128"/>
        <v>288.4873081989914</v>
      </c>
      <c r="EO171" s="59">
        <f ca="1">AVERAGE(OFFSET($EN$3,0,0,'Données projet'!$E$15+1,1))-AVERAGE(OFFSET($H$3,0,0,'Données projet'!$E$15+1,1))</f>
        <v>539.72194201710272</v>
      </c>
      <c r="EP171" s="59">
        <f t="shared" si="154"/>
        <v>340.76505385159362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63.319665539579695</v>
      </c>
      <c r="EW171" s="21">
        <f>EXP(-LN(2)/25)*EW170+(1-EXP(-LN(2)/25))/(LN(2)/25)*Calculateur!ER171*Calculateur!ET171*VLOOKUP('Données projet'!$B$15,Paramètres!$A$1:$I$89,3,0)*0.475*44/12</f>
        <v>9.7651962904513976</v>
      </c>
      <c r="EX171" s="21">
        <f>EXP(-LN(2)/2)*EX170+(1-EXP(-LN(2)/2))/(LN(2)/2)*ER171*EU171*VLOOKUP('Données projet'!$B$15,Paramètres!$A$1:$I$89,3,0)*0.475*44/12</f>
        <v>1.5450763208216623E-5</v>
      </c>
      <c r="EY171" s="22">
        <f t="shared" si="181"/>
        <v>73.084877280794302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>
        <f>FE171*VLOOKUP('Données projet'!$B$16,Paramètres!$A$1:$I$89,3,0)*VLOOKUP('Données projet'!$B$16,Paramètres!$A$1:$I$89,5,0)</f>
        <v>0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383.47860767209028</v>
      </c>
      <c r="FK171" s="59">
        <f t="shared" si="156"/>
        <v>370.49129421395628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9.2770836120875497</v>
      </c>
      <c r="FR171" s="21">
        <f>EXP(-LN(2)/25)*FR170+(1-EXP(-LN(2)/25))/(LN(2)/25)*Calculateur!FM171*Calculateur!FO171*VLOOKUP('Données projet'!$B$16,Paramètres!$A$1:$I$89,3,0)*0.475*44/12</f>
        <v>4.5616917694570143</v>
      </c>
      <c r="FS171" s="21">
        <f>EXP(-LN(2)/2)*FS170+(1-EXP(-LN(2)/2))/(LN(2)/2)*FM171*FP171*VLOOKUP('Données projet'!$B$16,Paramètres!$A$1:$I$89,3,0)*0.475*44/12</f>
        <v>3.6178146660289276E-12</v>
      </c>
      <c r="FT171" s="22">
        <f t="shared" si="184"/>
        <v>13.838775381548183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>
        <f>VLOOKUP(A171,'Données projet'!$A$243:$I$263,2,0)</f>
        <v>435.65</v>
      </c>
      <c r="FX171" s="12">
        <f>VLOOKUP(A171,'Données projet'!$A$243:$I$263,9,0)</f>
        <v>7.6783333333333319</v>
      </c>
      <c r="FY171" s="12">
        <f t="array" ref="FY171">INDEX(FX:FX,MIN(IF(ISNUMBER(FX171:FX367),ROW(FX171:FX367),"")))</f>
        <v>7.6783333333333319</v>
      </c>
      <c r="FZ171" s="12">
        <f>IF('Données projet'!$A$244&gt;35,FZ170+FY171-GH170,IF(A171&lt;'Données projet'!$A$244,$FW$205^A171,IF(A171='Données projet'!$A$244,'Données projet'!$B$244,FZ170+FY171-GH170)))</f>
        <v>435.64999999999969</v>
      </c>
      <c r="GA171" s="17">
        <f>FZ171*VLOOKUP('Données projet'!$B$17,Paramètres!$A$1:$I$89,3,0)*VLOOKUP('Données projet'!$B$17,Paramètres!$A$1:$I$89,5,0)</f>
        <v>496.11821999999967</v>
      </c>
      <c r="GB171" s="13">
        <f t="shared" si="185"/>
        <v>111.01230677013324</v>
      </c>
      <c r="GC171" s="20">
        <f t="shared" si="186"/>
        <v>1057.4190007913146</v>
      </c>
      <c r="GD171" s="59">
        <f t="shared" si="134"/>
        <v>1345.9063089902991</v>
      </c>
      <c r="GE171" s="59">
        <f ca="1">AVERAGE(OFFSET($GD$3,0,0,'Données projet'!$E$17+1,1))-AVERAGE(OFFSET($H$3,0,0,'Données projet'!$E$17+1,1))</f>
        <v>640.05156427113661</v>
      </c>
      <c r="GF171" s="59">
        <f t="shared" si="158"/>
        <v>308.77220155372902</v>
      </c>
      <c r="GG171" s="15">
        <f>IF(ISNA(VLOOKUP(A171,'Données projet'!$A$243:$I$263,3,0)),0,VLOOKUP(A171,'Données projet'!$A$243:$I$263,3,0))</f>
        <v>12</v>
      </c>
      <c r="GH171" s="15">
        <f>IF(ISNA(VLOOKUP(A171,'Données projet'!$A$243:$I$263,4,0)),0,VLOOKUP(A171,'Données projet'!$A$243:$I$263,4,0))</f>
        <v>71.37</v>
      </c>
      <c r="GI171" s="16">
        <f>IF(ISNA(VLOOKUP(A171,'Données projet'!$A$243:$I$263,5,0)),0%,VLOOKUP(A171,'Données projet'!$A$243:$I$263,5,0)*VLOOKUP('Données projet'!$B$17,Paramètres!$A$1:$I$89,7,0))</f>
        <v>0.215</v>
      </c>
      <c r="GJ171" s="16">
        <f>IF(ISNA(VLOOKUP(A171,'Données projet'!$A$243:$I$263,6,0)),0%,VLOOKUP(A171,'Données projet'!$A$243:$I$263,6,0)*VLOOKUP('Données projet'!$B$17,Paramètres!$A$1:$I$89,7,0))</f>
        <v>8.6000000000000007E-2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56.572531902042613</v>
      </c>
      <c r="GM171" s="21">
        <f>EXP(-LN(2)/25)*GM170+(1-EXP(-LN(2)/25))/(LN(2)/25)*Calculateur!GH171*Calculateur!GJ171*VLOOKUP('Données projet'!$B$17,Paramètres!$A$1:$I$89,3,0)*0.475*44/12</f>
        <v>26.105145951252659</v>
      </c>
      <c r="GN171" s="21">
        <f>EXP(-LN(2)/2)*GN170+(1-EXP(-LN(2)/2))/(LN(2)/2)*GH171*GK171*VLOOKUP('Données projet'!$B$17,Paramètres!$A$1:$I$89,3,0)*0.475*44/12</f>
        <v>1.6194517159916161E-3</v>
      </c>
      <c r="GO171" s="21">
        <f t="shared" si="187"/>
        <v>82.679297305011275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4.7884896048344674E-14</v>
      </c>
      <c r="P172" s="13">
        <f t="shared" si="141"/>
        <v>7.8374629847779921E-13</v>
      </c>
      <c r="Q172" s="20">
        <f t="shared" si="162"/>
        <v>1.4484243304663672E-12</v>
      </c>
      <c r="R172" s="59">
        <f t="shared" si="109"/>
        <v>288.57137590097784</v>
      </c>
      <c r="S172" s="59">
        <f ca="1">AVERAGE(OFFSET($R$3,0,0,'Données projet'!$E$9+1,1))-AVERAGE(OFFSET($H$3,0,0,'Données projet'!$E$9+1,1))</f>
        <v>456.35333554128226</v>
      </c>
      <c r="T172" s="59">
        <f t="shared" si="142"/>
        <v>296.4517290984877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35.1333869194602</v>
      </c>
      <c r="AA172" s="21">
        <f>EXP(-LN(2)/25)*AA171+(1-EXP(-LN(2)/25))/(LN(2)/25)*Calculateur!V172*Calculateur!X172*VLOOKUP('Données projet'!$B$9,Paramètres!$A$1:$I$89,3,0)*0.475*44/12</f>
        <v>4.8780844634175988</v>
      </c>
      <c r="AB172" s="21">
        <f>EXP(-LN(2)/2)*AB171+(1-EXP(-LN(2)/2))/(LN(2)/2)*V172*Y172*VLOOKUP('Données projet'!$B$9,Paramètres!$A$1:$I$89,3,0)*0.475*44/12</f>
        <v>2.4441956874948901E-9</v>
      </c>
      <c r="AC172" s="22">
        <f t="shared" si="163"/>
        <v>40.011471385321997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408.246209980743</v>
      </c>
      <c r="AO172" s="59">
        <f t="shared" si="144"/>
        <v>394.10236303013903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9.7947937886796268</v>
      </c>
      <c r="AV172" s="21">
        <f>EXP(-LN(2)/25)*AV171+(1-EXP(-LN(2)/25))/(LN(2)/25)*Calculateur!AQ172*Calculateur!AS172*VLOOKUP('Données projet'!$B$10,Paramètres!$A$1:$I$89,3,0)*0.475*44/12</f>
        <v>4.778256073373214</v>
      </c>
      <c r="AW172" s="21">
        <f>EXP(-LN(2)/2)*AW171+(1-EXP(-LN(2)/2))/(LN(2)/2)*AQ172*AT172*VLOOKUP('Données projet'!$B$10,Paramètres!$A$1:$I$89,3,0)*0.475*44/12</f>
        <v>2.7549644590732738E-12</v>
      </c>
      <c r="AX172" s="21">
        <f t="shared" si="166"/>
        <v>14.573049862055596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7.688333333333337</v>
      </c>
      <c r="BD172" s="12">
        <f>IF('Données projet'!$A$88&gt;35,BD171+BC172-BL171,IF(A172&lt;'Données projet'!$A$88,$BA$205^A172,IF(A172='Données projet'!$A$88,'Données projet'!$B$88,BD171+BC172-BL171)))</f>
        <v>371.96833333333302</v>
      </c>
      <c r="BE172" s="13">
        <f>BD172*VLOOKUP('Données projet'!$B$11,Paramètres!$A$1:$I$89,3,0)*VLOOKUP('Données projet'!$B$11,Paramètres!$A$1:$I$89,5,0)</f>
        <v>377.1758899999997</v>
      </c>
      <c r="BF172" s="13">
        <f t="shared" si="167"/>
        <v>87.133724046486122</v>
      </c>
      <c r="BG172" s="20">
        <f t="shared" si="168"/>
        <v>808.6725777976294</v>
      </c>
      <c r="BH172" s="59">
        <f t="shared" si="116"/>
        <v>1097.2439536986058</v>
      </c>
      <c r="BI172" s="59">
        <f ca="1">AVERAGE(OFFSET($BH$3,0,0,'Données projet'!$E$11+1,1))-AVERAGE(OFFSET($H$3,0,0,'Données projet'!$E$11+1,1))</f>
        <v>580.02848304986492</v>
      </c>
      <c r="BJ172" s="59">
        <f t="shared" si="146"/>
        <v>281.68891895586728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49.385022448263783</v>
      </c>
      <c r="BQ172" s="21">
        <f>EXP(-LN(2)/25)*BQ171+(1-EXP(-LN(2)/25))/(LN(2)/25)*Calculateur!BL172*Calculateur!BN172*VLOOKUP('Données projet'!$B$11,Paramètres!$A$1:$I$89,3,0)*0.475*44/12</f>
        <v>22.608691213100958</v>
      </c>
      <c r="BR172" s="21">
        <f>EXP(-LN(2)/2)*BR171+(1-EXP(-LN(2)/2))/(LN(2)/2)*BL172*BO172*VLOOKUP('Données projet'!$B$11,Paramètres!$A$1:$I$89,3,0)*0.475*44/12</f>
        <v>1.0196321076961789E-3</v>
      </c>
      <c r="BS172" s="22">
        <f t="shared" si="169"/>
        <v>71.994733293472436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4.4337866711430253E-14</v>
      </c>
      <c r="CA172" s="13">
        <f t="shared" si="170"/>
        <v>7.3222115536967035E-13</v>
      </c>
      <c r="CB172" s="20">
        <f t="shared" si="171"/>
        <v>1.3525069634579169E-12</v>
      </c>
      <c r="CC172" s="59">
        <f t="shared" si="119"/>
        <v>288.57137590097778</v>
      </c>
      <c r="CD172" s="59">
        <f ca="1">AVERAGE(OFFSET($CC$3,0,0,'Données projet'!$E$12+1,1))-AVERAGE(OFFSET($H$3,0,0,'Données projet'!$E$12+1,1))</f>
        <v>308.85018589589453</v>
      </c>
      <c r="CE172" s="59">
        <f t="shared" si="148"/>
        <v>302.59481222418219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5.9342851751843044</v>
      </c>
      <c r="CL172" s="21">
        <f>EXP(-LN(2)/25)*CL171+(1-EXP(-LN(2)/25))/(LN(2)/25)*Calculateur!CG172*Calculateur!CI172*VLOOKUP('Données projet'!$B$12,Paramètres!$A$1:$I$89,3,0)*0.475*44/12</f>
        <v>2.6459488700037261</v>
      </c>
      <c r="CM172" s="21">
        <f>EXP(-LN(2)/2)*CM171+(1-EXP(-LN(2)/2))/(LN(2)/2)*CG172*CJ172*VLOOKUP('Données projet'!$B$12,Paramètres!$A$1:$I$89,3,0)*0.475*44/12</f>
        <v>5.3962187299279914E-14</v>
      </c>
      <c r="CN172" s="22">
        <f t="shared" si="172"/>
        <v>8.5802340451880834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2.2737367544323206E-13</v>
      </c>
      <c r="CU172" s="17">
        <f>CT172*VLOOKUP('Données projet'!$B$13,Paramètres!$A$1:$I$89,3,0)*VLOOKUP('Données projet'!$B$13,Paramètres!$A$1:$I$89,5,0)</f>
        <v>1.5252226148732008E-13</v>
      </c>
      <c r="CV172" s="13">
        <f t="shared" si="173"/>
        <v>2.1814502464536512E-12</v>
      </c>
      <c r="CW172" s="20">
        <f t="shared" si="174"/>
        <v>4.0650021179971913E-12</v>
      </c>
      <c r="CX172" s="59">
        <f t="shared" si="122"/>
        <v>288.57137590098051</v>
      </c>
      <c r="CY172" s="59">
        <f ca="1">AVERAGE(OFFSET($CX$3,0,0,'Données projet'!$E$13+1,1))-AVERAGE(OFFSET($H$3,0,0,'Données projet'!$E$13+1,1))</f>
        <v>335.73816489539837</v>
      </c>
      <c r="CZ172" s="59">
        <f t="shared" si="150"/>
        <v>254.09787950201044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11.644263599444381</v>
      </c>
      <c r="DG172" s="21">
        <f>EXP(-LN(2)/25)*DG171+(1-EXP(-LN(2)/25))/(LN(2)/25)*Calculateur!DB172*Calculateur!DD172*VLOOKUP('Données projet'!$B$13,Paramètres!$A$1:$I$89,3,0)*0.475*44/12</f>
        <v>7.3852219815468363</v>
      </c>
      <c r="DH172" s="21">
        <f>EXP(-LN(2)/2)*DH171+(1-EXP(-LN(2)/2))/(LN(2)/2)*DB172*DE172*VLOOKUP('Données projet'!$B$13,Paramètres!$A$1:$I$89,3,0)*0.475*44/12</f>
        <v>6.4478929890061968E-8</v>
      </c>
      <c r="DI172" s="22">
        <f t="shared" si="175"/>
        <v>19.029485645470146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2.5579538487363607E-13</v>
      </c>
      <c r="DP172" s="17">
        <f>DO172*VLOOKUP('Données projet'!$B$14,Paramètres!$A$1:$I$89,3,0)*VLOOKUP('Données projet'!$B$14,Paramètres!$A$1:$I$89,5,0)</f>
        <v>2.4740529624978082E-13</v>
      </c>
      <c r="DQ172" s="13">
        <f t="shared" si="176"/>
        <v>3.3447853361996459E-12</v>
      </c>
      <c r="DR172" s="20">
        <f t="shared" si="177"/>
        <v>6.2563986848494188E-12</v>
      </c>
      <c r="DS172" s="59">
        <f t="shared" si="125"/>
        <v>288.57137590098267</v>
      </c>
      <c r="DT172" s="59">
        <f ca="1">AVERAGE(OFFSET($DS$3,0,0,'Données projet'!$E$14+1,1))-AVERAGE(OFFSET($H$3,0,0,'Données projet'!$E$14+1,1))</f>
        <v>493.03862850474161</v>
      </c>
      <c r="DU172" s="59">
        <f t="shared" si="152"/>
        <v>312.51819065560528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55.780236843636537</v>
      </c>
      <c r="EB172" s="21">
        <f>EXP(-LN(2)/25)*EB171+(1-EXP(-LN(2)/25))/(LN(2)/25)*Calculateur!DW172*Calculateur!DY172*VLOOKUP('Données projet'!$B$14,Paramètres!$A$1:$I$89,3,0)*0.475*44/12</f>
        <v>8.534584377250706</v>
      </c>
      <c r="EC172" s="21">
        <f>EXP(-LN(2)/2)*EC171+(1-EXP(-LN(2)/2))/(LN(2)/2)*DW172*DZ172*VLOOKUP('Données projet'!$B$14,Paramètres!$A$1:$I$89,3,0)*0.475*44/12</f>
        <v>9.8169716698598789E-6</v>
      </c>
      <c r="ED172" s="22">
        <f t="shared" si="178"/>
        <v>64.314831037858909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2.5579538487363607E-13</v>
      </c>
      <c r="EK172" s="17">
        <f>EJ172*VLOOKUP('Données projet'!$B$15,Paramètres!$A$1:$I$89,3,0)*VLOOKUP('Données projet'!$B$15,Paramètres!$A$1:$I$89,5,0)</f>
        <v>2.7533815227798186E-13</v>
      </c>
      <c r="EL172" s="13">
        <f t="shared" si="179"/>
        <v>3.6763598146902537E-12</v>
      </c>
      <c r="EM172" s="20">
        <f t="shared" si="180"/>
        <v>6.88254062580301E-12</v>
      </c>
      <c r="EN172" s="59">
        <f t="shared" si="128"/>
        <v>288.5713759009833</v>
      </c>
      <c r="EO172" s="59">
        <f ca="1">AVERAGE(OFFSET($EN$3,0,0,'Données projet'!$E$15+1,1))-AVERAGE(OFFSET($H$3,0,0,'Données projet'!$E$15+1,1))</f>
        <v>539.72194201710272</v>
      </c>
      <c r="EP172" s="59">
        <f t="shared" si="154"/>
        <v>340.76505385159362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62.07800551953099</v>
      </c>
      <c r="EW172" s="21">
        <f>EXP(-LN(2)/25)*EW171+(1-EXP(-LN(2)/25))/(LN(2)/25)*Calculateur!ER172*Calculateur!ET172*VLOOKUP('Données projet'!$B$15,Paramètres!$A$1:$I$89,3,0)*0.475*44/12</f>
        <v>9.4981664843596505</v>
      </c>
      <c r="EX172" s="21">
        <f>EXP(-LN(2)/2)*EX171+(1-EXP(-LN(2)/2))/(LN(2)/2)*ER172*EU172*VLOOKUP('Données projet'!$B$15,Paramètres!$A$1:$I$89,3,0)*0.475*44/12</f>
        <v>1.092533943903759E-5</v>
      </c>
      <c r="EY172" s="22">
        <f t="shared" si="181"/>
        <v>71.576182929230072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>
        <f>FE172*VLOOKUP('Données projet'!$B$16,Paramètres!$A$1:$I$89,3,0)*VLOOKUP('Données projet'!$B$16,Paramètres!$A$1:$I$89,5,0)</f>
        <v>0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383.47860767209028</v>
      </c>
      <c r="FK172" s="59">
        <f t="shared" si="156"/>
        <v>370.49129421395628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9.0951656609167895</v>
      </c>
      <c r="FR172" s="21">
        <f>EXP(-LN(2)/25)*FR171+(1-EXP(-LN(2)/25))/(LN(2)/25)*Calculateur!FM172*Calculateur!FO172*VLOOKUP('Données projet'!$B$16,Paramètres!$A$1:$I$89,3,0)*0.475*44/12</f>
        <v>4.4369520681322676</v>
      </c>
      <c r="FS172" s="21">
        <f>EXP(-LN(2)/2)*FS171+(1-EXP(-LN(2)/2))/(LN(2)/2)*FM172*FP172*VLOOKUP('Données projet'!$B$16,Paramètres!$A$1:$I$89,3,0)*0.475*44/12</f>
        <v>2.5581812834251995E-12</v>
      </c>
      <c r="FT172" s="22">
        <f t="shared" si="184"/>
        <v>13.532117729051615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7.688333333333337</v>
      </c>
      <c r="FZ172" s="12">
        <f>IF('Données projet'!$A$244&gt;35,FZ171+FY172-GH171,IF(A172&lt;'Données projet'!$A$244,$FW$205^A172,IF(A172='Données projet'!$A$244,'Données projet'!$B$244,FZ171+FY172-GH171)))</f>
        <v>371.96833333333302</v>
      </c>
      <c r="GA172" s="17">
        <f>FZ172*VLOOKUP('Données projet'!$B$17,Paramètres!$A$1:$I$89,3,0)*VLOOKUP('Données projet'!$B$17,Paramètres!$A$1:$I$89,5,0)</f>
        <v>423.59753799999964</v>
      </c>
      <c r="GB172" s="13">
        <f t="shared" si="185"/>
        <v>96.544627937527807</v>
      </c>
      <c r="GC172" s="20">
        <f t="shared" si="186"/>
        <v>905.91427234119362</v>
      </c>
      <c r="GD172" s="59">
        <f t="shared" si="134"/>
        <v>1194.4856482421701</v>
      </c>
      <c r="GE172" s="59">
        <f ca="1">AVERAGE(OFFSET($GD$3,0,0,'Données projet'!$E$17+1,1))-AVERAGE(OFFSET($H$3,0,0,'Données projet'!$E$17+1,1))</f>
        <v>640.05156427113661</v>
      </c>
      <c r="GF172" s="59">
        <f t="shared" si="158"/>
        <v>308.77220155372902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55.463179057280847</v>
      </c>
      <c r="GM172" s="21">
        <f>EXP(-LN(2)/25)*GM171+(1-EXP(-LN(2)/25))/(LN(2)/25)*Calculateur!GH172*Calculateur!GJ172*VLOOKUP('Données projet'!$B$17,Paramètres!$A$1:$I$89,3,0)*0.475*44/12</f>
        <v>25.391299362405693</v>
      </c>
      <c r="GN172" s="21">
        <f>EXP(-LN(2)/2)*GN171+(1-EXP(-LN(2)/2))/(LN(2)/2)*GH172*GK172*VLOOKUP('Données projet'!$B$17,Paramètres!$A$1:$I$89,3,0)*0.475*44/12</f>
        <v>1.1451252901818626E-3</v>
      </c>
      <c r="GO172" s="21">
        <f t="shared" si="187"/>
        <v>80.855623544976723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4.7884896048344674E-14</v>
      </c>
      <c r="P173" s="13">
        <f t="shared" si="141"/>
        <v>7.8374629847779921E-13</v>
      </c>
      <c r="Q173" s="20">
        <f t="shared" si="162"/>
        <v>1.4484243304663672E-12</v>
      </c>
      <c r="R173" s="59">
        <f t="shared" si="109"/>
        <v>288.65398521628731</v>
      </c>
      <c r="S173" s="59">
        <f ca="1">AVERAGE(OFFSET($R$3,0,0,'Données projet'!$E$9+1,1))-AVERAGE(OFFSET($H$3,0,0,'Données projet'!$E$9+1,1))</f>
        <v>456.35333554128226</v>
      </c>
      <c r="T173" s="59">
        <f t="shared" si="142"/>
        <v>296.4517290984877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34.444442631219644</v>
      </c>
      <c r="AA173" s="21">
        <f>EXP(-LN(2)/25)*AA172+(1-EXP(-LN(2)/25))/(LN(2)/25)*Calculateur!V173*Calculateur!X173*VLOOKUP('Données projet'!$B$9,Paramètres!$A$1:$I$89,3,0)*0.475*44/12</f>
        <v>4.7446929872381318</v>
      </c>
      <c r="AB173" s="21">
        <f>EXP(-LN(2)/2)*AB172+(1-EXP(-LN(2)/2))/(LN(2)/2)*V173*Y173*VLOOKUP('Données projet'!$B$9,Paramètres!$A$1:$I$89,3,0)*0.475*44/12</f>
        <v>1.7283073451745523E-9</v>
      </c>
      <c r="AC173" s="22">
        <f t="shared" si="163"/>
        <v>39.189135620186086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408.246209980743</v>
      </c>
      <c r="AO173" s="59">
        <f t="shared" si="144"/>
        <v>394.10236303013903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9.6027238567179243</v>
      </c>
      <c r="AV173" s="21">
        <f>EXP(-LN(2)/25)*AV172+(1-EXP(-LN(2)/25))/(LN(2)/25)*Calculateur!AQ173*Calculateur!AS173*VLOOKUP('Données projet'!$B$10,Paramètres!$A$1:$I$89,3,0)*0.475*44/12</f>
        <v>4.6475944097692574</v>
      </c>
      <c r="AW173" s="21">
        <f>EXP(-LN(2)/2)*AW172+(1-EXP(-LN(2)/2))/(LN(2)/2)*AQ173*AT173*VLOOKUP('Données projet'!$B$10,Paramètres!$A$1:$I$89,3,0)*0.475*44/12</f>
        <v>1.9480540509386407E-12</v>
      </c>
      <c r="AX173" s="21">
        <f t="shared" si="166"/>
        <v>14.250318266489129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7.688333333333337</v>
      </c>
      <c r="BD173" s="12">
        <f>IF('Données projet'!$A$88&gt;35,BD172+BC173-BL172,IF(A173&lt;'Données projet'!$A$88,$BA$205^A173,IF(A173='Données projet'!$A$88,'Données projet'!$B$88,BD172+BC173-BL172)))</f>
        <v>379.65666666666635</v>
      </c>
      <c r="BE173" s="13">
        <f>BD173*VLOOKUP('Données projet'!$B$11,Paramètres!$A$1:$I$89,3,0)*VLOOKUP('Données projet'!$B$11,Paramètres!$A$1:$I$89,5,0)</f>
        <v>384.97185999999971</v>
      </c>
      <c r="BF173" s="13">
        <f t="shared" si="167"/>
        <v>88.723183476832745</v>
      </c>
      <c r="BG173" s="20">
        <f t="shared" si="168"/>
        <v>825.01886738881649</v>
      </c>
      <c r="BH173" s="59">
        <f t="shared" si="116"/>
        <v>1113.6728526051024</v>
      </c>
      <c r="BI173" s="59">
        <f ca="1">AVERAGE(OFFSET($BH$3,0,0,'Données projet'!$E$11+1,1))-AVERAGE(OFFSET($H$3,0,0,'Données projet'!$E$11+1,1))</f>
        <v>580.02848304986492</v>
      </c>
      <c r="BJ173" s="59">
        <f t="shared" si="146"/>
        <v>281.68891895586728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48.416612279942733</v>
      </c>
      <c r="BQ173" s="21">
        <f>EXP(-LN(2)/25)*BQ172+(1-EXP(-LN(2)/25))/(LN(2)/25)*Calculateur!BL173*Calculateur!BN173*VLOOKUP('Données projet'!$B$11,Paramètres!$A$1:$I$89,3,0)*0.475*44/12</f>
        <v>21.990455362939315</v>
      </c>
      <c r="BR173" s="21">
        <f>EXP(-LN(2)/2)*BR172+(1-EXP(-LN(2)/2))/(LN(2)/2)*BL173*BO173*VLOOKUP('Données projet'!$B$11,Paramètres!$A$1:$I$89,3,0)*0.475*44/12</f>
        <v>7.2098877766750026E-4</v>
      </c>
      <c r="BS173" s="22">
        <f t="shared" si="169"/>
        <v>70.407788631659727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4.4337866711430253E-14</v>
      </c>
      <c r="CA173" s="13">
        <f t="shared" si="170"/>
        <v>7.3222115536967035E-13</v>
      </c>
      <c r="CB173" s="20">
        <f t="shared" si="171"/>
        <v>1.3525069634579169E-12</v>
      </c>
      <c r="CC173" s="59">
        <f t="shared" si="119"/>
        <v>288.65398521628725</v>
      </c>
      <c r="CD173" s="59">
        <f ca="1">AVERAGE(OFFSET($CC$3,0,0,'Données projet'!$E$12+1,1))-AVERAGE(OFFSET($H$3,0,0,'Données projet'!$E$12+1,1))</f>
        <v>308.85018589589453</v>
      </c>
      <c r="CE173" s="59">
        <f t="shared" si="148"/>
        <v>302.59481222418219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5.8179174624554957</v>
      </c>
      <c r="CL173" s="21">
        <f>EXP(-LN(2)/25)*CL172+(1-EXP(-LN(2)/25))/(LN(2)/25)*Calculateur!CG173*Calculateur!CI173*VLOOKUP('Données projet'!$B$12,Paramètres!$A$1:$I$89,3,0)*0.475*44/12</f>
        <v>2.5735952590090707</v>
      </c>
      <c r="CM173" s="21">
        <f>EXP(-LN(2)/2)*CM172+(1-EXP(-LN(2)/2))/(LN(2)/2)*CG173*CJ173*VLOOKUP('Données projet'!$B$12,Paramètres!$A$1:$I$89,3,0)*0.475*44/12</f>
        <v>3.8157028566979415E-14</v>
      </c>
      <c r="CN173" s="22">
        <f t="shared" si="172"/>
        <v>8.3915127214646041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2.2737367544323206E-13</v>
      </c>
      <c r="CU173" s="17">
        <f>CT173*VLOOKUP('Données projet'!$B$13,Paramètres!$A$1:$I$89,3,0)*VLOOKUP('Données projet'!$B$13,Paramètres!$A$1:$I$89,5,0)</f>
        <v>1.5252226148732008E-13</v>
      </c>
      <c r="CV173" s="13">
        <f t="shared" si="173"/>
        <v>2.1814502464536512E-12</v>
      </c>
      <c r="CW173" s="20">
        <f t="shared" si="174"/>
        <v>4.0650021179971913E-12</v>
      </c>
      <c r="CX173" s="59">
        <f t="shared" si="122"/>
        <v>288.65398521628998</v>
      </c>
      <c r="CY173" s="59">
        <f ca="1">AVERAGE(OFFSET($CX$3,0,0,'Données projet'!$E$13+1,1))-AVERAGE(OFFSET($H$3,0,0,'Données projet'!$E$13+1,1))</f>
        <v>335.73816489539837</v>
      </c>
      <c r="CZ173" s="59">
        <f t="shared" si="150"/>
        <v>254.09787950201044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11.415926692558779</v>
      </c>
      <c r="DG173" s="21">
        <f>EXP(-LN(2)/25)*DG172+(1-EXP(-LN(2)/25))/(LN(2)/25)*Calculateur!DB173*Calculateur!DD173*VLOOKUP('Données projet'!$B$13,Paramètres!$A$1:$I$89,3,0)*0.475*44/12</f>
        <v>7.1832726980894934</v>
      </c>
      <c r="DH173" s="21">
        <f>EXP(-LN(2)/2)*DH172+(1-EXP(-LN(2)/2))/(LN(2)/2)*DB173*DE173*VLOOKUP('Données projet'!$B$13,Paramètres!$A$1:$I$89,3,0)*0.475*44/12</f>
        <v>4.5593488568914788E-8</v>
      </c>
      <c r="DI173" s="22">
        <f t="shared" si="175"/>
        <v>18.599199436241761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2.5579538487363607E-13</v>
      </c>
      <c r="DP173" s="17">
        <f>DO173*VLOOKUP('Données projet'!$B$14,Paramètres!$A$1:$I$89,3,0)*VLOOKUP('Données projet'!$B$14,Paramètres!$A$1:$I$89,5,0)</f>
        <v>2.4740529624978082E-13</v>
      </c>
      <c r="DQ173" s="13">
        <f t="shared" si="176"/>
        <v>3.3447853361996459E-12</v>
      </c>
      <c r="DR173" s="20">
        <f t="shared" si="177"/>
        <v>6.2563986848494188E-12</v>
      </c>
      <c r="DS173" s="59">
        <f t="shared" si="125"/>
        <v>288.65398521629214</v>
      </c>
      <c r="DT173" s="59">
        <f ca="1">AVERAGE(OFFSET($DS$3,0,0,'Données projet'!$E$14+1,1))-AVERAGE(OFFSET($H$3,0,0,'Données projet'!$E$14+1,1))</f>
        <v>493.03862850474161</v>
      </c>
      <c r="DU173" s="59">
        <f t="shared" si="152"/>
        <v>312.51819065560528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54.686420421717848</v>
      </c>
      <c r="EB173" s="21">
        <f>EXP(-LN(2)/25)*EB172+(1-EXP(-LN(2)/25))/(LN(2)/25)*Calculateur!DW173*Calculateur!DY173*VLOOKUP('Données projet'!$B$14,Paramètres!$A$1:$I$89,3,0)*0.475*44/12</f>
        <v>8.3012057186404995</v>
      </c>
      <c r="EC173" s="21">
        <f>EXP(-LN(2)/2)*EC172+(1-EXP(-LN(2)/2))/(LN(2)/2)*DW173*DZ173*VLOOKUP('Données projet'!$B$14,Paramètres!$A$1:$I$89,3,0)*0.475*44/12</f>
        <v>6.9416472384741455E-6</v>
      </c>
      <c r="ED173" s="22">
        <f t="shared" si="178"/>
        <v>62.98763308200558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2.5579538487363607E-13</v>
      </c>
      <c r="EK173" s="17">
        <f>EJ173*VLOOKUP('Données projet'!$B$15,Paramètres!$A$1:$I$89,3,0)*VLOOKUP('Données projet'!$B$15,Paramètres!$A$1:$I$89,5,0)</f>
        <v>2.7533815227798186E-13</v>
      </c>
      <c r="EL173" s="13">
        <f t="shared" si="179"/>
        <v>3.6763598146902537E-12</v>
      </c>
      <c r="EM173" s="20">
        <f t="shared" si="180"/>
        <v>6.88254062580301E-12</v>
      </c>
      <c r="EN173" s="59">
        <f t="shared" si="128"/>
        <v>288.65398521629277</v>
      </c>
      <c r="EO173" s="59">
        <f ca="1">AVERAGE(OFFSET($EN$3,0,0,'Données projet'!$E$15+1,1))-AVERAGE(OFFSET($H$3,0,0,'Données projet'!$E$15+1,1))</f>
        <v>539.72194201710272</v>
      </c>
      <c r="EP173" s="59">
        <f t="shared" si="154"/>
        <v>340.76505385159362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60.860693695137613</v>
      </c>
      <c r="EW173" s="21">
        <f>EXP(-LN(2)/25)*EW172+(1-EXP(-LN(2)/25))/(LN(2)/25)*Calculateur!ER173*Calculateur!ET173*VLOOKUP('Données projet'!$B$15,Paramètres!$A$1:$I$89,3,0)*0.475*44/12</f>
        <v>9.2384386223579682</v>
      </c>
      <c r="EX173" s="21">
        <f>EXP(-LN(2)/2)*EX172+(1-EXP(-LN(2)/2))/(LN(2)/2)*ER173*EU173*VLOOKUP('Données projet'!$B$15,Paramètres!$A$1:$I$89,3,0)*0.475*44/12</f>
        <v>7.7253816041083113E-6</v>
      </c>
      <c r="EY173" s="22">
        <f t="shared" si="181"/>
        <v>70.099140042877195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>
        <f>FE173*VLOOKUP('Données projet'!$B$16,Paramètres!$A$1:$I$89,3,0)*VLOOKUP('Données projet'!$B$16,Paramètres!$A$1:$I$89,5,0)</f>
        <v>0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383.47860767209028</v>
      </c>
      <c r="FK173" s="59">
        <f t="shared" si="156"/>
        <v>370.49129421395628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8.9168150098094934</v>
      </c>
      <c r="FR173" s="21">
        <f>EXP(-LN(2)/25)*FR172+(1-EXP(-LN(2)/25))/(LN(2)/25)*Calculateur!FM173*Calculateur!FO173*VLOOKUP('Données projet'!$B$16,Paramètres!$A$1:$I$89,3,0)*0.475*44/12</f>
        <v>4.3156233805000221</v>
      </c>
      <c r="FS173" s="21">
        <f>EXP(-LN(2)/2)*FS172+(1-EXP(-LN(2)/2))/(LN(2)/2)*FM173*FP173*VLOOKUP('Données projet'!$B$16,Paramètres!$A$1:$I$89,3,0)*0.475*44/12</f>
        <v>1.808907333014464E-12</v>
      </c>
      <c r="FT173" s="22">
        <f t="shared" si="184"/>
        <v>13.232438390311323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7.688333333333337</v>
      </c>
      <c r="FZ173" s="12">
        <f>IF('Données projet'!$A$244&gt;35,FZ172+FY173-GH172,IF(A173&lt;'Données projet'!$A$244,$FW$205^A173,IF(A173='Données projet'!$A$244,'Données projet'!$B$244,FZ172+FY173-GH172)))</f>
        <v>379.65666666666635</v>
      </c>
      <c r="GA173" s="17">
        <f>FZ173*VLOOKUP('Données projet'!$B$17,Paramètres!$A$1:$I$89,3,0)*VLOOKUP('Données projet'!$B$17,Paramètres!$A$1:$I$89,5,0)</f>
        <v>432.35301199999964</v>
      </c>
      <c r="GB173" s="13">
        <f t="shared" si="185"/>
        <v>98.305757408394228</v>
      </c>
      <c r="GC173" s="20">
        <f t="shared" si="186"/>
        <v>924.23069005295258</v>
      </c>
      <c r="GD173" s="59">
        <f t="shared" si="134"/>
        <v>1212.8846752692384</v>
      </c>
      <c r="GE173" s="59">
        <f ca="1">AVERAGE(OFFSET($GD$3,0,0,'Données projet'!$E$17+1,1))-AVERAGE(OFFSET($H$3,0,0,'Données projet'!$E$17+1,1))</f>
        <v>640.05156427113661</v>
      </c>
      <c r="GF173" s="59">
        <f t="shared" si="158"/>
        <v>308.77220155372902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54.375579945166436</v>
      </c>
      <c r="GM173" s="21">
        <f>EXP(-LN(2)/25)*GM172+(1-EXP(-LN(2)/25))/(LN(2)/25)*Calculateur!GH173*Calculateur!GJ173*VLOOKUP('Données projet'!$B$17,Paramètres!$A$1:$I$89,3,0)*0.475*44/12</f>
        <v>24.696972946070307</v>
      </c>
      <c r="GN173" s="21">
        <f>EXP(-LN(2)/2)*GN172+(1-EXP(-LN(2)/2))/(LN(2)/2)*GH173*GK173*VLOOKUP('Données projet'!$B$17,Paramètres!$A$1:$I$89,3,0)*0.475*44/12</f>
        <v>8.0972585799580804E-4</v>
      </c>
      <c r="GO173" s="21">
        <f t="shared" si="187"/>
        <v>79.07336261709473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4.7884896048344674E-14</v>
      </c>
      <c r="P174" s="13">
        <f t="shared" si="141"/>
        <v>7.8374629847779921E-13</v>
      </c>
      <c r="Q174" s="20">
        <f t="shared" si="162"/>
        <v>1.4484243304663672E-12</v>
      </c>
      <c r="R174" s="59">
        <f t="shared" si="109"/>
        <v>288.73516144466294</v>
      </c>
      <c r="S174" s="59">
        <f ca="1">AVERAGE(OFFSET($R$3,0,0,'Données projet'!$E$9+1,1))-AVERAGE(OFFSET($H$3,0,0,'Données projet'!$E$9+1,1))</f>
        <v>456.35333554128226</v>
      </c>
      <c r="T174" s="59">
        <f t="shared" si="142"/>
        <v>296.4517290984877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33.769008120256963</v>
      </c>
      <c r="AA174" s="21">
        <f>EXP(-LN(2)/25)*AA173+(1-EXP(-LN(2)/25))/(LN(2)/25)*Calculateur!V174*Calculateur!X174*VLOOKUP('Données projet'!$B$9,Paramètres!$A$1:$I$89,3,0)*0.475*44/12</f>
        <v>4.6149491079895446</v>
      </c>
      <c r="AB174" s="21">
        <f>EXP(-LN(2)/2)*AB173+(1-EXP(-LN(2)/2))/(LN(2)/2)*V174*Y174*VLOOKUP('Données projet'!$B$9,Paramètres!$A$1:$I$89,3,0)*0.475*44/12</f>
        <v>1.222097843747445E-9</v>
      </c>
      <c r="AC174" s="22">
        <f t="shared" si="163"/>
        <v>38.383957229468606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408.246209980743</v>
      </c>
      <c r="AO174" s="59">
        <f t="shared" si="144"/>
        <v>394.10236303013903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9.4144202989708994</v>
      </c>
      <c r="AV174" s="21">
        <f>EXP(-LN(2)/25)*AV173+(1-EXP(-LN(2)/25))/(LN(2)/25)*Calculateur!AQ174*Calculateur!AS174*VLOOKUP('Données projet'!$B$10,Paramètres!$A$1:$I$89,3,0)*0.475*44/12</f>
        <v>4.5205056962277492</v>
      </c>
      <c r="AW174" s="21">
        <f>EXP(-LN(2)/2)*AW173+(1-EXP(-LN(2)/2))/(LN(2)/2)*AQ174*AT174*VLOOKUP('Données projet'!$B$10,Paramètres!$A$1:$I$89,3,0)*0.475*44/12</f>
        <v>1.3774822295366369E-12</v>
      </c>
      <c r="AX174" s="21">
        <f t="shared" si="166"/>
        <v>13.934925995200025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7.688333333333337</v>
      </c>
      <c r="BD174" s="12">
        <f>IF('Données projet'!$A$88&gt;35,BD173+BC174-BL173,IF(A174&lt;'Données projet'!$A$88,$BA$205^A174,IF(A174='Données projet'!$A$88,'Données projet'!$B$88,BD173+BC174-BL173)))</f>
        <v>387.34499999999969</v>
      </c>
      <c r="BE174" s="13">
        <f>BD174*VLOOKUP('Données projet'!$B$11,Paramètres!$A$1:$I$89,3,0)*VLOOKUP('Données projet'!$B$11,Paramètres!$A$1:$I$89,5,0)</f>
        <v>392.76782999999972</v>
      </c>
      <c r="BF174" s="13">
        <f t="shared" si="167"/>
        <v>90.308900394988783</v>
      </c>
      <c r="BG174" s="20">
        <f t="shared" si="168"/>
        <v>841.35863877127156</v>
      </c>
      <c r="BH174" s="59">
        <f t="shared" si="116"/>
        <v>1130.093800215933</v>
      </c>
      <c r="BI174" s="59">
        <f ca="1">AVERAGE(OFFSET($BH$3,0,0,'Données projet'!$E$11+1,1))-AVERAGE(OFFSET($H$3,0,0,'Données projet'!$E$11+1,1))</f>
        <v>580.02848304986492</v>
      </c>
      <c r="BJ174" s="59">
        <f t="shared" si="146"/>
        <v>281.68891895586728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47.467192044350583</v>
      </c>
      <c r="BQ174" s="21">
        <f>EXP(-LN(2)/25)*BQ173+(1-EXP(-LN(2)/25))/(LN(2)/25)*Calculateur!BL174*Calculateur!BN174*VLOOKUP('Données projet'!$B$11,Paramètres!$A$1:$I$89,3,0)*0.475*44/12</f>
        <v>21.38912520461195</v>
      </c>
      <c r="BR174" s="21">
        <f>EXP(-LN(2)/2)*BR173+(1-EXP(-LN(2)/2))/(LN(2)/2)*BL174*BO174*VLOOKUP('Données projet'!$B$11,Paramètres!$A$1:$I$89,3,0)*0.475*44/12</f>
        <v>5.0981605384808947E-4</v>
      </c>
      <c r="BS174" s="22">
        <f t="shared" si="169"/>
        <v>68.85682706501639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4.4337866711430253E-14</v>
      </c>
      <c r="CA174" s="13">
        <f t="shared" si="170"/>
        <v>7.3222115536967035E-13</v>
      </c>
      <c r="CB174" s="20">
        <f t="shared" si="171"/>
        <v>1.3525069634579169E-12</v>
      </c>
      <c r="CC174" s="59">
        <f t="shared" si="119"/>
        <v>288.73516144466288</v>
      </c>
      <c r="CD174" s="59">
        <f ca="1">AVERAGE(OFFSET($CC$3,0,0,'Données projet'!$E$12+1,1))-AVERAGE(OFFSET($H$3,0,0,'Données projet'!$E$12+1,1))</f>
        <v>308.85018589589453</v>
      </c>
      <c r="CE174" s="59">
        <f t="shared" si="148"/>
        <v>302.59481222418219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5.703831649596002</v>
      </c>
      <c r="CL174" s="21">
        <f>EXP(-LN(2)/25)*CL173+(1-EXP(-LN(2)/25))/(LN(2)/25)*Calculateur!CG174*Calculateur!CI174*VLOOKUP('Données projet'!$B$12,Paramètres!$A$1:$I$89,3,0)*0.475*44/12</f>
        <v>2.5032201613119751</v>
      </c>
      <c r="CM174" s="21">
        <f>EXP(-LN(2)/2)*CM173+(1-EXP(-LN(2)/2))/(LN(2)/2)*CG174*CJ174*VLOOKUP('Données projet'!$B$12,Paramètres!$A$1:$I$89,3,0)*0.475*44/12</f>
        <v>2.6981093649639957E-14</v>
      </c>
      <c r="CN174" s="22">
        <f t="shared" si="172"/>
        <v>8.2070518109080037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2.2737367544323206E-13</v>
      </c>
      <c r="CU174" s="17">
        <f>CT174*VLOOKUP('Données projet'!$B$13,Paramètres!$A$1:$I$89,3,0)*VLOOKUP('Données projet'!$B$13,Paramètres!$A$1:$I$89,5,0)</f>
        <v>1.5252226148732008E-13</v>
      </c>
      <c r="CV174" s="13">
        <f t="shared" si="173"/>
        <v>2.1814502464536512E-12</v>
      </c>
      <c r="CW174" s="20">
        <f t="shared" si="174"/>
        <v>4.0650021179971913E-12</v>
      </c>
      <c r="CX174" s="59">
        <f t="shared" si="122"/>
        <v>288.73516144466561</v>
      </c>
      <c r="CY174" s="59">
        <f ca="1">AVERAGE(OFFSET($CX$3,0,0,'Données projet'!$E$13+1,1))-AVERAGE(OFFSET($H$3,0,0,'Données projet'!$E$13+1,1))</f>
        <v>335.73816489539837</v>
      </c>
      <c r="CZ174" s="59">
        <f t="shared" si="150"/>
        <v>254.09787950201044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11.192067333145442</v>
      </c>
      <c r="DG174" s="21">
        <f>EXP(-LN(2)/25)*DG173+(1-EXP(-LN(2)/25))/(LN(2)/25)*Calculateur!DB174*Calculateur!DD174*VLOOKUP('Données projet'!$B$13,Paramètres!$A$1:$I$89,3,0)*0.475*44/12</f>
        <v>6.9868457284083423</v>
      </c>
      <c r="DH174" s="21">
        <f>EXP(-LN(2)/2)*DH173+(1-EXP(-LN(2)/2))/(LN(2)/2)*DB174*DE174*VLOOKUP('Données projet'!$B$13,Paramètres!$A$1:$I$89,3,0)*0.475*44/12</f>
        <v>3.2239464945030984E-8</v>
      </c>
      <c r="DI174" s="22">
        <f t="shared" si="175"/>
        <v>18.178913093793252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2.5579538487363607E-13</v>
      </c>
      <c r="DP174" s="17">
        <f>DO174*VLOOKUP('Données projet'!$B$14,Paramètres!$A$1:$I$89,3,0)*VLOOKUP('Données projet'!$B$14,Paramètres!$A$1:$I$89,5,0)</f>
        <v>2.4740529624978082E-13</v>
      </c>
      <c r="DQ174" s="13">
        <f t="shared" si="176"/>
        <v>3.3447853361996459E-12</v>
      </c>
      <c r="DR174" s="20">
        <f t="shared" si="177"/>
        <v>6.2563986848494188E-12</v>
      </c>
      <c r="DS174" s="59">
        <f t="shared" si="125"/>
        <v>288.73516144466777</v>
      </c>
      <c r="DT174" s="59">
        <f ca="1">AVERAGE(OFFSET($DS$3,0,0,'Données projet'!$E$14+1,1))-AVERAGE(OFFSET($H$3,0,0,'Données projet'!$E$14+1,1))</f>
        <v>493.03862850474161</v>
      </c>
      <c r="DU174" s="59">
        <f t="shared" si="152"/>
        <v>312.51819065560528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53.614053072670842</v>
      </c>
      <c r="EB174" s="21">
        <f>EXP(-LN(2)/25)*EB173+(1-EXP(-LN(2)/25))/(LN(2)/25)*Calculateur!DW174*Calculateur!DY174*VLOOKUP('Données projet'!$B$14,Paramètres!$A$1:$I$89,3,0)*0.475*44/12</f>
        <v>8.0742088117228388</v>
      </c>
      <c r="EC174" s="21">
        <f>EXP(-LN(2)/2)*EC173+(1-EXP(-LN(2)/2))/(LN(2)/2)*DW174*DZ174*VLOOKUP('Données projet'!$B$14,Paramètres!$A$1:$I$89,3,0)*0.475*44/12</f>
        <v>4.9084858349299394E-6</v>
      </c>
      <c r="ED174" s="22">
        <f t="shared" si="178"/>
        <v>61.688266792879517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2.5579538487363607E-13</v>
      </c>
      <c r="EK174" s="17">
        <f>EJ174*VLOOKUP('Données projet'!$B$15,Paramètres!$A$1:$I$89,3,0)*VLOOKUP('Données projet'!$B$15,Paramètres!$A$1:$I$89,5,0)</f>
        <v>2.7533815227798186E-13</v>
      </c>
      <c r="EL174" s="13">
        <f t="shared" si="179"/>
        <v>3.6763598146902537E-12</v>
      </c>
      <c r="EM174" s="20">
        <f t="shared" si="180"/>
        <v>6.88254062580301E-12</v>
      </c>
      <c r="EN174" s="59">
        <f t="shared" si="128"/>
        <v>288.73516144466839</v>
      </c>
      <c r="EO174" s="59">
        <f ca="1">AVERAGE(OFFSET($EN$3,0,0,'Données projet'!$E$15+1,1))-AVERAGE(OFFSET($H$3,0,0,'Données projet'!$E$15+1,1))</f>
        <v>539.72194201710272</v>
      </c>
      <c r="EP174" s="59">
        <f t="shared" si="154"/>
        <v>340.76505385159362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59.667252613133691</v>
      </c>
      <c r="EW174" s="21">
        <f>EXP(-LN(2)/25)*EW173+(1-EXP(-LN(2)/25))/(LN(2)/25)*Calculateur!ER174*Calculateur!ET174*VLOOKUP('Données projet'!$B$15,Paramètres!$A$1:$I$89,3,0)*0.475*44/12</f>
        <v>8.985813032401218</v>
      </c>
      <c r="EX174" s="21">
        <f>EXP(-LN(2)/2)*EX173+(1-EXP(-LN(2)/2))/(LN(2)/2)*ER174*EU174*VLOOKUP('Données projet'!$B$15,Paramètres!$A$1:$I$89,3,0)*0.475*44/12</f>
        <v>5.4626697195187952E-6</v>
      </c>
      <c r="EY174" s="22">
        <f t="shared" si="181"/>
        <v>68.653071108204628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>
        <f>FE174*VLOOKUP('Données projet'!$B$16,Paramètres!$A$1:$I$89,3,0)*VLOOKUP('Données projet'!$B$16,Paramètres!$A$1:$I$89,5,0)</f>
        <v>0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383.47860767209028</v>
      </c>
      <c r="FK174" s="59">
        <f t="shared" si="156"/>
        <v>370.49129421395628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8.7419617061872561</v>
      </c>
      <c r="FR174" s="21">
        <f>EXP(-LN(2)/25)*FR173+(1-EXP(-LN(2)/25))/(LN(2)/25)*Calculateur!FM174*Calculateur!FO174*VLOOKUP('Données projet'!$B$16,Paramètres!$A$1:$I$89,3,0)*0.475*44/12</f>
        <v>4.1976124322114785</v>
      </c>
      <c r="FS174" s="21">
        <f>EXP(-LN(2)/2)*FS173+(1-EXP(-LN(2)/2))/(LN(2)/2)*FM174*FP174*VLOOKUP('Données projet'!$B$16,Paramètres!$A$1:$I$89,3,0)*0.475*44/12</f>
        <v>1.2790906417126E-12</v>
      </c>
      <c r="FT174" s="22">
        <f t="shared" si="184"/>
        <v>12.939574138400014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7.688333333333337</v>
      </c>
      <c r="FZ174" s="12">
        <f>IF('Données projet'!$A$244&gt;35,FZ173+FY174-GH173,IF(A174&lt;'Données projet'!$A$244,$FW$205^A174,IF(A174='Données projet'!$A$244,'Données projet'!$B$244,FZ173+FY174-GH173)))</f>
        <v>387.34499999999969</v>
      </c>
      <c r="GA174" s="17">
        <f>FZ174*VLOOKUP('Données projet'!$B$17,Paramètres!$A$1:$I$89,3,0)*VLOOKUP('Données projet'!$B$17,Paramètres!$A$1:$I$89,5,0)</f>
        <v>441.10848599999963</v>
      </c>
      <c r="GB174" s="13">
        <f t="shared" si="185"/>
        <v>100.06274015592311</v>
      </c>
      <c r="GC174" s="20">
        <f t="shared" si="186"/>
        <v>942.53988555489889</v>
      </c>
      <c r="GD174" s="59">
        <f t="shared" si="134"/>
        <v>1231.2750469995603</v>
      </c>
      <c r="GE174" s="59">
        <f ca="1">AVERAGE(OFFSET($GD$3,0,0,'Données projet'!$E$17+1,1))-AVERAGE(OFFSET($H$3,0,0,'Données projet'!$E$17+1,1))</f>
        <v>640.05156427113661</v>
      </c>
      <c r="GF174" s="59">
        <f t="shared" si="158"/>
        <v>308.77220155372902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53.309307988270632</v>
      </c>
      <c r="GM174" s="21">
        <f>EXP(-LN(2)/25)*GM173+(1-EXP(-LN(2)/25))/(LN(2)/25)*Calculateur!GH174*Calculateur!GJ174*VLOOKUP('Données projet'!$B$17,Paramètres!$A$1:$I$89,3,0)*0.475*44/12</f>
        <v>24.021632922102654</v>
      </c>
      <c r="GN174" s="21">
        <f>EXP(-LN(2)/2)*GN173+(1-EXP(-LN(2)/2))/(LN(2)/2)*GH174*GK174*VLOOKUP('Données projet'!$B$17,Paramètres!$A$1:$I$89,3,0)*0.475*44/12</f>
        <v>5.7256264509093129E-4</v>
      </c>
      <c r="GO174" s="21">
        <f t="shared" si="187"/>
        <v>77.331513473018376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4.7884896048344674E-14</v>
      </c>
      <c r="P175" s="13">
        <f t="shared" si="141"/>
        <v>7.8374629847779921E-13</v>
      </c>
      <c r="Q175" s="20">
        <f t="shared" si="162"/>
        <v>1.4484243304663672E-12</v>
      </c>
      <c r="R175" s="59">
        <f t="shared" si="109"/>
        <v>288.81492944695907</v>
      </c>
      <c r="S175" s="59">
        <f ca="1">AVERAGE(OFFSET($R$3,0,0,'Données projet'!$E$9+1,1))-AVERAGE(OFFSET($H$3,0,0,'Données projet'!$E$9+1,1))</f>
        <v>456.35333554128226</v>
      </c>
      <c r="T175" s="59">
        <f t="shared" si="142"/>
        <v>296.4517290984877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33.106818468079886</v>
      </c>
      <c r="AA175" s="21">
        <f>EXP(-LN(2)/25)*AA174+(1-EXP(-LN(2)/25))/(LN(2)/25)*Calculateur!V175*Calculateur!X175*VLOOKUP('Données projet'!$B$9,Paramètres!$A$1:$I$89,3,0)*0.475*44/12</f>
        <v>4.4887530819419448</v>
      </c>
      <c r="AB175" s="21">
        <f>EXP(-LN(2)/2)*AB174+(1-EXP(-LN(2)/2))/(LN(2)/2)*V175*Y175*VLOOKUP('Données projet'!$B$9,Paramètres!$A$1:$I$89,3,0)*0.475*44/12</f>
        <v>8.6415367258727617E-10</v>
      </c>
      <c r="AC175" s="22">
        <f t="shared" si="163"/>
        <v>37.595571550885985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408.246209980743</v>
      </c>
      <c r="AO175" s="59">
        <f t="shared" si="144"/>
        <v>394.10236303013903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9.2298092591374647</v>
      </c>
      <c r="AV175" s="21">
        <f>EXP(-LN(2)/25)*AV174+(1-EXP(-LN(2)/25))/(LN(2)/25)*Calculateur!AQ175*Calculateur!AS175*VLOOKUP('Données projet'!$B$10,Paramètres!$A$1:$I$89,3,0)*0.475*44/12</f>
        <v>4.3968922302413382</v>
      </c>
      <c r="AW175" s="21">
        <f>EXP(-LN(2)/2)*AW174+(1-EXP(-LN(2)/2))/(LN(2)/2)*AQ175*AT175*VLOOKUP('Données projet'!$B$10,Paramètres!$A$1:$I$89,3,0)*0.475*44/12</f>
        <v>9.7402702546932033E-13</v>
      </c>
      <c r="AX175" s="21">
        <f t="shared" si="166"/>
        <v>13.626701489379776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7.688333333333337</v>
      </c>
      <c r="BD175" s="12">
        <f>IF('Données projet'!$A$88&gt;35,BD174+BC175-BL174,IF(A175&lt;'Données projet'!$A$88,$BA$205^A175,IF(A175='Données projet'!$A$88,'Données projet'!$B$88,BD174+BC175-BL174)))</f>
        <v>395.03333333333302</v>
      </c>
      <c r="BE175" s="13">
        <f>BD175*VLOOKUP('Données projet'!$B$11,Paramètres!$A$1:$I$89,3,0)*VLOOKUP('Données projet'!$B$11,Paramètres!$A$1:$I$89,5,0)</f>
        <v>400.56379999999973</v>
      </c>
      <c r="BF175" s="13">
        <f t="shared" si="167"/>
        <v>91.890957647280629</v>
      </c>
      <c r="BG175" s="20">
        <f t="shared" si="168"/>
        <v>857.69203623567989</v>
      </c>
      <c r="BH175" s="59">
        <f t="shared" si="116"/>
        <v>1146.5069656826377</v>
      </c>
      <c r="BI175" s="59">
        <f ca="1">AVERAGE(OFFSET($BH$3,0,0,'Données projet'!$E$11+1,1))-AVERAGE(OFFSET($H$3,0,0,'Données projet'!$E$11+1,1))</f>
        <v>580.02848304986492</v>
      </c>
      <c r="BJ175" s="59">
        <f t="shared" si="146"/>
        <v>281.68891895586728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46.536389360489231</v>
      </c>
      <c r="BQ175" s="21">
        <f>EXP(-LN(2)/25)*BQ174+(1-EXP(-LN(2)/25))/(LN(2)/25)*Calculateur!BL175*Calculateur!BN175*VLOOKUP('Données projet'!$B$11,Paramètres!$A$1:$I$89,3,0)*0.475*44/12</f>
        <v>20.804238451086629</v>
      </c>
      <c r="BR175" s="21">
        <f>EXP(-LN(2)/2)*BR174+(1-EXP(-LN(2)/2))/(LN(2)/2)*BL175*BO175*VLOOKUP('Données projet'!$B$11,Paramètres!$A$1:$I$89,3,0)*0.475*44/12</f>
        <v>3.6049438883375013E-4</v>
      </c>
      <c r="BS175" s="22">
        <f t="shared" si="169"/>
        <v>67.340988305964686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4.4337866711430253E-14</v>
      </c>
      <c r="CA175" s="13">
        <f t="shared" si="170"/>
        <v>7.3222115536967035E-13</v>
      </c>
      <c r="CB175" s="20">
        <f t="shared" si="171"/>
        <v>1.3525069634579169E-12</v>
      </c>
      <c r="CC175" s="59">
        <f t="shared" si="119"/>
        <v>288.81492944695901</v>
      </c>
      <c r="CD175" s="59">
        <f ca="1">AVERAGE(OFFSET($CC$3,0,0,'Données projet'!$E$12+1,1))-AVERAGE(OFFSET($H$3,0,0,'Données projet'!$E$12+1,1))</f>
        <v>308.85018589589453</v>
      </c>
      <c r="CE175" s="59">
        <f t="shared" si="148"/>
        <v>302.59481222418219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5.5919829899412088</v>
      </c>
      <c r="CL175" s="21">
        <f>EXP(-LN(2)/25)*CL174+(1-EXP(-LN(2)/25))/(LN(2)/25)*Calculateur!CG175*Calculateur!CI175*VLOOKUP('Données projet'!$B$12,Paramètres!$A$1:$I$89,3,0)*0.475*44/12</f>
        <v>2.4347694743622719</v>
      </c>
      <c r="CM175" s="21">
        <f>EXP(-LN(2)/2)*CM174+(1-EXP(-LN(2)/2))/(LN(2)/2)*CG175*CJ175*VLOOKUP('Données projet'!$B$12,Paramètres!$A$1:$I$89,3,0)*0.475*44/12</f>
        <v>1.9078514283489708E-14</v>
      </c>
      <c r="CN175" s="22">
        <f t="shared" si="172"/>
        <v>8.0267524643035006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2.2737367544323206E-13</v>
      </c>
      <c r="CU175" s="17">
        <f>CT175*VLOOKUP('Données projet'!$B$13,Paramètres!$A$1:$I$89,3,0)*VLOOKUP('Données projet'!$B$13,Paramètres!$A$1:$I$89,5,0)</f>
        <v>1.5252226148732008E-13</v>
      </c>
      <c r="CV175" s="13">
        <f t="shared" si="173"/>
        <v>2.1814502464536512E-12</v>
      </c>
      <c r="CW175" s="20">
        <f t="shared" si="174"/>
        <v>4.0650021179971913E-12</v>
      </c>
      <c r="CX175" s="59">
        <f t="shared" si="122"/>
        <v>288.81492944696174</v>
      </c>
      <c r="CY175" s="59">
        <f ca="1">AVERAGE(OFFSET($CX$3,0,0,'Données projet'!$E$13+1,1))-AVERAGE(OFFSET($H$3,0,0,'Données projet'!$E$13+1,1))</f>
        <v>335.73816489539837</v>
      </c>
      <c r="CZ175" s="59">
        <f t="shared" si="150"/>
        <v>254.09787950201044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10.972597719229473</v>
      </c>
      <c r="DG175" s="21">
        <f>EXP(-LN(2)/25)*DG174+(1-EXP(-LN(2)/25))/(LN(2)/25)*Calculateur!DB175*Calculateur!DD175*VLOOKUP('Données projet'!$B$13,Paramètres!$A$1:$I$89,3,0)*0.475*44/12</f>
        <v>6.7957900645427678</v>
      </c>
      <c r="DH175" s="21">
        <f>EXP(-LN(2)/2)*DH174+(1-EXP(-LN(2)/2))/(LN(2)/2)*DB175*DE175*VLOOKUP('Données projet'!$B$13,Paramètres!$A$1:$I$89,3,0)*0.475*44/12</f>
        <v>2.2796744284457394E-8</v>
      </c>
      <c r="DI175" s="22">
        <f t="shared" si="175"/>
        <v>17.768387806568985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2.5579538487363607E-13</v>
      </c>
      <c r="DP175" s="17">
        <f>DO175*VLOOKUP('Données projet'!$B$14,Paramètres!$A$1:$I$89,3,0)*VLOOKUP('Données projet'!$B$14,Paramètres!$A$1:$I$89,5,0)</f>
        <v>2.4740529624978082E-13</v>
      </c>
      <c r="DQ175" s="13">
        <f t="shared" si="176"/>
        <v>3.3447853361996459E-12</v>
      </c>
      <c r="DR175" s="20">
        <f t="shared" si="177"/>
        <v>6.2563986848494188E-12</v>
      </c>
      <c r="DS175" s="59">
        <f t="shared" si="125"/>
        <v>288.8149294469639</v>
      </c>
      <c r="DT175" s="59">
        <f ca="1">AVERAGE(OFFSET($DS$3,0,0,'Données projet'!$E$14+1,1))-AVERAGE(OFFSET($H$3,0,0,'Données projet'!$E$14+1,1))</f>
        <v>493.03862850474161</v>
      </c>
      <c r="DU175" s="59">
        <f t="shared" si="152"/>
        <v>312.51819065560528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52.562714193259154</v>
      </c>
      <c r="EB175" s="21">
        <f>EXP(-LN(2)/25)*EB174+(1-EXP(-LN(2)/25))/(LN(2)/25)*Calculateur!DW175*Calculateur!DY175*VLOOKUP('Données projet'!$B$14,Paramètres!$A$1:$I$89,3,0)*0.475*44/12</f>
        <v>7.8534191471620902</v>
      </c>
      <c r="EC175" s="21">
        <f>EXP(-LN(2)/2)*EC174+(1-EXP(-LN(2)/2))/(LN(2)/2)*DW175*DZ175*VLOOKUP('Données projet'!$B$14,Paramètres!$A$1:$I$89,3,0)*0.475*44/12</f>
        <v>3.4708236192370728E-6</v>
      </c>
      <c r="ED175" s="22">
        <f t="shared" si="178"/>
        <v>60.416136811244868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2.5579538487363607E-13</v>
      </c>
      <c r="EK175" s="17">
        <f>EJ175*VLOOKUP('Données projet'!$B$15,Paramètres!$A$1:$I$89,3,0)*VLOOKUP('Données projet'!$B$15,Paramètres!$A$1:$I$89,5,0)</f>
        <v>2.7533815227798186E-13</v>
      </c>
      <c r="EL175" s="13">
        <f t="shared" si="179"/>
        <v>3.6763598146902537E-12</v>
      </c>
      <c r="EM175" s="20">
        <f t="shared" si="180"/>
        <v>6.88254062580301E-12</v>
      </c>
      <c r="EN175" s="59">
        <f t="shared" si="128"/>
        <v>288.81492944696453</v>
      </c>
      <c r="EO175" s="59">
        <f ca="1">AVERAGE(OFFSET($EN$3,0,0,'Données projet'!$E$15+1,1))-AVERAGE(OFFSET($H$3,0,0,'Données projet'!$E$15+1,1))</f>
        <v>539.72194201710272</v>
      </c>
      <c r="EP175" s="59">
        <f t="shared" si="154"/>
        <v>340.76505385159362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58.497214182820677</v>
      </c>
      <c r="EW175" s="21">
        <f>EXP(-LN(2)/25)*EW174+(1-EXP(-LN(2)/25))/(LN(2)/25)*Calculateur!ER175*Calculateur!ET175*VLOOKUP('Données projet'!$B$15,Paramètres!$A$1:$I$89,3,0)*0.475*44/12</f>
        <v>8.7400955024868363</v>
      </c>
      <c r="EX175" s="21">
        <f>EXP(-LN(2)/2)*EX174+(1-EXP(-LN(2)/2))/(LN(2)/2)*ER175*EU175*VLOOKUP('Données projet'!$B$15,Paramètres!$A$1:$I$89,3,0)*0.475*44/12</f>
        <v>3.8626908020541557E-6</v>
      </c>
      <c r="EY175" s="22">
        <f t="shared" si="181"/>
        <v>67.237313547998312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>
        <f>FE175*VLOOKUP('Données projet'!$B$16,Paramètres!$A$1:$I$89,3,0)*VLOOKUP('Données projet'!$B$16,Paramètres!$A$1:$I$89,5,0)</f>
        <v>0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383.47860767209028</v>
      </c>
      <c r="FK175" s="59">
        <f t="shared" si="156"/>
        <v>370.49129421395628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8.5705371691990671</v>
      </c>
      <c r="FR175" s="21">
        <f>EXP(-LN(2)/25)*FR174+(1-EXP(-LN(2)/25))/(LN(2)/25)*Calculateur!FM175*Calculateur!FO175*VLOOKUP('Données projet'!$B$16,Paramètres!$A$1:$I$89,3,0)*0.475*44/12</f>
        <v>4.0828284995098114</v>
      </c>
      <c r="FS175" s="21">
        <f>EXP(-LN(2)/2)*FS174+(1-EXP(-LN(2)/2))/(LN(2)/2)*FM175*FP175*VLOOKUP('Données projet'!$B$16,Paramètres!$A$1:$I$89,3,0)*0.475*44/12</f>
        <v>9.0445366650723209E-13</v>
      </c>
      <c r="FT175" s="22">
        <f t="shared" si="184"/>
        <v>12.653365668709784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7.688333333333337</v>
      </c>
      <c r="FZ175" s="12">
        <f>IF('Données projet'!$A$244&gt;35,FZ174+FY175-GH174,IF(A175&lt;'Données projet'!$A$244,$FW$205^A175,IF(A175='Données projet'!$A$244,'Données projet'!$B$244,FZ174+FY175-GH174)))</f>
        <v>395.03333333333302</v>
      </c>
      <c r="GA175" s="17">
        <f>FZ175*VLOOKUP('Données projet'!$B$17,Paramètres!$A$1:$I$89,3,0)*VLOOKUP('Données projet'!$B$17,Paramètres!$A$1:$I$89,5,0)</f>
        <v>449.86395999999962</v>
      </c>
      <c r="GB175" s="13">
        <f t="shared" si="185"/>
        <v>101.81566797428304</v>
      </c>
      <c r="GC175" s="20">
        <f t="shared" si="186"/>
        <v>960.84201872187566</v>
      </c>
      <c r="GD175" s="59">
        <f t="shared" si="134"/>
        <v>1249.6569481688334</v>
      </c>
      <c r="GE175" s="59">
        <f ca="1">AVERAGE(OFFSET($GD$3,0,0,'Données projet'!$E$17+1,1))-AVERAGE(OFFSET($H$3,0,0,'Données projet'!$E$17+1,1))</f>
        <v>640.05156427113661</v>
      </c>
      <c r="GF175" s="59">
        <f t="shared" si="158"/>
        <v>308.77220155372902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52.263944974087885</v>
      </c>
      <c r="GM175" s="21">
        <f>EXP(-LN(2)/25)*GM174+(1-EXP(-LN(2)/25))/(LN(2)/25)*Calculateur!GH175*Calculateur!GJ175*VLOOKUP('Données projet'!$B$17,Paramètres!$A$1:$I$89,3,0)*0.475*44/12</f>
        <v>23.364760106604983</v>
      </c>
      <c r="GN175" s="21">
        <f>EXP(-LN(2)/2)*GN174+(1-EXP(-LN(2)/2))/(LN(2)/2)*GH175*GK175*VLOOKUP('Données projet'!$B$17,Paramètres!$A$1:$I$89,3,0)*0.475*44/12</f>
        <v>4.0486292899790402E-4</v>
      </c>
      <c r="GO175" s="21">
        <f t="shared" si="187"/>
        <v>75.62910994362187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4.7884896048344674E-14</v>
      </c>
      <c r="P176" s="13">
        <f t="shared" si="141"/>
        <v>7.8374629847779921E-13</v>
      </c>
      <c r="Q176" s="20">
        <f t="shared" si="162"/>
        <v>1.4484243304663672E-12</v>
      </c>
      <c r="R176" s="59">
        <f t="shared" si="109"/>
        <v>288.8933136527499</v>
      </c>
      <c r="S176" s="59">
        <f ca="1">AVERAGE(OFFSET($R$3,0,0,'Données projet'!$E$9+1,1))-AVERAGE(OFFSET($H$3,0,0,'Données projet'!$E$9+1,1))</f>
        <v>456.35333554128226</v>
      </c>
      <c r="T176" s="59">
        <f t="shared" si="142"/>
        <v>296.4517290984877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32.457613951086195</v>
      </c>
      <c r="AA176" s="21">
        <f>EXP(-LN(2)/25)*AA175+(1-EXP(-LN(2)/25))/(LN(2)/25)*Calculateur!V176*Calculateur!X176*VLOOKUP('Données projet'!$B$9,Paramètres!$A$1:$I$89,3,0)*0.475*44/12</f>
        <v>4.3660078928629771</v>
      </c>
      <c r="AB176" s="21">
        <f>EXP(-LN(2)/2)*AB175+(1-EXP(-LN(2)/2))/(LN(2)/2)*V176*Y176*VLOOKUP('Données projet'!$B$9,Paramètres!$A$1:$I$89,3,0)*0.475*44/12</f>
        <v>6.1104892187372251E-10</v>
      </c>
      <c r="AC176" s="22">
        <f t="shared" si="163"/>
        <v>36.823621844560215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408.246209980743</v>
      </c>
      <c r="AO176" s="59">
        <f t="shared" si="144"/>
        <v>394.10236303013903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9.0488183291935478</v>
      </c>
      <c r="AV176" s="21">
        <f>EXP(-LN(2)/25)*AV175+(1-EXP(-LN(2)/25))/(LN(2)/25)*Calculateur!AQ176*Calculateur!AS176*VLOOKUP('Données projet'!$B$10,Paramètres!$A$1:$I$89,3,0)*0.475*44/12</f>
        <v>4.2766589809828757</v>
      </c>
      <c r="AW176" s="21">
        <f>EXP(-LN(2)/2)*AW175+(1-EXP(-LN(2)/2))/(LN(2)/2)*AQ176*AT176*VLOOKUP('Données projet'!$B$10,Paramètres!$A$1:$I$89,3,0)*0.475*44/12</f>
        <v>6.8874111476831845E-13</v>
      </c>
      <c r="AX176" s="21">
        <f t="shared" si="166"/>
        <v>13.325477310177114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7.688333333333337</v>
      </c>
      <c r="BD176" s="12">
        <f>IF('Données projet'!$A$88&gt;35,BD175+BC176-BL175,IF(A176&lt;'Données projet'!$A$88,$BA$205^A176,IF(A176='Données projet'!$A$88,'Données projet'!$B$88,BD175+BC176-BL175)))</f>
        <v>402.72166666666635</v>
      </c>
      <c r="BE176" s="13">
        <f>BD176*VLOOKUP('Données projet'!$B$11,Paramètres!$A$1:$I$89,3,0)*VLOOKUP('Données projet'!$B$11,Paramètres!$A$1:$I$89,5,0)</f>
        <v>408.35976999999968</v>
      </c>
      <c r="BF176" s="13">
        <f t="shared" si="167"/>
        <v>93.469434670776693</v>
      </c>
      <c r="BG176" s="20">
        <f t="shared" si="168"/>
        <v>874.01919813493544</v>
      </c>
      <c r="BH176" s="59">
        <f t="shared" si="116"/>
        <v>1162.9125117876838</v>
      </c>
      <c r="BI176" s="59">
        <f ca="1">AVERAGE(OFFSET($BH$3,0,0,'Données projet'!$E$11+1,1))-AVERAGE(OFFSET($H$3,0,0,'Données projet'!$E$11+1,1))</f>
        <v>580.02848304986492</v>
      </c>
      <c r="BJ176" s="59">
        <f t="shared" si="146"/>
        <v>281.68891895586728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45.623839149524819</v>
      </c>
      <c r="BQ176" s="21">
        <f>EXP(-LN(2)/25)*BQ175+(1-EXP(-LN(2)/25))/(LN(2)/25)*Calculateur!BL176*Calculateur!BN176*VLOOKUP('Données projet'!$B$11,Paramètres!$A$1:$I$89,3,0)*0.475*44/12</f>
        <v>20.235345456594313</v>
      </c>
      <c r="BR176" s="21">
        <f>EXP(-LN(2)/2)*BR175+(1-EXP(-LN(2)/2))/(LN(2)/2)*BL176*BO176*VLOOKUP('Données projet'!$B$11,Paramètres!$A$1:$I$89,3,0)*0.475*44/12</f>
        <v>2.5490802692404473E-4</v>
      </c>
      <c r="BS176" s="22">
        <f t="shared" si="169"/>
        <v>65.859439514146047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4.4337866711430253E-14</v>
      </c>
      <c r="CA176" s="13">
        <f t="shared" si="170"/>
        <v>7.3222115536967035E-13</v>
      </c>
      <c r="CB176" s="20">
        <f t="shared" si="171"/>
        <v>1.3525069634579169E-12</v>
      </c>
      <c r="CC176" s="59">
        <f t="shared" si="119"/>
        <v>288.89331365274984</v>
      </c>
      <c r="CD176" s="59">
        <f ca="1">AVERAGE(OFFSET($CC$3,0,0,'Données projet'!$E$12+1,1))-AVERAGE(OFFSET($H$3,0,0,'Données projet'!$E$12+1,1))</f>
        <v>308.85018589589453</v>
      </c>
      <c r="CE176" s="59">
        <f t="shared" si="148"/>
        <v>302.59481222418219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5.4823276142812993</v>
      </c>
      <c r="CL176" s="21">
        <f>EXP(-LN(2)/25)*CL175+(1-EXP(-LN(2)/25))/(LN(2)/25)*Calculateur!CG176*Calculateur!CI176*VLOOKUP('Données projet'!$B$12,Paramètres!$A$1:$I$89,3,0)*0.475*44/12</f>
        <v>2.3681905750468735</v>
      </c>
      <c r="CM176" s="21">
        <f>EXP(-LN(2)/2)*CM175+(1-EXP(-LN(2)/2))/(LN(2)/2)*CG176*CJ176*VLOOKUP('Données projet'!$B$12,Paramètres!$A$1:$I$89,3,0)*0.475*44/12</f>
        <v>1.3490546824819978E-14</v>
      </c>
      <c r="CN176" s="22">
        <f t="shared" si="172"/>
        <v>7.8505181893281861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2.2737367544323206E-13</v>
      </c>
      <c r="CU176" s="17">
        <f>CT176*VLOOKUP('Données projet'!$B$13,Paramètres!$A$1:$I$89,3,0)*VLOOKUP('Données projet'!$B$13,Paramètres!$A$1:$I$89,5,0)</f>
        <v>1.5252226148732008E-13</v>
      </c>
      <c r="CV176" s="13">
        <f t="shared" si="173"/>
        <v>2.1814502464536512E-12</v>
      </c>
      <c r="CW176" s="20">
        <f t="shared" si="174"/>
        <v>4.0650021179971913E-12</v>
      </c>
      <c r="CX176" s="59">
        <f t="shared" si="122"/>
        <v>288.89331365275257</v>
      </c>
      <c r="CY176" s="59">
        <f ca="1">AVERAGE(OFFSET($CX$3,0,0,'Données projet'!$E$13+1,1))-AVERAGE(OFFSET($H$3,0,0,'Données projet'!$E$13+1,1))</f>
        <v>335.73816489539837</v>
      </c>
      <c r="CZ176" s="59">
        <f t="shared" si="150"/>
        <v>254.09787950201044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10.757431770579149</v>
      </c>
      <c r="DG176" s="21">
        <f>EXP(-LN(2)/25)*DG175+(1-EXP(-LN(2)/25))/(LN(2)/25)*Calculateur!DB176*Calculateur!DD176*VLOOKUP('Données projet'!$B$13,Paramètres!$A$1:$I$89,3,0)*0.475*44/12</f>
        <v>6.6099588278527781</v>
      </c>
      <c r="DH176" s="21">
        <f>EXP(-LN(2)/2)*DH175+(1-EXP(-LN(2)/2))/(LN(2)/2)*DB176*DE176*VLOOKUP('Données projet'!$B$13,Paramètres!$A$1:$I$89,3,0)*0.475*44/12</f>
        <v>1.6119732472515492E-8</v>
      </c>
      <c r="DI176" s="22">
        <f t="shared" si="175"/>
        <v>17.36739061455166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2.5579538487363607E-13</v>
      </c>
      <c r="DP176" s="17">
        <f>DO176*VLOOKUP('Données projet'!$B$14,Paramètres!$A$1:$I$89,3,0)*VLOOKUP('Données projet'!$B$14,Paramètres!$A$1:$I$89,5,0)</f>
        <v>2.4740529624978082E-13</v>
      </c>
      <c r="DQ176" s="13">
        <f t="shared" si="176"/>
        <v>3.3447853361996459E-12</v>
      </c>
      <c r="DR176" s="20">
        <f t="shared" si="177"/>
        <v>6.2563986848494188E-12</v>
      </c>
      <c r="DS176" s="59">
        <f t="shared" si="125"/>
        <v>288.89331365275473</v>
      </c>
      <c r="DT176" s="59">
        <f ca="1">AVERAGE(OFFSET($DS$3,0,0,'Données projet'!$E$14+1,1))-AVERAGE(OFFSET($H$3,0,0,'Données projet'!$E$14+1,1))</f>
        <v>493.03862850474161</v>
      </c>
      <c r="DU176" s="59">
        <f t="shared" si="152"/>
        <v>312.51819065560528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51.531991428019332</v>
      </c>
      <c r="EB176" s="21">
        <f>EXP(-LN(2)/25)*EB175+(1-EXP(-LN(2)/25))/(LN(2)/25)*Calculateur!DW176*Calculateur!DY176*VLOOKUP('Données projet'!$B$14,Paramètres!$A$1:$I$89,3,0)*0.475*44/12</f>
        <v>7.6386669875895787</v>
      </c>
      <c r="EC176" s="21">
        <f>EXP(-LN(2)/2)*EC175+(1-EXP(-LN(2)/2))/(LN(2)/2)*DW176*DZ176*VLOOKUP('Données projet'!$B$14,Paramètres!$A$1:$I$89,3,0)*0.475*44/12</f>
        <v>2.4542429174649697E-6</v>
      </c>
      <c r="ED176" s="22">
        <f t="shared" si="178"/>
        <v>59.170660869851829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2.5579538487363607E-13</v>
      </c>
      <c r="EK176" s="17">
        <f>EJ176*VLOOKUP('Données projet'!$B$15,Paramètres!$A$1:$I$89,3,0)*VLOOKUP('Données projet'!$B$15,Paramètres!$A$1:$I$89,5,0)</f>
        <v>2.7533815227798186E-13</v>
      </c>
      <c r="EL176" s="13">
        <f t="shared" si="179"/>
        <v>3.6763598146902537E-12</v>
      </c>
      <c r="EM176" s="20">
        <f t="shared" si="180"/>
        <v>6.88254062580301E-12</v>
      </c>
      <c r="EN176" s="59">
        <f t="shared" si="128"/>
        <v>288.89331365275535</v>
      </c>
      <c r="EO176" s="59">
        <f ca="1">AVERAGE(OFFSET($EN$3,0,0,'Données projet'!$E$15+1,1))-AVERAGE(OFFSET($H$3,0,0,'Données projet'!$E$15+1,1))</f>
        <v>539.72194201710272</v>
      </c>
      <c r="EP176" s="59">
        <f t="shared" si="154"/>
        <v>340.76505385159362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57.350119492473127</v>
      </c>
      <c r="EW176" s="21">
        <f>EXP(-LN(2)/25)*EW175+(1-EXP(-LN(2)/25))/(LN(2)/25)*Calculateur!ER176*Calculateur!ET176*VLOOKUP('Données projet'!$B$15,Paramètres!$A$1:$I$89,3,0)*0.475*44/12</f>
        <v>8.5010971313496864</v>
      </c>
      <c r="EX176" s="21">
        <f>EXP(-LN(2)/2)*EX175+(1-EXP(-LN(2)/2))/(LN(2)/2)*ER176*EU176*VLOOKUP('Données projet'!$B$15,Paramètres!$A$1:$I$89,3,0)*0.475*44/12</f>
        <v>2.7313348597593976E-6</v>
      </c>
      <c r="EY176" s="22">
        <f t="shared" si="181"/>
        <v>65.851219355157667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>
        <f>FE176*VLOOKUP('Données projet'!$B$16,Paramètres!$A$1:$I$89,3,0)*VLOOKUP('Données projet'!$B$16,Paramètres!$A$1:$I$89,5,0)</f>
        <v>0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383.47860767209028</v>
      </c>
      <c r="FK176" s="59">
        <f t="shared" si="156"/>
        <v>370.49129421395628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8.402474162822573</v>
      </c>
      <c r="FR176" s="21">
        <f>EXP(-LN(2)/25)*FR175+(1-EXP(-LN(2)/25))/(LN(2)/25)*Calculateur!FM176*Calculateur!FO176*VLOOKUP('Données projet'!$B$16,Paramètres!$A$1:$I$89,3,0)*0.475*44/12</f>
        <v>3.9711833394840963</v>
      </c>
      <c r="FS176" s="21">
        <f>EXP(-LN(2)/2)*FS175+(1-EXP(-LN(2)/2))/(LN(2)/2)*FM176*FP176*VLOOKUP('Données projet'!$B$16,Paramètres!$A$1:$I$89,3,0)*0.475*44/12</f>
        <v>6.3954532085630008E-13</v>
      </c>
      <c r="FT176" s="22">
        <f t="shared" si="184"/>
        <v>12.373657502307308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7.688333333333337</v>
      </c>
      <c r="FZ176" s="12">
        <f>IF('Données projet'!$A$244&gt;35,FZ175+FY176-GH175,IF(A176&lt;'Données projet'!$A$244,$FW$205^A176,IF(A176='Données projet'!$A$244,'Données projet'!$B$244,FZ175+FY176-GH175)))</f>
        <v>402.72166666666635</v>
      </c>
      <c r="GA176" s="17">
        <f>FZ176*VLOOKUP('Données projet'!$B$17,Paramètres!$A$1:$I$89,3,0)*VLOOKUP('Données projet'!$B$17,Paramètres!$A$1:$I$89,5,0)</f>
        <v>458.61943399999961</v>
      </c>
      <c r="GB176" s="13">
        <f t="shared" si="185"/>
        <v>103.56462888016677</v>
      </c>
      <c r="GC176" s="20">
        <f t="shared" si="186"/>
        <v>979.13724284962302</v>
      </c>
      <c r="GD176" s="59">
        <f t="shared" si="134"/>
        <v>1268.0305565023714</v>
      </c>
      <c r="GE176" s="59">
        <f ca="1">AVERAGE(OFFSET($GD$3,0,0,'Données projet'!$E$17+1,1))-AVERAGE(OFFSET($H$3,0,0,'Données projet'!$E$17+1,1))</f>
        <v>640.05156427113661</v>
      </c>
      <c r="GF176" s="59">
        <f t="shared" si="158"/>
        <v>308.77220155372902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51.239080891004775</v>
      </c>
      <c r="GM176" s="21">
        <f>EXP(-LN(2)/25)*GM175+(1-EXP(-LN(2)/25))/(LN(2)/25)*Calculateur!GH176*Calculateur!GJ176*VLOOKUP('Données projet'!$B$17,Paramètres!$A$1:$I$89,3,0)*0.475*44/12</f>
        <v>22.725849512790536</v>
      </c>
      <c r="GN176" s="21">
        <f>EXP(-LN(2)/2)*GN175+(1-EXP(-LN(2)/2))/(LN(2)/2)*GH176*GK176*VLOOKUP('Données projet'!$B$17,Paramètres!$A$1:$I$89,3,0)*0.475*44/12</f>
        <v>2.8628132254546564E-4</v>
      </c>
      <c r="GO176" s="21">
        <f t="shared" si="187"/>
        <v>73.965216685117852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4.7884896048344674E-14</v>
      </c>
      <c r="P177" s="13">
        <f t="shared" si="141"/>
        <v>7.8374629847779921E-13</v>
      </c>
      <c r="Q177" s="20">
        <f t="shared" si="162"/>
        <v>1.4484243304663672E-12</v>
      </c>
      <c r="R177" s="59">
        <f t="shared" si="109"/>
        <v>288.97033806781116</v>
      </c>
      <c r="S177" s="59">
        <f ca="1">AVERAGE(OFFSET($R$3,0,0,'Données projet'!$E$9+1,1))-AVERAGE(OFFSET($H$3,0,0,'Données projet'!$E$9+1,1))</f>
        <v>456.35333554128226</v>
      </c>
      <c r="T177" s="59">
        <f t="shared" si="142"/>
        <v>296.4517290984877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31.821139938695094</v>
      </c>
      <c r="AA177" s="21">
        <f>EXP(-LN(2)/25)*AA176+(1-EXP(-LN(2)/25))/(LN(2)/25)*Calculateur!V177*Calculateur!X177*VLOOKUP('Données projet'!$B$9,Paramètres!$A$1:$I$89,3,0)*0.475*44/12</f>
        <v>4.2466191774342628</v>
      </c>
      <c r="AB177" s="21">
        <f>EXP(-LN(2)/2)*AB176+(1-EXP(-LN(2)/2))/(LN(2)/2)*V177*Y177*VLOOKUP('Données projet'!$B$9,Paramètres!$A$1:$I$89,3,0)*0.475*44/12</f>
        <v>4.3207683629363808E-10</v>
      </c>
      <c r="AC177" s="22">
        <f t="shared" si="163"/>
        <v>36.067759116561433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408.246209980743</v>
      </c>
      <c r="AO177" s="59">
        <f t="shared" si="144"/>
        <v>394.10236303013903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8.8713765209922641</v>
      </c>
      <c r="AV177" s="21">
        <f>EXP(-LN(2)/25)*AV176+(1-EXP(-LN(2)/25))/(LN(2)/25)*Calculateur!AQ177*Calculateur!AS177*VLOOKUP('Données projet'!$B$10,Paramètres!$A$1:$I$89,3,0)*0.475*44/12</f>
        <v>4.1597135162481775</v>
      </c>
      <c r="AW177" s="21">
        <f>EXP(-LN(2)/2)*AW176+(1-EXP(-LN(2)/2))/(LN(2)/2)*AQ177*AT177*VLOOKUP('Données projet'!$B$10,Paramètres!$A$1:$I$89,3,0)*0.475*44/12</f>
        <v>4.8701351273466016E-13</v>
      </c>
      <c r="AX177" s="21">
        <f t="shared" si="166"/>
        <v>13.031090037240929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7.688333333333337</v>
      </c>
      <c r="BD177" s="12">
        <f>IF('Données projet'!$A$88&gt;35,BD176+BC177-BL176,IF(A177&lt;'Données projet'!$A$88,$BA$205^A177,IF(A177='Données projet'!$A$88,'Données projet'!$B$88,BD176+BC177-BL176)))</f>
        <v>410.40999999999968</v>
      </c>
      <c r="BE177" s="13">
        <f>BD177*VLOOKUP('Données projet'!$B$11,Paramètres!$A$1:$I$89,3,0)*VLOOKUP('Données projet'!$B$11,Paramètres!$A$1:$I$89,5,0)</f>
        <v>416.1557399999997</v>
      </c>
      <c r="BF177" s="13">
        <f t="shared" si="167"/>
        <v>95.044407695945651</v>
      </c>
      <c r="BG177" s="20">
        <f t="shared" si="168"/>
        <v>890.34025723710477</v>
      </c>
      <c r="BH177" s="59">
        <f t="shared" si="116"/>
        <v>1179.3105953049144</v>
      </c>
      <c r="BI177" s="59">
        <f ca="1">AVERAGE(OFFSET($BH$3,0,0,'Données projet'!$E$11+1,1))-AVERAGE(OFFSET($H$3,0,0,'Données projet'!$E$11+1,1))</f>
        <v>580.02848304986492</v>
      </c>
      <c r="BJ177" s="59">
        <f t="shared" si="146"/>
        <v>281.68891895586728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44.72918349159675</v>
      </c>
      <c r="BQ177" s="21">
        <f>EXP(-LN(2)/25)*BQ176+(1-EXP(-LN(2)/25))/(LN(2)/25)*Calculateur!BL177*Calculateur!BN177*VLOOKUP('Données projet'!$B$11,Paramètres!$A$1:$I$89,3,0)*0.475*44/12</f>
        <v>19.682008870953172</v>
      </c>
      <c r="BR177" s="21">
        <f>EXP(-LN(2)/2)*BR176+(1-EXP(-LN(2)/2))/(LN(2)/2)*BL177*BO177*VLOOKUP('Données projet'!$B$11,Paramètres!$A$1:$I$89,3,0)*0.475*44/12</f>
        <v>1.8024719441687507E-4</v>
      </c>
      <c r="BS177" s="22">
        <f t="shared" si="169"/>
        <v>64.411372609744348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4.4337866711430253E-14</v>
      </c>
      <c r="CA177" s="13">
        <f t="shared" si="170"/>
        <v>7.3222115536967035E-13</v>
      </c>
      <c r="CB177" s="20">
        <f t="shared" si="171"/>
        <v>1.3525069634579169E-12</v>
      </c>
      <c r="CC177" s="59">
        <f t="shared" si="119"/>
        <v>288.9703380678111</v>
      </c>
      <c r="CD177" s="59">
        <f ca="1">AVERAGE(OFFSET($CC$3,0,0,'Données projet'!$E$12+1,1))-AVERAGE(OFFSET($H$3,0,0,'Données projet'!$E$12+1,1))</f>
        <v>308.85018589589453</v>
      </c>
      <c r="CE177" s="59">
        <f t="shared" si="148"/>
        <v>302.59481222418219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5.3748225136549062</v>
      </c>
      <c r="CL177" s="21">
        <f>EXP(-LN(2)/25)*CL176+(1-EXP(-LN(2)/25))/(LN(2)/25)*Calculateur!CG177*Calculateur!CI177*VLOOKUP('Données projet'!$B$12,Paramètres!$A$1:$I$89,3,0)*0.475*44/12</f>
        <v>2.303432279234487</v>
      </c>
      <c r="CM177" s="21">
        <f>EXP(-LN(2)/2)*CM176+(1-EXP(-LN(2)/2))/(LN(2)/2)*CG177*CJ177*VLOOKUP('Données projet'!$B$12,Paramètres!$A$1:$I$89,3,0)*0.475*44/12</f>
        <v>9.5392571417448539E-15</v>
      </c>
      <c r="CN177" s="22">
        <f t="shared" si="172"/>
        <v>7.6782547928894029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2.2737367544323206E-13</v>
      </c>
      <c r="CU177" s="17">
        <f>CT177*VLOOKUP('Données projet'!$B$13,Paramètres!$A$1:$I$89,3,0)*VLOOKUP('Données projet'!$B$13,Paramètres!$A$1:$I$89,5,0)</f>
        <v>1.5252226148732008E-13</v>
      </c>
      <c r="CV177" s="13">
        <f t="shared" si="173"/>
        <v>2.1814502464536512E-12</v>
      </c>
      <c r="CW177" s="20">
        <f t="shared" si="174"/>
        <v>4.0650021179971913E-12</v>
      </c>
      <c r="CX177" s="59">
        <f t="shared" si="122"/>
        <v>288.97033806781383</v>
      </c>
      <c r="CY177" s="59">
        <f ca="1">AVERAGE(OFFSET($CX$3,0,0,'Données projet'!$E$13+1,1))-AVERAGE(OFFSET($H$3,0,0,'Données projet'!$E$13+1,1))</f>
        <v>335.73816489539837</v>
      </c>
      <c r="CZ177" s="59">
        <f t="shared" si="150"/>
        <v>254.09787950201044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10.54648509494359</v>
      </c>
      <c r="DG177" s="21">
        <f>EXP(-LN(2)/25)*DG176+(1-EXP(-LN(2)/25))/(LN(2)/25)*Calculateur!DB177*Calculateur!DD177*VLOOKUP('Données projet'!$B$13,Paramètres!$A$1:$I$89,3,0)*0.475*44/12</f>
        <v>6.429209156102516</v>
      </c>
      <c r="DH177" s="21">
        <f>EXP(-LN(2)/2)*DH176+(1-EXP(-LN(2)/2))/(LN(2)/2)*DB177*DE177*VLOOKUP('Données projet'!$B$13,Paramètres!$A$1:$I$89,3,0)*0.475*44/12</f>
        <v>1.1398372142228697E-8</v>
      </c>
      <c r="DI177" s="22">
        <f t="shared" si="175"/>
        <v>16.975694262444481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2.5579538487363607E-13</v>
      </c>
      <c r="DP177" s="17">
        <f>DO177*VLOOKUP('Données projet'!$B$14,Paramètres!$A$1:$I$89,3,0)*VLOOKUP('Données projet'!$B$14,Paramètres!$A$1:$I$89,5,0)</f>
        <v>2.4740529624978082E-13</v>
      </c>
      <c r="DQ177" s="13">
        <f t="shared" si="176"/>
        <v>3.3447853361996459E-12</v>
      </c>
      <c r="DR177" s="20">
        <f t="shared" si="177"/>
        <v>6.2563986848494188E-12</v>
      </c>
      <c r="DS177" s="59">
        <f t="shared" si="125"/>
        <v>288.97033806781599</v>
      </c>
      <c r="DT177" s="59">
        <f ca="1">AVERAGE(OFFSET($DS$3,0,0,'Données projet'!$E$14+1,1))-AVERAGE(OFFSET($H$3,0,0,'Données projet'!$E$14+1,1))</f>
        <v>493.03862850474161</v>
      </c>
      <c r="DU177" s="59">
        <f t="shared" si="152"/>
        <v>312.51819065560528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50.521480507527052</v>
      </c>
      <c r="EB177" s="21">
        <f>EXP(-LN(2)/25)*EB176+(1-EXP(-LN(2)/25))/(LN(2)/25)*Calculateur!DW177*Calculateur!DY177*VLOOKUP('Données projet'!$B$14,Paramètres!$A$1:$I$89,3,0)*0.475*44/12</f>
        <v>7.4297872371139029</v>
      </c>
      <c r="EC177" s="21">
        <f>EXP(-LN(2)/2)*EC176+(1-EXP(-LN(2)/2))/(LN(2)/2)*DW177*DZ177*VLOOKUP('Données projet'!$B$14,Paramètres!$A$1:$I$89,3,0)*0.475*44/12</f>
        <v>1.7354118096185364E-6</v>
      </c>
      <c r="ED177" s="22">
        <f t="shared" si="178"/>
        <v>57.951269480052765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2.5579538487363607E-13</v>
      </c>
      <c r="EK177" s="17">
        <f>EJ177*VLOOKUP('Données projet'!$B$15,Paramètres!$A$1:$I$89,3,0)*VLOOKUP('Données projet'!$B$15,Paramètres!$A$1:$I$89,5,0)</f>
        <v>2.7533815227798186E-13</v>
      </c>
      <c r="EL177" s="13">
        <f t="shared" si="179"/>
        <v>3.6763598146902537E-12</v>
      </c>
      <c r="EM177" s="20">
        <f t="shared" si="180"/>
        <v>6.88254062580301E-12</v>
      </c>
      <c r="EN177" s="59">
        <f t="shared" si="128"/>
        <v>288.97033806781661</v>
      </c>
      <c r="EO177" s="59">
        <f ca="1">AVERAGE(OFFSET($EN$3,0,0,'Données projet'!$E$15+1,1))-AVERAGE(OFFSET($H$3,0,0,'Données projet'!$E$15+1,1))</f>
        <v>539.72194201710272</v>
      </c>
      <c r="EP177" s="59">
        <f t="shared" si="154"/>
        <v>340.76505385159362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56.22551862934462</v>
      </c>
      <c r="EW177" s="21">
        <f>EXP(-LN(2)/25)*EW176+(1-EXP(-LN(2)/25))/(LN(2)/25)*Calculateur!ER177*Calculateur!ET177*VLOOKUP('Données projet'!$B$15,Paramètres!$A$1:$I$89,3,0)*0.475*44/12</f>
        <v>8.2686341832396604</v>
      </c>
      <c r="EX177" s="21">
        <f>EXP(-LN(2)/2)*EX176+(1-EXP(-LN(2)/2))/(LN(2)/2)*ER177*EU177*VLOOKUP('Données projet'!$B$15,Paramètres!$A$1:$I$89,3,0)*0.475*44/12</f>
        <v>1.9313454010270778E-6</v>
      </c>
      <c r="EY177" s="22">
        <f t="shared" si="181"/>
        <v>64.49415474392967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>
        <f>FE177*VLOOKUP('Données projet'!$B$16,Paramètres!$A$1:$I$89,3,0)*VLOOKUP('Données projet'!$B$16,Paramètres!$A$1:$I$89,5,0)</f>
        <v>0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383.47860767209028</v>
      </c>
      <c r="FK177" s="59">
        <f t="shared" si="156"/>
        <v>370.49129421395628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8.2377067694928101</v>
      </c>
      <c r="FR177" s="21">
        <f>EXP(-LN(2)/25)*FR176+(1-EXP(-LN(2)/25))/(LN(2)/25)*Calculateur!FM177*Calculateur!FO177*VLOOKUP('Données projet'!$B$16,Paramètres!$A$1:$I$89,3,0)*0.475*44/12</f>
        <v>3.8625911222304481</v>
      </c>
      <c r="FS177" s="21">
        <f>EXP(-LN(2)/2)*FS176+(1-EXP(-LN(2)/2))/(LN(2)/2)*FM177*FP177*VLOOKUP('Données projet'!$B$16,Paramètres!$A$1:$I$89,3,0)*0.475*44/12</f>
        <v>4.5222683325361615E-13</v>
      </c>
      <c r="FT177" s="22">
        <f t="shared" si="184"/>
        <v>12.100297891723711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7.688333333333337</v>
      </c>
      <c r="FZ177" s="12">
        <f>IF('Données projet'!$A$244&gt;35,FZ176+FY177-GH176,IF(A177&lt;'Données projet'!$A$244,$FW$205^A177,IF(A177='Données projet'!$A$244,'Données projet'!$B$244,FZ176+FY177-GH176)))</f>
        <v>410.40999999999968</v>
      </c>
      <c r="GA177" s="17">
        <f>FZ177*VLOOKUP('Données projet'!$B$17,Paramètres!$A$1:$I$89,3,0)*VLOOKUP('Données projet'!$B$17,Paramètres!$A$1:$I$89,5,0)</f>
        <v>467.37490799999961</v>
      </c>
      <c r="GB177" s="13">
        <f t="shared" si="185"/>
        <v>105.30970733733747</v>
      </c>
      <c r="GC177" s="20">
        <f t="shared" si="186"/>
        <v>997.42570504586217</v>
      </c>
      <c r="GD177" s="59">
        <f t="shared" si="134"/>
        <v>1286.396043113672</v>
      </c>
      <c r="GE177" s="59">
        <f ca="1">AVERAGE(OFFSET($GD$3,0,0,'Données projet'!$E$17+1,1))-AVERAGE(OFFSET($H$3,0,0,'Données projet'!$E$17+1,1))</f>
        <v>640.05156427113661</v>
      </c>
      <c r="GF177" s="59">
        <f t="shared" si="158"/>
        <v>308.77220155372902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50.23431376748556</v>
      </c>
      <c r="GM177" s="21">
        <f>EXP(-LN(2)/25)*GM176+(1-EXP(-LN(2)/25))/(LN(2)/25)*Calculateur!GH177*Calculateur!GJ177*VLOOKUP('Données projet'!$B$17,Paramètres!$A$1:$I$89,3,0)*0.475*44/12</f>
        <v>22.104409962762794</v>
      </c>
      <c r="GN177" s="21">
        <f>EXP(-LN(2)/2)*GN176+(1-EXP(-LN(2)/2))/(LN(2)/2)*GH177*GK177*VLOOKUP('Données projet'!$B$17,Paramètres!$A$1:$I$89,3,0)*0.475*44/12</f>
        <v>2.0243146449895201E-4</v>
      </c>
      <c r="GO177" s="21">
        <f t="shared" si="187"/>
        <v>72.338926161712848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4.7884896048344674E-14</v>
      </c>
      <c r="P178" s="13">
        <f t="shared" si="141"/>
        <v>7.8374629847779921E-13</v>
      </c>
      <c r="Q178" s="20">
        <f t="shared" si="162"/>
        <v>1.4484243304663672E-12</v>
      </c>
      <c r="R178" s="59">
        <f t="shared" si="109"/>
        <v>289.04602628147182</v>
      </c>
      <c r="S178" s="59">
        <f ca="1">AVERAGE(OFFSET($R$3,0,0,'Données projet'!$E$9+1,1))-AVERAGE(OFFSET($H$3,0,0,'Données projet'!$E$9+1,1))</f>
        <v>456.35333554128226</v>
      </c>
      <c r="T178" s="59">
        <f t="shared" si="142"/>
        <v>296.4517290984877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31.197146793476168</v>
      </c>
      <c r="AA178" s="21">
        <f>EXP(-LN(2)/25)*AA177+(1-EXP(-LN(2)/25))/(LN(2)/25)*Calculateur!V178*Calculateur!X178*VLOOKUP('Données projet'!$B$9,Paramètres!$A$1:$I$89,3,0)*0.475*44/12</f>
        <v>4.1304951527073257</v>
      </c>
      <c r="AB178" s="21">
        <f>EXP(-LN(2)/2)*AB177+(1-EXP(-LN(2)/2))/(LN(2)/2)*V178*Y178*VLOOKUP('Données projet'!$B$9,Paramètres!$A$1:$I$89,3,0)*0.475*44/12</f>
        <v>3.0552446093686126E-10</v>
      </c>
      <c r="AC178" s="22">
        <f t="shared" si="163"/>
        <v>35.327641946489017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408.246209980743</v>
      </c>
      <c r="AO178" s="59">
        <f t="shared" si="144"/>
        <v>394.10236303013903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8.6974142384209916</v>
      </c>
      <c r="AV178" s="21">
        <f>EXP(-LN(2)/25)*AV177+(1-EXP(-LN(2)/25))/(LN(2)/25)*Calculateur!AQ178*Calculateur!AS178*VLOOKUP('Données projet'!$B$10,Paramètres!$A$1:$I$89,3,0)*0.475*44/12</f>
        <v>4.0459659313965446</v>
      </c>
      <c r="AW178" s="21">
        <f>EXP(-LN(2)/2)*AW177+(1-EXP(-LN(2)/2))/(LN(2)/2)*AQ178*AT178*VLOOKUP('Données projet'!$B$10,Paramètres!$A$1:$I$89,3,0)*0.475*44/12</f>
        <v>3.4437055738415923E-13</v>
      </c>
      <c r="AX178" s="21">
        <f t="shared" si="166"/>
        <v>12.743380169817881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7.688333333333337</v>
      </c>
      <c r="BD178" s="12">
        <f>IF('Données projet'!$A$88&gt;35,BD177+BC178-BL177,IF(A178&lt;'Données projet'!$A$88,$BA$205^A178,IF(A178='Données projet'!$A$88,'Données projet'!$B$88,BD177+BC178-BL177)))</f>
        <v>418.09833333333302</v>
      </c>
      <c r="BE178" s="13">
        <f>BD178*VLOOKUP('Données projet'!$B$11,Paramètres!$A$1:$I$89,3,0)*VLOOKUP('Données projet'!$B$11,Paramètres!$A$1:$I$89,5,0)</f>
        <v>423.95170999999976</v>
      </c>
      <c r="BF178" s="13">
        <f t="shared" si="167"/>
        <v>96.615949933698687</v>
      </c>
      <c r="BG178" s="20">
        <f t="shared" si="168"/>
        <v>906.65534105119139</v>
      </c>
      <c r="BH178" s="59">
        <f t="shared" si="116"/>
        <v>1195.7013673326619</v>
      </c>
      <c r="BI178" s="59">
        <f ca="1">AVERAGE(OFFSET($BH$3,0,0,'Données projet'!$E$11+1,1))-AVERAGE(OFFSET($H$3,0,0,'Données projet'!$E$11+1,1))</f>
        <v>580.02848304986492</v>
      </c>
      <c r="BJ178" s="59">
        <f t="shared" si="146"/>
        <v>281.68891895586728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43.852071485434585</v>
      </c>
      <c r="BQ178" s="21">
        <f>EXP(-LN(2)/25)*BQ177+(1-EXP(-LN(2)/25))/(LN(2)/25)*Calculateur!BL178*Calculateur!BN178*VLOOKUP('Données projet'!$B$11,Paramètres!$A$1:$I$89,3,0)*0.475*44/12</f>
        <v>19.143803303345095</v>
      </c>
      <c r="BR178" s="21">
        <f>EXP(-LN(2)/2)*BR177+(1-EXP(-LN(2)/2))/(LN(2)/2)*BL178*BO178*VLOOKUP('Données projet'!$B$11,Paramètres!$A$1:$I$89,3,0)*0.475*44/12</f>
        <v>1.2745401346202237E-4</v>
      </c>
      <c r="BS178" s="22">
        <f t="shared" si="169"/>
        <v>62.996002242793139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4.4337866711430253E-14</v>
      </c>
      <c r="CA178" s="13">
        <f t="shared" si="170"/>
        <v>7.3222115536967035E-13</v>
      </c>
      <c r="CB178" s="20">
        <f t="shared" si="171"/>
        <v>1.3525069634579169E-12</v>
      </c>
      <c r="CC178" s="59">
        <f t="shared" si="119"/>
        <v>289.04602628147177</v>
      </c>
      <c r="CD178" s="59">
        <f ca="1">AVERAGE(OFFSET($CC$3,0,0,'Données projet'!$E$12+1,1))-AVERAGE(OFFSET($H$3,0,0,'Données projet'!$E$12+1,1))</f>
        <v>308.85018589589453</v>
      </c>
      <c r="CE178" s="59">
        <f t="shared" si="148"/>
        <v>302.59481222418219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5.2694255224801596</v>
      </c>
      <c r="CL178" s="21">
        <f>EXP(-LN(2)/25)*CL177+(1-EXP(-LN(2)/25))/(LN(2)/25)*Calculateur!CG178*Calculateur!CI178*VLOOKUP('Données projet'!$B$12,Paramètres!$A$1:$I$89,3,0)*0.475*44/12</f>
        <v>2.2404448024265808</v>
      </c>
      <c r="CM178" s="21">
        <f>EXP(-LN(2)/2)*CM177+(1-EXP(-LN(2)/2))/(LN(2)/2)*CG178*CJ178*VLOOKUP('Données projet'!$B$12,Paramètres!$A$1:$I$89,3,0)*0.475*44/12</f>
        <v>6.7452734124099892E-15</v>
      </c>
      <c r="CN178" s="22">
        <f t="shared" si="172"/>
        <v>7.509870324906748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2.2737367544323206E-13</v>
      </c>
      <c r="CU178" s="17">
        <f>CT178*VLOOKUP('Données projet'!$B$13,Paramètres!$A$1:$I$89,3,0)*VLOOKUP('Données projet'!$B$13,Paramètres!$A$1:$I$89,5,0)</f>
        <v>1.5252226148732008E-13</v>
      </c>
      <c r="CV178" s="13">
        <f t="shared" si="173"/>
        <v>2.1814502464536512E-12</v>
      </c>
      <c r="CW178" s="20">
        <f t="shared" si="174"/>
        <v>4.0650021179971913E-12</v>
      </c>
      <c r="CX178" s="59">
        <f t="shared" si="122"/>
        <v>289.0460262814745</v>
      </c>
      <c r="CY178" s="59">
        <f ca="1">AVERAGE(OFFSET($CX$3,0,0,'Données projet'!$E$13+1,1))-AVERAGE(OFFSET($H$3,0,0,'Données projet'!$E$13+1,1))</f>
        <v>335.73816489539837</v>
      </c>
      <c r="CZ178" s="59">
        <f t="shared" si="150"/>
        <v>254.09787950201044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10.339674954952475</v>
      </c>
      <c r="DG178" s="21">
        <f>EXP(-LN(2)/25)*DG177+(1-EXP(-LN(2)/25))/(LN(2)/25)*Calculateur!DB178*Calculateur!DD178*VLOOKUP('Données projet'!$B$13,Paramètres!$A$1:$I$89,3,0)*0.475*44/12</f>
        <v>6.2534020936314771</v>
      </c>
      <c r="DH178" s="21">
        <f>EXP(-LN(2)/2)*DH177+(1-EXP(-LN(2)/2))/(LN(2)/2)*DB178*DE178*VLOOKUP('Données projet'!$B$13,Paramètres!$A$1:$I$89,3,0)*0.475*44/12</f>
        <v>8.059866236257746E-9</v>
      </c>
      <c r="DI178" s="22">
        <f t="shared" si="175"/>
        <v>16.593077056643818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2.5579538487363607E-13</v>
      </c>
      <c r="DP178" s="17">
        <f>DO178*VLOOKUP('Données projet'!$B$14,Paramètres!$A$1:$I$89,3,0)*VLOOKUP('Données projet'!$B$14,Paramètres!$A$1:$I$89,5,0)</f>
        <v>2.4740529624978082E-13</v>
      </c>
      <c r="DQ178" s="13">
        <f t="shared" si="176"/>
        <v>3.3447853361996459E-12</v>
      </c>
      <c r="DR178" s="20">
        <f t="shared" si="177"/>
        <v>6.2563986848494188E-12</v>
      </c>
      <c r="DS178" s="59">
        <f t="shared" si="125"/>
        <v>289.04602628147666</v>
      </c>
      <c r="DT178" s="59">
        <f ca="1">AVERAGE(OFFSET($DS$3,0,0,'Données projet'!$E$14+1,1))-AVERAGE(OFFSET($H$3,0,0,'Données projet'!$E$14+1,1))</f>
        <v>493.03862850474161</v>
      </c>
      <c r="DU178" s="59">
        <f t="shared" si="152"/>
        <v>312.51819065560528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49.530785089834822</v>
      </c>
      <c r="EB178" s="21">
        <f>EXP(-LN(2)/25)*EB177+(1-EXP(-LN(2)/25))/(LN(2)/25)*Calculateur!DW178*Calculateur!DY178*VLOOKUP('Données projet'!$B$14,Paramètres!$A$1:$I$89,3,0)*0.475*44/12</f>
        <v>7.2266193143994935</v>
      </c>
      <c r="EC178" s="21">
        <f>EXP(-LN(2)/2)*EC177+(1-EXP(-LN(2)/2))/(LN(2)/2)*DW178*DZ178*VLOOKUP('Données projet'!$B$14,Paramètres!$A$1:$I$89,3,0)*0.475*44/12</f>
        <v>1.2271214587324849E-6</v>
      </c>
      <c r="ED178" s="22">
        <f t="shared" si="178"/>
        <v>56.757405631355773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2.5579538487363607E-13</v>
      </c>
      <c r="EK178" s="17">
        <f>EJ178*VLOOKUP('Données projet'!$B$15,Paramètres!$A$1:$I$89,3,0)*VLOOKUP('Données projet'!$B$15,Paramètres!$A$1:$I$89,5,0)</f>
        <v>2.7533815227798186E-13</v>
      </c>
      <c r="EL178" s="13">
        <f t="shared" si="179"/>
        <v>3.6763598146902537E-12</v>
      </c>
      <c r="EM178" s="20">
        <f t="shared" si="180"/>
        <v>6.88254062580301E-12</v>
      </c>
      <c r="EN178" s="59">
        <f t="shared" si="128"/>
        <v>289.04602628147728</v>
      </c>
      <c r="EO178" s="59">
        <f ca="1">AVERAGE(OFFSET($EN$3,0,0,'Données projet'!$E$15+1,1))-AVERAGE(OFFSET($H$3,0,0,'Données projet'!$E$15+1,1))</f>
        <v>539.72194201710272</v>
      </c>
      <c r="EP178" s="59">
        <f t="shared" si="154"/>
        <v>340.76505385159362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55.12297050320327</v>
      </c>
      <c r="EW178" s="21">
        <f>EXP(-LN(2)/25)*EW177+(1-EXP(-LN(2)/25))/(LN(2)/25)*Calculateur!ER178*Calculateur!ET178*VLOOKUP('Données projet'!$B$15,Paramètres!$A$1:$I$89,3,0)*0.475*44/12</f>
        <v>8.0425279466703987</v>
      </c>
      <c r="EX178" s="21">
        <f>EXP(-LN(2)/2)*EX177+(1-EXP(-LN(2)/2))/(LN(2)/2)*ER178*EU178*VLOOKUP('Données projet'!$B$15,Paramètres!$A$1:$I$89,3,0)*0.475*44/12</f>
        <v>1.3656674298796988E-6</v>
      </c>
      <c r="EY178" s="22">
        <f t="shared" si="181"/>
        <v>63.165499815541096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>
        <f>FE178*VLOOKUP('Données projet'!$B$16,Paramètres!$A$1:$I$89,3,0)*VLOOKUP('Données projet'!$B$16,Paramètres!$A$1:$I$89,5,0)</f>
        <v>0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383.47860767209028</v>
      </c>
      <c r="FK178" s="59">
        <f t="shared" si="156"/>
        <v>370.49129421395628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8.0761703642480569</v>
      </c>
      <c r="FR178" s="21">
        <f>EXP(-LN(2)/25)*FR177+(1-EXP(-LN(2)/25))/(LN(2)/25)*Calculateur!FM178*Calculateur!FO178*VLOOKUP('Données projet'!$B$16,Paramètres!$A$1:$I$89,3,0)*0.475*44/12</f>
        <v>3.7569683648682175</v>
      </c>
      <c r="FS178" s="21">
        <f>EXP(-LN(2)/2)*FS177+(1-EXP(-LN(2)/2))/(LN(2)/2)*FM178*FP178*VLOOKUP('Données projet'!$B$16,Paramètres!$A$1:$I$89,3,0)*0.475*44/12</f>
        <v>3.1977266042815009E-13</v>
      </c>
      <c r="FT178" s="22">
        <f t="shared" si="184"/>
        <v>11.833138729116595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7.688333333333337</v>
      </c>
      <c r="FZ178" s="12">
        <f>IF('Données projet'!$A$244&gt;35,FZ177+FY178-GH177,IF(A178&lt;'Données projet'!$A$244,$FW$205^A178,IF(A178='Données projet'!$A$244,'Données projet'!$B$244,FZ177+FY178-GH177)))</f>
        <v>418.09833333333302</v>
      </c>
      <c r="GA178" s="17">
        <f>FZ178*VLOOKUP('Données projet'!$B$17,Paramètres!$A$1:$I$89,3,0)*VLOOKUP('Données projet'!$B$17,Paramètres!$A$1:$I$89,5,0)</f>
        <v>476.1303819999996</v>
      </c>
      <c r="GB178" s="13">
        <f t="shared" si="185"/>
        <v>107.05098446387258</v>
      </c>
      <c r="GC178" s="20">
        <f t="shared" si="186"/>
        <v>1015.7075465912441</v>
      </c>
      <c r="GD178" s="59">
        <f t="shared" si="134"/>
        <v>1304.7535728727144</v>
      </c>
      <c r="GE178" s="59">
        <f ca="1">AVERAGE(OFFSET($GD$3,0,0,'Données projet'!$E$17+1,1))-AVERAGE(OFFSET($H$3,0,0,'Données projet'!$E$17+1,1))</f>
        <v>640.05156427113661</v>
      </c>
      <c r="GF178" s="59">
        <f t="shared" si="158"/>
        <v>308.77220155372902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49.249249514411126</v>
      </c>
      <c r="GM178" s="21">
        <f>EXP(-LN(2)/25)*GM177+(1-EXP(-LN(2)/25))/(LN(2)/25)*Calculateur!GH178*Calculateur!GJ178*VLOOKUP('Données projet'!$B$17,Paramètres!$A$1:$I$89,3,0)*0.475*44/12</f>
        <v>21.499963709910645</v>
      </c>
      <c r="GN178" s="21">
        <f>EXP(-LN(2)/2)*GN177+(1-EXP(-LN(2)/2))/(LN(2)/2)*GH178*GK178*VLOOKUP('Données projet'!$B$17,Paramètres!$A$1:$I$89,3,0)*0.475*44/12</f>
        <v>1.4314066127273282E-4</v>
      </c>
      <c r="GO178" s="21">
        <f t="shared" si="187"/>
        <v>70.749356364983058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4.7884896048344674E-14</v>
      </c>
      <c r="P179" s="13">
        <f t="shared" si="141"/>
        <v>7.8374629847779921E-13</v>
      </c>
      <c r="Q179" s="20">
        <f t="shared" si="162"/>
        <v>1.4484243304663672E-12</v>
      </c>
      <c r="R179" s="59">
        <f t="shared" si="109"/>
        <v>289.12040147383902</v>
      </c>
      <c r="S179" s="59">
        <f ca="1">AVERAGE(OFFSET($R$3,0,0,'Données projet'!$E$9+1,1))-AVERAGE(OFFSET($H$3,0,0,'Données projet'!$E$9+1,1))</f>
        <v>456.35333554128226</v>
      </c>
      <c r="T179" s="59">
        <f t="shared" si="142"/>
        <v>296.4517290984877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30.585389773236749</v>
      </c>
      <c r="AA179" s="21">
        <f>EXP(-LN(2)/25)*AA178+(1-EXP(-LN(2)/25))/(LN(2)/25)*Calculateur!V179*Calculateur!X179*VLOOKUP('Données projet'!$B$9,Paramètres!$A$1:$I$89,3,0)*0.475*44/12</f>
        <v>4.0175465455432438</v>
      </c>
      <c r="AB179" s="21">
        <f>EXP(-LN(2)/2)*AB178+(1-EXP(-LN(2)/2))/(LN(2)/2)*V179*Y179*VLOOKUP('Données projet'!$B$9,Paramètres!$A$1:$I$89,3,0)*0.475*44/12</f>
        <v>2.1603841814681904E-10</v>
      </c>
      <c r="AC179" s="22">
        <f t="shared" si="163"/>
        <v>34.602936318996036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408.246209980743</v>
      </c>
      <c r="AO179" s="59">
        <f t="shared" si="144"/>
        <v>394.10236303013903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8.5268632501044266</v>
      </c>
      <c r="AV179" s="21">
        <f>EXP(-LN(2)/25)*AV178+(1-EXP(-LN(2)/25))/(LN(2)/25)*Calculateur!AQ179*Calculateur!AS179*VLOOKUP('Données projet'!$B$10,Paramètres!$A$1:$I$89,3,0)*0.475*44/12</f>
        <v>3.9353287802344048</v>
      </c>
      <c r="AW179" s="21">
        <f>EXP(-LN(2)/2)*AW178+(1-EXP(-LN(2)/2))/(LN(2)/2)*AQ179*AT179*VLOOKUP('Données projet'!$B$10,Paramètres!$A$1:$I$89,3,0)*0.475*44/12</f>
        <v>2.4350675636733008E-13</v>
      </c>
      <c r="AX179" s="21">
        <f t="shared" si="166"/>
        <v>12.462192030339075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7.688333333333337</v>
      </c>
      <c r="BD179" s="12">
        <f>IF('Données projet'!$A$88&gt;35,BD178+BC179-BL178,IF(A179&lt;'Données projet'!$A$88,$BA$205^A179,IF(A179='Données projet'!$A$88,'Données projet'!$B$88,BD178+BC179-BL178)))</f>
        <v>425.78666666666635</v>
      </c>
      <c r="BE179" s="13">
        <f>BD179*VLOOKUP('Données projet'!$B$11,Paramètres!$A$1:$I$89,3,0)*VLOOKUP('Données projet'!$B$11,Paramètres!$A$1:$I$89,5,0)</f>
        <v>431.74767999999972</v>
      </c>
      <c r="BF179" s="13">
        <f t="shared" si="167"/>
        <v>98.184131748284557</v>
      </c>
      <c r="BG179" s="20">
        <f t="shared" si="168"/>
        <v>922.96457212826181</v>
      </c>
      <c r="BH179" s="59">
        <f t="shared" si="116"/>
        <v>1212.0849736020994</v>
      </c>
      <c r="BI179" s="59">
        <f ca="1">AVERAGE(OFFSET($BH$3,0,0,'Données projet'!$E$11+1,1))-AVERAGE(OFFSET($H$3,0,0,'Données projet'!$E$11+1,1))</f>
        <v>580.02848304986492</v>
      </c>
      <c r="BJ179" s="59">
        <f t="shared" si="146"/>
        <v>281.68891895586728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42.992159110727762</v>
      </c>
      <c r="BQ179" s="21">
        <f>EXP(-LN(2)/25)*BQ178+(1-EXP(-LN(2)/25))/(LN(2)/25)*Calculateur!BL179*Calculateur!BN179*VLOOKUP('Données projet'!$B$11,Paramètres!$A$1:$I$89,3,0)*0.475*44/12</f>
        <v>18.620314995286261</v>
      </c>
      <c r="BR179" s="21">
        <f>EXP(-LN(2)/2)*BR178+(1-EXP(-LN(2)/2))/(LN(2)/2)*BL179*BO179*VLOOKUP('Données projet'!$B$11,Paramètres!$A$1:$I$89,3,0)*0.475*44/12</f>
        <v>9.0123597208437533E-5</v>
      </c>
      <c r="BS179" s="22">
        <f t="shared" si="169"/>
        <v>61.61256422961123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4.4337866711430253E-14</v>
      </c>
      <c r="CA179" s="13">
        <f t="shared" si="170"/>
        <v>7.3222115536967035E-13</v>
      </c>
      <c r="CB179" s="20">
        <f t="shared" si="171"/>
        <v>1.3525069634579169E-12</v>
      </c>
      <c r="CC179" s="59">
        <f t="shared" si="119"/>
        <v>289.12040147383897</v>
      </c>
      <c r="CD179" s="59">
        <f ca="1">AVERAGE(OFFSET($CC$3,0,0,'Données projet'!$E$12+1,1))-AVERAGE(OFFSET($H$3,0,0,'Données projet'!$E$12+1,1))</f>
        <v>308.85018589589453</v>
      </c>
      <c r="CE179" s="59">
        <f t="shared" si="148"/>
        <v>302.59481222418219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5.166095302016533</v>
      </c>
      <c r="CL179" s="21">
        <f>EXP(-LN(2)/25)*CL178+(1-EXP(-LN(2)/25))/(LN(2)/25)*Calculateur!CG179*Calculateur!CI179*VLOOKUP('Données projet'!$B$12,Paramètres!$A$1:$I$89,3,0)*0.475*44/12</f>
        <v>2.1791797214843545</v>
      </c>
      <c r="CM179" s="21">
        <f>EXP(-LN(2)/2)*CM178+(1-EXP(-LN(2)/2))/(LN(2)/2)*CG179*CJ179*VLOOKUP('Données projet'!$B$12,Paramètres!$A$1:$I$89,3,0)*0.475*44/12</f>
        <v>4.7696285708724269E-15</v>
      </c>
      <c r="CN179" s="22">
        <f t="shared" si="172"/>
        <v>7.3452750235008919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2.2737367544323206E-13</v>
      </c>
      <c r="CU179" s="17">
        <f>CT179*VLOOKUP('Données projet'!$B$13,Paramètres!$A$1:$I$89,3,0)*VLOOKUP('Données projet'!$B$13,Paramètres!$A$1:$I$89,5,0)</f>
        <v>1.5252226148732008E-13</v>
      </c>
      <c r="CV179" s="13">
        <f t="shared" si="173"/>
        <v>2.1814502464536512E-12</v>
      </c>
      <c r="CW179" s="20">
        <f t="shared" si="174"/>
        <v>4.0650021179971913E-12</v>
      </c>
      <c r="CX179" s="59">
        <f t="shared" si="122"/>
        <v>289.1204014738417</v>
      </c>
      <c r="CY179" s="59">
        <f ca="1">AVERAGE(OFFSET($CX$3,0,0,'Données projet'!$E$13+1,1))-AVERAGE(OFFSET($H$3,0,0,'Données projet'!$E$13+1,1))</f>
        <v>335.73816489539837</v>
      </c>
      <c r="CZ179" s="59">
        <f t="shared" si="150"/>
        <v>254.09787950201044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10.136920235664856</v>
      </c>
      <c r="DG179" s="21">
        <f>EXP(-LN(2)/25)*DG178+(1-EXP(-LN(2)/25))/(LN(2)/25)*Calculateur!DB179*Calculateur!DD179*VLOOKUP('Données projet'!$B$13,Paramètres!$A$1:$I$89,3,0)*0.475*44/12</f>
        <v>6.082402484529001</v>
      </c>
      <c r="DH179" s="21">
        <f>EXP(-LN(2)/2)*DH178+(1-EXP(-LN(2)/2))/(LN(2)/2)*DB179*DE179*VLOOKUP('Données projet'!$B$13,Paramètres!$A$1:$I$89,3,0)*0.475*44/12</f>
        <v>5.6991860711143485E-9</v>
      </c>
      <c r="DI179" s="22">
        <f t="shared" si="175"/>
        <v>16.219322725893043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2.5579538487363607E-13</v>
      </c>
      <c r="DP179" s="17">
        <f>DO179*VLOOKUP('Données projet'!$B$14,Paramètres!$A$1:$I$89,3,0)*VLOOKUP('Données projet'!$B$14,Paramètres!$A$1:$I$89,5,0)</f>
        <v>2.4740529624978082E-13</v>
      </c>
      <c r="DQ179" s="13">
        <f t="shared" si="176"/>
        <v>3.3447853361996459E-12</v>
      </c>
      <c r="DR179" s="20">
        <f t="shared" si="177"/>
        <v>6.2563986848494188E-12</v>
      </c>
      <c r="DS179" s="59">
        <f t="shared" si="125"/>
        <v>289.12040147384386</v>
      </c>
      <c r="DT179" s="59">
        <f ca="1">AVERAGE(OFFSET($DS$3,0,0,'Données projet'!$E$14+1,1))-AVERAGE(OFFSET($H$3,0,0,'Données projet'!$E$14+1,1))</f>
        <v>493.03862850474161</v>
      </c>
      <c r="DU179" s="59">
        <f t="shared" si="152"/>
        <v>312.51819065560528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48.559516605018999</v>
      </c>
      <c r="EB179" s="21">
        <f>EXP(-LN(2)/25)*EB178+(1-EXP(-LN(2)/25))/(LN(2)/25)*Calculateur!DW179*Calculateur!DY179*VLOOKUP('Données projet'!$B$14,Paramètres!$A$1:$I$89,3,0)*0.475*44/12</f>
        <v>7.0290070292158466</v>
      </c>
      <c r="EC179" s="21">
        <f>EXP(-LN(2)/2)*EC178+(1-EXP(-LN(2)/2))/(LN(2)/2)*DW179*DZ179*VLOOKUP('Données projet'!$B$14,Paramètres!$A$1:$I$89,3,0)*0.475*44/12</f>
        <v>8.6770590480926819E-7</v>
      </c>
      <c r="ED179" s="22">
        <f t="shared" si="178"/>
        <v>55.588524501940753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2.5579538487363607E-13</v>
      </c>
      <c r="EK179" s="17">
        <f>EJ179*VLOOKUP('Données projet'!$B$15,Paramètres!$A$1:$I$89,3,0)*VLOOKUP('Données projet'!$B$15,Paramètres!$A$1:$I$89,5,0)</f>
        <v>2.7533815227798186E-13</v>
      </c>
      <c r="EL179" s="13">
        <f t="shared" si="179"/>
        <v>3.6763598146902537E-12</v>
      </c>
      <c r="EM179" s="20">
        <f t="shared" si="180"/>
        <v>6.88254062580301E-12</v>
      </c>
      <c r="EN179" s="59">
        <f t="shared" si="128"/>
        <v>289.12040147384448</v>
      </c>
      <c r="EO179" s="59">
        <f ca="1">AVERAGE(OFFSET($EN$3,0,0,'Données projet'!$E$15+1,1))-AVERAGE(OFFSET($H$3,0,0,'Données projet'!$E$15+1,1))</f>
        <v>539.72194201710272</v>
      </c>
      <c r="EP179" s="59">
        <f t="shared" si="154"/>
        <v>340.76505385159362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54.042042673327593</v>
      </c>
      <c r="EW179" s="21">
        <f>EXP(-LN(2)/25)*EW178+(1-EXP(-LN(2)/25))/(LN(2)/25)*Calculateur!ER179*Calculateur!ET179*VLOOKUP('Données projet'!$B$15,Paramètres!$A$1:$I$89,3,0)*0.475*44/12</f>
        <v>7.8226045970305336</v>
      </c>
      <c r="EX179" s="21">
        <f>EXP(-LN(2)/2)*EX178+(1-EXP(-LN(2)/2))/(LN(2)/2)*ER179*EU179*VLOOKUP('Données projet'!$B$15,Paramètres!$A$1:$I$89,3,0)*0.475*44/12</f>
        <v>9.6567270051353891E-7</v>
      </c>
      <c r="EY179" s="22">
        <f t="shared" si="181"/>
        <v>61.864648236030824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>
        <f>FE179*VLOOKUP('Données projet'!$B$16,Paramètres!$A$1:$I$89,3,0)*VLOOKUP('Données projet'!$B$16,Paramètres!$A$1:$I$89,5,0)</f>
        <v>0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383.47860767209028</v>
      </c>
      <c r="FK179" s="59">
        <f t="shared" si="156"/>
        <v>370.49129421395628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7.917801589382675</v>
      </c>
      <c r="FR179" s="21">
        <f>EXP(-LN(2)/25)*FR178+(1-EXP(-LN(2)/25))/(LN(2)/25)*Calculateur!FM179*Calculateur!FO179*VLOOKUP('Données projet'!$B$16,Paramètres!$A$1:$I$89,3,0)*0.475*44/12</f>
        <v>3.6542338673605164</v>
      </c>
      <c r="FS179" s="21">
        <f>EXP(-LN(2)/2)*FS178+(1-EXP(-LN(2)/2))/(LN(2)/2)*FM179*FP179*VLOOKUP('Données projet'!$B$16,Paramètres!$A$1:$I$89,3,0)*0.475*44/12</f>
        <v>2.261134166268081E-13</v>
      </c>
      <c r="FT179" s="22">
        <f t="shared" si="184"/>
        <v>11.572035456743416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7.688333333333337</v>
      </c>
      <c r="FZ179" s="12">
        <f>IF('Données projet'!$A$244&gt;35,FZ178+FY179-GH178,IF(A179&lt;'Données projet'!$A$244,$FW$205^A179,IF(A179='Données projet'!$A$244,'Données projet'!$B$244,FZ178+FY179-GH178)))</f>
        <v>425.78666666666635</v>
      </c>
      <c r="GA179" s="17">
        <f>FZ179*VLOOKUP('Données projet'!$B$17,Paramètres!$A$1:$I$89,3,0)*VLOOKUP('Données projet'!$B$17,Paramètres!$A$1:$I$89,5,0)</f>
        <v>484.88585599999959</v>
      </c>
      <c r="GB179" s="13">
        <f t="shared" si="185"/>
        <v>108.78853822373283</v>
      </c>
      <c r="GC179" s="20">
        <f t="shared" si="186"/>
        <v>1033.9829032730006</v>
      </c>
      <c r="GD179" s="59">
        <f t="shared" si="134"/>
        <v>1323.1033047468381</v>
      </c>
      <c r="GE179" s="59">
        <f ca="1">AVERAGE(OFFSET($GD$3,0,0,'Données projet'!$E$17+1,1))-AVERAGE(OFFSET($H$3,0,0,'Données projet'!$E$17+1,1))</f>
        <v>640.05156427113661</v>
      </c>
      <c r="GF179" s="59">
        <f t="shared" si="158"/>
        <v>308.77220155372902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48.283501770509616</v>
      </c>
      <c r="GM179" s="21">
        <f>EXP(-LN(2)/25)*GM178+(1-EXP(-LN(2)/25))/(LN(2)/25)*Calculateur!GH179*Calculateur!GJ179*VLOOKUP('Données projet'!$B$17,Paramètres!$A$1:$I$89,3,0)*0.475*44/12</f>
        <v>20.912046071629184</v>
      </c>
      <c r="GN179" s="21">
        <f>EXP(-LN(2)/2)*GN178+(1-EXP(-LN(2)/2))/(LN(2)/2)*GH179*GK179*VLOOKUP('Données projet'!$B$17,Paramètres!$A$1:$I$89,3,0)*0.475*44/12</f>
        <v>1.0121573224947601E-4</v>
      </c>
      <c r="GO179" s="21">
        <f t="shared" si="187"/>
        <v>69.195649057871051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4.7884896048344674E-14</v>
      </c>
      <c r="P180" s="13">
        <f t="shared" si="141"/>
        <v>7.8374629847779921E-13</v>
      </c>
      <c r="Q180" s="20">
        <f t="shared" si="162"/>
        <v>1.4484243304663672E-12</v>
      </c>
      <c r="R180" s="59">
        <f t="shared" si="109"/>
        <v>289.19348642289668</v>
      </c>
      <c r="S180" s="59">
        <f ca="1">AVERAGE(OFFSET($R$3,0,0,'Données projet'!$E$9+1,1))-AVERAGE(OFFSET($H$3,0,0,'Données projet'!$E$9+1,1))</f>
        <v>456.35333554128226</v>
      </c>
      <c r="T180" s="59">
        <f t="shared" si="142"/>
        <v>296.4517290984877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29.985628935029286</v>
      </c>
      <c r="AA180" s="21">
        <f>EXP(-LN(2)/25)*AA179+(1-EXP(-LN(2)/25))/(LN(2)/25)*Calculateur!V180*Calculateur!X180*VLOOKUP('Données projet'!$B$9,Paramètres!$A$1:$I$89,3,0)*0.475*44/12</f>
        <v>3.9076865239817731</v>
      </c>
      <c r="AB180" s="21">
        <f>EXP(-LN(2)/2)*AB179+(1-EXP(-LN(2)/2))/(LN(2)/2)*V180*Y180*VLOOKUP('Données projet'!$B$9,Paramètres!$A$1:$I$89,3,0)*0.475*44/12</f>
        <v>1.5276223046843063E-10</v>
      </c>
      <c r="AC180" s="22">
        <f t="shared" si="163"/>
        <v>33.893315459163816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408.246209980743</v>
      </c>
      <c r="AO180" s="59">
        <f t="shared" si="144"/>
        <v>394.10236303013903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8.3596566626429176</v>
      </c>
      <c r="AV180" s="21">
        <f>EXP(-LN(2)/25)*AV179+(1-EXP(-LN(2)/25))/(LN(2)/25)*Calculateur!AQ180*Calculateur!AS180*VLOOKUP('Données projet'!$B$10,Paramètres!$A$1:$I$89,3,0)*0.475*44/12</f>
        <v>3.8277170077889489</v>
      </c>
      <c r="AW180" s="21">
        <f>EXP(-LN(2)/2)*AW179+(1-EXP(-LN(2)/2))/(LN(2)/2)*AQ180*AT180*VLOOKUP('Données projet'!$B$10,Paramètres!$A$1:$I$89,3,0)*0.475*44/12</f>
        <v>1.7218527869207961E-13</v>
      </c>
      <c r="AX180" s="21">
        <f t="shared" si="166"/>
        <v>12.18737367043204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7.688333333333337</v>
      </c>
      <c r="BD180" s="12">
        <f>IF('Données projet'!$A$88&gt;35,BD179+BC180-BL179,IF(A180&lt;'Données projet'!$A$88,$BA$205^A180,IF(A180='Données projet'!$A$88,'Données projet'!$B$88,BD179+BC180-BL179)))</f>
        <v>433.47499999999968</v>
      </c>
      <c r="BE180" s="13">
        <f>BD180*VLOOKUP('Données projet'!$B$11,Paramètres!$A$1:$I$89,3,0)*VLOOKUP('Données projet'!$B$11,Paramètres!$A$1:$I$89,5,0)</f>
        <v>439.54364999999967</v>
      </c>
      <c r="BF180" s="13">
        <f t="shared" si="167"/>
        <v>99.749020817344601</v>
      </c>
      <c r="BG180" s="20">
        <f t="shared" si="168"/>
        <v>939.26806834020806</v>
      </c>
      <c r="BH180" s="59">
        <f t="shared" si="116"/>
        <v>1228.4615547631033</v>
      </c>
      <c r="BI180" s="59">
        <f ca="1">AVERAGE(OFFSET($BH$3,0,0,'Données projet'!$E$11+1,1))-AVERAGE(OFFSET($H$3,0,0,'Données projet'!$E$11+1,1))</f>
        <v>580.02848304986492</v>
      </c>
      <c r="BJ180" s="59">
        <f t="shared" si="146"/>
        <v>281.68891895586728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42.149109093194177</v>
      </c>
      <c r="BQ180" s="21">
        <f>EXP(-LN(2)/25)*BQ179+(1-EXP(-LN(2)/25))/(LN(2)/25)*Calculateur!BL180*Calculateur!BN180*VLOOKUP('Données projet'!$B$11,Paramètres!$A$1:$I$89,3,0)*0.475*44/12</f>
        <v>18.111141502540349</v>
      </c>
      <c r="BR180" s="21">
        <f>EXP(-LN(2)/2)*BR179+(1-EXP(-LN(2)/2))/(LN(2)/2)*BL180*BO180*VLOOKUP('Données projet'!$B$11,Paramètres!$A$1:$I$89,3,0)*0.475*44/12</f>
        <v>6.3727006731011183E-5</v>
      </c>
      <c r="BS180" s="22">
        <f t="shared" si="169"/>
        <v>60.260314322741259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4.4337866711430253E-14</v>
      </c>
      <c r="CA180" s="13">
        <f t="shared" si="170"/>
        <v>7.3222115536967035E-13</v>
      </c>
      <c r="CB180" s="20">
        <f t="shared" si="171"/>
        <v>1.3525069634579169E-12</v>
      </c>
      <c r="CC180" s="59">
        <f t="shared" si="119"/>
        <v>289.19348642289663</v>
      </c>
      <c r="CD180" s="59">
        <f ca="1">AVERAGE(OFFSET($CC$3,0,0,'Données projet'!$E$12+1,1))-AVERAGE(OFFSET($H$3,0,0,'Données projet'!$E$12+1,1))</f>
        <v>308.85018589589453</v>
      </c>
      <c r="CE180" s="59">
        <f t="shared" si="148"/>
        <v>302.59481222418219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5.0647913241509865</v>
      </c>
      <c r="CL180" s="21">
        <f>EXP(-LN(2)/25)*CL179+(1-EXP(-LN(2)/25))/(LN(2)/25)*Calculateur!CG180*Calculateur!CI180*VLOOKUP('Données projet'!$B$12,Paramètres!$A$1:$I$89,3,0)*0.475*44/12</f>
        <v>2.1195899374022837</v>
      </c>
      <c r="CM180" s="21">
        <f>EXP(-LN(2)/2)*CM179+(1-EXP(-LN(2)/2))/(LN(2)/2)*CG180*CJ180*VLOOKUP('Données projet'!$B$12,Paramètres!$A$1:$I$89,3,0)*0.475*44/12</f>
        <v>3.3726367062049946E-15</v>
      </c>
      <c r="CN180" s="22">
        <f t="shared" si="172"/>
        <v>7.1843812615532734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2.2737367544323206E-13</v>
      </c>
      <c r="CU180" s="17">
        <f>CT180*VLOOKUP('Données projet'!$B$13,Paramètres!$A$1:$I$89,3,0)*VLOOKUP('Données projet'!$B$13,Paramètres!$A$1:$I$89,5,0)</f>
        <v>1.5252226148732008E-13</v>
      </c>
      <c r="CV180" s="13">
        <f t="shared" si="173"/>
        <v>2.1814502464536512E-12</v>
      </c>
      <c r="CW180" s="20">
        <f t="shared" si="174"/>
        <v>4.0650021179971913E-12</v>
      </c>
      <c r="CX180" s="59">
        <f t="shared" si="122"/>
        <v>289.19348642289935</v>
      </c>
      <c r="CY180" s="59">
        <f ca="1">AVERAGE(OFFSET($CX$3,0,0,'Données projet'!$E$13+1,1))-AVERAGE(OFFSET($H$3,0,0,'Données projet'!$E$13+1,1))</f>
        <v>335.73816489539837</v>
      </c>
      <c r="CZ180" s="59">
        <f t="shared" si="150"/>
        <v>254.09787950201044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9.9381414127543</v>
      </c>
      <c r="DG180" s="21">
        <f>EXP(-LN(2)/25)*DG179+(1-EXP(-LN(2)/25))/(LN(2)/25)*Calculateur!DB180*Calculateur!DD180*VLOOKUP('Données projet'!$B$13,Paramètres!$A$1:$I$89,3,0)*0.475*44/12</f>
        <v>5.91607886872991</v>
      </c>
      <c r="DH180" s="21">
        <f>EXP(-LN(2)/2)*DH179+(1-EXP(-LN(2)/2))/(LN(2)/2)*DB180*DE180*VLOOKUP('Données projet'!$B$13,Paramètres!$A$1:$I$89,3,0)*0.475*44/12</f>
        <v>4.029933118128873E-9</v>
      </c>
      <c r="DI180" s="22">
        <f t="shared" si="175"/>
        <v>15.854220285514144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2.5579538487363607E-13</v>
      </c>
      <c r="DP180" s="17">
        <f>DO180*VLOOKUP('Données projet'!$B$14,Paramètres!$A$1:$I$89,3,0)*VLOOKUP('Données projet'!$B$14,Paramètres!$A$1:$I$89,5,0)</f>
        <v>2.4740529624978082E-13</v>
      </c>
      <c r="DQ180" s="13">
        <f t="shared" si="176"/>
        <v>3.3447853361996459E-12</v>
      </c>
      <c r="DR180" s="20">
        <f t="shared" si="177"/>
        <v>6.2563986848494188E-12</v>
      </c>
      <c r="DS180" s="59">
        <f t="shared" si="125"/>
        <v>289.19348642290151</v>
      </c>
      <c r="DT180" s="59">
        <f ca="1">AVERAGE(OFFSET($DS$3,0,0,'Données projet'!$E$14+1,1))-AVERAGE(OFFSET($H$3,0,0,'Données projet'!$E$14+1,1))</f>
        <v>493.03862850474161</v>
      </c>
      <c r="DU180" s="59">
        <f t="shared" si="152"/>
        <v>312.51819065560528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47.607294102775136</v>
      </c>
      <c r="EB180" s="21">
        <f>EXP(-LN(2)/25)*EB179+(1-EXP(-LN(2)/25))/(LN(2)/25)*Calculateur!DW180*Calculateur!DY180*VLOOKUP('Données projet'!$B$14,Paramètres!$A$1:$I$89,3,0)*0.475*44/12</f>
        <v>6.8367984623625251</v>
      </c>
      <c r="EC180" s="21">
        <f>EXP(-LN(2)/2)*EC179+(1-EXP(-LN(2)/2))/(LN(2)/2)*DW180*DZ180*VLOOKUP('Données projet'!$B$14,Paramètres!$A$1:$I$89,3,0)*0.475*44/12</f>
        <v>6.1356072936624243E-7</v>
      </c>
      <c r="ED180" s="22">
        <f t="shared" si="178"/>
        <v>54.444093178698388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2.5579538487363607E-13</v>
      </c>
      <c r="EK180" s="17">
        <f>EJ180*VLOOKUP('Données projet'!$B$15,Paramètres!$A$1:$I$89,3,0)*VLOOKUP('Données projet'!$B$15,Paramètres!$A$1:$I$89,5,0)</f>
        <v>2.7533815227798186E-13</v>
      </c>
      <c r="EL180" s="13">
        <f t="shared" si="179"/>
        <v>3.6763598146902537E-12</v>
      </c>
      <c r="EM180" s="20">
        <f t="shared" si="180"/>
        <v>6.88254062580301E-12</v>
      </c>
      <c r="EN180" s="59">
        <f t="shared" si="128"/>
        <v>289.19348642290214</v>
      </c>
      <c r="EO180" s="59">
        <f ca="1">AVERAGE(OFFSET($EN$3,0,0,'Données projet'!$E$15+1,1))-AVERAGE(OFFSET($H$3,0,0,'Données projet'!$E$15+1,1))</f>
        <v>539.72194201710272</v>
      </c>
      <c r="EP180" s="59">
        <f t="shared" si="154"/>
        <v>340.76505385159362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52.982311178894903</v>
      </c>
      <c r="EW180" s="21">
        <f>EXP(-LN(2)/25)*EW179+(1-EXP(-LN(2)/25))/(LN(2)/25)*Calculateur!ER180*Calculateur!ET180*VLOOKUP('Données projet'!$B$15,Paramètres!$A$1:$I$89,3,0)*0.475*44/12</f>
        <v>7.6086950629518366</v>
      </c>
      <c r="EX180" s="21">
        <f>EXP(-LN(2)/2)*EX179+(1-EXP(-LN(2)/2))/(LN(2)/2)*ER180*EU180*VLOOKUP('Données projet'!$B$15,Paramètres!$A$1:$I$89,3,0)*0.475*44/12</f>
        <v>6.8283371493984939E-7</v>
      </c>
      <c r="EY180" s="22">
        <f t="shared" si="181"/>
        <v>60.591006924680457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>
        <f>FE180*VLOOKUP('Données projet'!$B$16,Paramètres!$A$1:$I$89,3,0)*VLOOKUP('Données projet'!$B$16,Paramètres!$A$1:$I$89,5,0)</f>
        <v>0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383.47860767209028</v>
      </c>
      <c r="FK180" s="59">
        <f t="shared" si="156"/>
        <v>370.49129421395628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7.7625383295969881</v>
      </c>
      <c r="FR180" s="21">
        <f>EXP(-LN(2)/25)*FR179+(1-EXP(-LN(2)/25))/(LN(2)/25)*Calculateur!FM180*Calculateur!FO180*VLOOKUP('Données projet'!$B$16,Paramètres!$A$1:$I$89,3,0)*0.475*44/12</f>
        <v>3.5543086500897356</v>
      </c>
      <c r="FS180" s="21">
        <f>EXP(-LN(2)/2)*FS179+(1-EXP(-LN(2)/2))/(LN(2)/2)*FM180*FP180*VLOOKUP('Données projet'!$B$16,Paramètres!$A$1:$I$89,3,0)*0.475*44/12</f>
        <v>1.5988633021407507E-13</v>
      </c>
      <c r="FT180" s="22">
        <f t="shared" si="184"/>
        <v>11.316846979686883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7.688333333333337</v>
      </c>
      <c r="FZ180" s="12">
        <f>IF('Données projet'!$A$244&gt;35,FZ179+FY180-GH179,IF(A180&lt;'Données projet'!$A$244,$FW$205^A180,IF(A180='Données projet'!$A$244,'Données projet'!$B$244,FZ179+FY180-GH179)))</f>
        <v>433.47499999999968</v>
      </c>
      <c r="GA180" s="17">
        <f>FZ180*VLOOKUP('Données projet'!$B$17,Paramètres!$A$1:$I$89,3,0)*VLOOKUP('Données projet'!$B$17,Paramètres!$A$1:$I$89,5,0)</f>
        <v>493.64132999999958</v>
      </c>
      <c r="GB180" s="13">
        <f t="shared" si="185"/>
        <v>110.52244360410316</v>
      </c>
      <c r="GC180" s="20">
        <f t="shared" si="186"/>
        <v>1052.2519056938124</v>
      </c>
      <c r="GD180" s="59">
        <f t="shared" si="134"/>
        <v>1341.4453921167078</v>
      </c>
      <c r="GE180" s="59">
        <f ca="1">AVERAGE(OFFSET($GD$3,0,0,'Données projet'!$E$17+1,1))-AVERAGE(OFFSET($H$3,0,0,'Données projet'!$E$17+1,1))</f>
        <v>640.05156427113661</v>
      </c>
      <c r="GF180" s="59">
        <f t="shared" si="158"/>
        <v>308.77220155372902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47.336691750818055</v>
      </c>
      <c r="GM180" s="21">
        <f>EXP(-LN(2)/25)*GM179+(1-EXP(-LN(2)/25))/(LN(2)/25)*Calculateur!GH180*Calculateur!GJ180*VLOOKUP('Données projet'!$B$17,Paramètres!$A$1:$I$89,3,0)*0.475*44/12</f>
        <v>20.340205072083776</v>
      </c>
      <c r="GN180" s="21">
        <f>EXP(-LN(2)/2)*GN179+(1-EXP(-LN(2)/2))/(LN(2)/2)*GH180*GK180*VLOOKUP('Données projet'!$B$17,Paramètres!$A$1:$I$89,3,0)*0.475*44/12</f>
        <v>7.1570330636366411E-5</v>
      </c>
      <c r="GO180" s="21">
        <f t="shared" si="187"/>
        <v>67.676968393232457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4.7884896048344674E-14</v>
      </c>
      <c r="P181" s="13">
        <f t="shared" si="141"/>
        <v>7.8374629847779921E-13</v>
      </c>
      <c r="Q181" s="20">
        <f t="shared" si="162"/>
        <v>1.4484243304663672E-12</v>
      </c>
      <c r="R181" s="59">
        <f t="shared" si="109"/>
        <v>289.26530351148159</v>
      </c>
      <c r="S181" s="59">
        <f ca="1">AVERAGE(OFFSET($R$3,0,0,'Données projet'!$E$9+1,1))-AVERAGE(OFFSET($H$3,0,0,'Données projet'!$E$9+1,1))</f>
        <v>456.35333554128226</v>
      </c>
      <c r="T181" s="59">
        <f t="shared" si="142"/>
        <v>296.4517290984877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29.397629041041082</v>
      </c>
      <c r="AA181" s="21">
        <f>EXP(-LN(2)/25)*AA180+(1-EXP(-LN(2)/25))/(LN(2)/25)*Calculateur!V181*Calculateur!X181*VLOOKUP('Données projet'!$B$9,Paramètres!$A$1:$I$89,3,0)*0.475*44/12</f>
        <v>3.8008306304871882</v>
      </c>
      <c r="AB181" s="21">
        <f>EXP(-LN(2)/2)*AB180+(1-EXP(-LN(2)/2))/(LN(2)/2)*V181*Y181*VLOOKUP('Données projet'!$B$9,Paramètres!$A$1:$I$89,3,0)*0.475*44/12</f>
        <v>1.0801920907340952E-10</v>
      </c>
      <c r="AC181" s="22">
        <f t="shared" si="163"/>
        <v>33.198459671636286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408.246209980743</v>
      </c>
      <c r="AO181" s="59">
        <f t="shared" si="144"/>
        <v>394.10236303013903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8.1957288943755806</v>
      </c>
      <c r="AV181" s="21">
        <f>EXP(-LN(2)/25)*AV180+(1-EXP(-LN(2)/25))/(LN(2)/25)*Calculateur!AQ181*Calculateur!AS181*VLOOKUP('Données projet'!$B$10,Paramètres!$A$1:$I$89,3,0)*0.475*44/12</f>
        <v>3.7230478849200708</v>
      </c>
      <c r="AW181" s="21">
        <f>EXP(-LN(2)/2)*AW180+(1-EXP(-LN(2)/2))/(LN(2)/2)*AQ181*AT181*VLOOKUP('Données projet'!$B$10,Paramètres!$A$1:$I$89,3,0)*0.475*44/12</f>
        <v>1.2175337818366504E-13</v>
      </c>
      <c r="AX181" s="21">
        <f t="shared" si="166"/>
        <v>11.918776779295774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7.688333333333337</v>
      </c>
      <c r="BD181" s="12">
        <f>IF('Données projet'!$A$88&gt;35,BD180+BC181-BL180,IF(A181&lt;'Données projet'!$A$88,$BA$205^A181,IF(A181='Données projet'!$A$88,'Données projet'!$B$88,BD180+BC181-BL180)))</f>
        <v>441.16333333333301</v>
      </c>
      <c r="BE181" s="13">
        <f>BD181*VLOOKUP('Données projet'!$B$11,Paramètres!$A$1:$I$89,3,0)*VLOOKUP('Données projet'!$B$11,Paramètres!$A$1:$I$89,5,0)</f>
        <v>447.33961999999968</v>
      </c>
      <c r="BF181" s="13">
        <f t="shared" si="167"/>
        <v>101.31068228028938</v>
      </c>
      <c r="BG181" s="20">
        <f t="shared" si="168"/>
        <v>955.56594313817016</v>
      </c>
      <c r="BH181" s="59">
        <f t="shared" si="116"/>
        <v>1244.8312466496504</v>
      </c>
      <c r="BI181" s="59">
        <f ca="1">AVERAGE(OFFSET($BH$3,0,0,'Données projet'!$E$11+1,1))-AVERAGE(OFFSET($H$3,0,0,'Données projet'!$E$11+1,1))</f>
        <v>580.02848304986492</v>
      </c>
      <c r="BJ181" s="59">
        <f t="shared" si="146"/>
        <v>281.68891895586728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41.322590772294689</v>
      </c>
      <c r="BQ181" s="21">
        <f>EXP(-LN(2)/25)*BQ180+(1-EXP(-LN(2)/25))/(LN(2)/25)*Calculateur!BL181*Calculateur!BN181*VLOOKUP('Données projet'!$B$11,Paramètres!$A$1:$I$89,3,0)*0.475*44/12</f>
        <v>17.615891385729846</v>
      </c>
      <c r="BR181" s="21">
        <f>EXP(-LN(2)/2)*BR180+(1-EXP(-LN(2)/2))/(LN(2)/2)*BL181*BO181*VLOOKUP('Données projet'!$B$11,Paramètres!$A$1:$I$89,3,0)*0.475*44/12</f>
        <v>4.5061798604218766E-5</v>
      </c>
      <c r="BS181" s="22">
        <f t="shared" si="169"/>
        <v>58.938527219823136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4.4337866711430253E-14</v>
      </c>
      <c r="CA181" s="13">
        <f t="shared" si="170"/>
        <v>7.3222115536967035E-13</v>
      </c>
      <c r="CB181" s="20">
        <f t="shared" si="171"/>
        <v>1.3525069634579169E-12</v>
      </c>
      <c r="CC181" s="59">
        <f t="shared" si="119"/>
        <v>289.26530351148153</v>
      </c>
      <c r="CD181" s="59">
        <f ca="1">AVERAGE(OFFSET($CC$3,0,0,'Données projet'!$E$12+1,1))-AVERAGE(OFFSET($H$3,0,0,'Données projet'!$E$12+1,1))</f>
        <v>308.85018589589453</v>
      </c>
      <c r="CE181" s="59">
        <f t="shared" si="148"/>
        <v>302.59481222418219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4.9654738555020588</v>
      </c>
      <c r="CL181" s="21">
        <f>EXP(-LN(2)/25)*CL180+(1-EXP(-LN(2)/25))/(LN(2)/25)*Calculateur!CG181*Calculateur!CI181*VLOOKUP('Données projet'!$B$12,Paramètres!$A$1:$I$89,3,0)*0.475*44/12</f>
        <v>2.0616296390996278</v>
      </c>
      <c r="CM181" s="21">
        <f>EXP(-LN(2)/2)*CM180+(1-EXP(-LN(2)/2))/(LN(2)/2)*CG181*CJ181*VLOOKUP('Données projet'!$B$12,Paramètres!$A$1:$I$89,3,0)*0.475*44/12</f>
        <v>2.3848142854362135E-15</v>
      </c>
      <c r="CN181" s="22">
        <f t="shared" si="172"/>
        <v>7.0271034946016888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2.2737367544323206E-13</v>
      </c>
      <c r="CU181" s="17">
        <f>CT181*VLOOKUP('Données projet'!$B$13,Paramètres!$A$1:$I$89,3,0)*VLOOKUP('Données projet'!$B$13,Paramètres!$A$1:$I$89,5,0)</f>
        <v>1.5252226148732008E-13</v>
      </c>
      <c r="CV181" s="13">
        <f t="shared" si="173"/>
        <v>2.1814502464536512E-12</v>
      </c>
      <c r="CW181" s="20">
        <f t="shared" si="174"/>
        <v>4.0650021179971913E-12</v>
      </c>
      <c r="CX181" s="59">
        <f t="shared" si="122"/>
        <v>289.26530351148426</v>
      </c>
      <c r="CY181" s="59">
        <f ca="1">AVERAGE(OFFSET($CX$3,0,0,'Données projet'!$E$13+1,1))-AVERAGE(OFFSET($H$3,0,0,'Données projet'!$E$13+1,1))</f>
        <v>335.73816489539837</v>
      </c>
      <c r="CZ181" s="59">
        <f t="shared" si="150"/>
        <v>254.09787950201044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9.7432605213179091</v>
      </c>
      <c r="DG181" s="21">
        <f>EXP(-LN(2)/25)*DG180+(1-EXP(-LN(2)/25))/(LN(2)/25)*Calculateur!DB181*Calculateur!DD181*VLOOKUP('Données projet'!$B$13,Paramètres!$A$1:$I$89,3,0)*0.475*44/12</f>
        <v>5.7543033809514244</v>
      </c>
      <c r="DH181" s="21">
        <f>EXP(-LN(2)/2)*DH180+(1-EXP(-LN(2)/2))/(LN(2)/2)*DB181*DE181*VLOOKUP('Données projet'!$B$13,Paramètres!$A$1:$I$89,3,0)*0.475*44/12</f>
        <v>2.8495930355571742E-9</v>
      </c>
      <c r="DI181" s="22">
        <f t="shared" si="175"/>
        <v>15.497563905118927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2.5579538487363607E-13</v>
      </c>
      <c r="DP181" s="17">
        <f>DO181*VLOOKUP('Données projet'!$B$14,Paramètres!$A$1:$I$89,3,0)*VLOOKUP('Données projet'!$B$14,Paramètres!$A$1:$I$89,5,0)</f>
        <v>2.4740529624978082E-13</v>
      </c>
      <c r="DQ181" s="13">
        <f t="shared" si="176"/>
        <v>3.3447853361996459E-12</v>
      </c>
      <c r="DR181" s="20">
        <f t="shared" si="177"/>
        <v>6.2563986848494188E-12</v>
      </c>
      <c r="DS181" s="59">
        <f t="shared" si="125"/>
        <v>289.26530351148642</v>
      </c>
      <c r="DT181" s="59">
        <f ca="1">AVERAGE(OFFSET($DS$3,0,0,'Données projet'!$E$14+1,1))-AVERAGE(OFFSET($H$3,0,0,'Données projet'!$E$14+1,1))</f>
        <v>493.03862850474161</v>
      </c>
      <c r="DU181" s="59">
        <f t="shared" si="152"/>
        <v>312.51819065560528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46.673744103001894</v>
      </c>
      <c r="EB181" s="21">
        <f>EXP(-LN(2)/25)*EB180+(1-EXP(-LN(2)/25))/(LN(2)/25)*Calculateur!DW181*Calculateur!DY181*VLOOKUP('Données projet'!$B$14,Paramètres!$A$1:$I$89,3,0)*0.475*44/12</f>
        <v>6.6498458488776162</v>
      </c>
      <c r="EC181" s="21">
        <f>EXP(-LN(2)/2)*EC180+(1-EXP(-LN(2)/2))/(LN(2)/2)*DW181*DZ181*VLOOKUP('Données projet'!$B$14,Paramètres!$A$1:$I$89,3,0)*0.475*44/12</f>
        <v>4.338529524046341E-7</v>
      </c>
      <c r="ED181" s="22">
        <f t="shared" si="178"/>
        <v>53.323590385732466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2.5579538487363607E-13</v>
      </c>
      <c r="EK181" s="17">
        <f>EJ181*VLOOKUP('Données projet'!$B$15,Paramètres!$A$1:$I$89,3,0)*VLOOKUP('Données projet'!$B$15,Paramètres!$A$1:$I$89,5,0)</f>
        <v>2.7533815227798186E-13</v>
      </c>
      <c r="EL181" s="13">
        <f t="shared" si="179"/>
        <v>3.6763598146902537E-12</v>
      </c>
      <c r="EM181" s="20">
        <f t="shared" si="180"/>
        <v>6.88254062580301E-12</v>
      </c>
      <c r="EN181" s="59">
        <f t="shared" si="128"/>
        <v>289.26530351148705</v>
      </c>
      <c r="EO181" s="59">
        <f ca="1">AVERAGE(OFFSET($EN$3,0,0,'Données projet'!$E$15+1,1))-AVERAGE(OFFSET($H$3,0,0,'Données projet'!$E$15+1,1))</f>
        <v>539.72194201710272</v>
      </c>
      <c r="EP181" s="59">
        <f t="shared" si="154"/>
        <v>340.76505385159362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51.943360372695651</v>
      </c>
      <c r="EW181" s="21">
        <f>EXP(-LN(2)/25)*EW180+(1-EXP(-LN(2)/25))/(LN(2)/25)*Calculateur!ER181*Calculateur!ET181*VLOOKUP('Données projet'!$B$15,Paramètres!$A$1:$I$89,3,0)*0.475*44/12</f>
        <v>7.4006348963315354</v>
      </c>
      <c r="EX181" s="21">
        <f>EXP(-LN(2)/2)*EX180+(1-EXP(-LN(2)/2))/(LN(2)/2)*ER181*EU181*VLOOKUP('Données projet'!$B$15,Paramètres!$A$1:$I$89,3,0)*0.475*44/12</f>
        <v>4.8283635025676946E-7</v>
      </c>
      <c r="EY181" s="22">
        <f t="shared" si="181"/>
        <v>59.343995751863538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>
        <f>FE181*VLOOKUP('Données projet'!$B$16,Paramètres!$A$1:$I$89,3,0)*VLOOKUP('Données projet'!$B$16,Paramètres!$A$1:$I$89,5,0)</f>
        <v>0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383.47860767209028</v>
      </c>
      <c r="FK181" s="59">
        <f t="shared" si="156"/>
        <v>370.49129421395628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7.610319687634461</v>
      </c>
      <c r="FR181" s="21">
        <f>EXP(-LN(2)/25)*FR180+(1-EXP(-LN(2)/25))/(LN(2)/25)*Calculateur!FM181*Calculateur!FO181*VLOOKUP('Données projet'!$B$16,Paramètres!$A$1:$I$89,3,0)*0.475*44/12</f>
        <v>3.4571158931400632</v>
      </c>
      <c r="FS181" s="21">
        <f>EXP(-LN(2)/2)*FS180+(1-EXP(-LN(2)/2))/(LN(2)/2)*FM181*FP181*VLOOKUP('Données projet'!$B$16,Paramètres!$A$1:$I$89,3,0)*0.475*44/12</f>
        <v>1.1305670831340407E-13</v>
      </c>
      <c r="FT181" s="22">
        <f t="shared" si="184"/>
        <v>11.067435580774639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7.688333333333337</v>
      </c>
      <c r="FZ181" s="12">
        <f>IF('Données projet'!$A$244&gt;35,FZ180+FY181-GH180,IF(A181&lt;'Données projet'!$A$244,$FW$205^A181,IF(A181='Données projet'!$A$244,'Données projet'!$B$244,FZ180+FY181-GH180)))</f>
        <v>441.16333333333301</v>
      </c>
      <c r="GA181" s="17">
        <f>FZ181*VLOOKUP('Données projet'!$B$17,Paramètres!$A$1:$I$89,3,0)*VLOOKUP('Données projet'!$B$17,Paramètres!$A$1:$I$89,5,0)</f>
        <v>502.39680399999969</v>
      </c>
      <c r="GB181" s="13">
        <f t="shared" si="185"/>
        <v>112.25277277979573</v>
      </c>
      <c r="GC181" s="20">
        <f t="shared" si="186"/>
        <v>1070.5146795581438</v>
      </c>
      <c r="GD181" s="59">
        <f t="shared" si="134"/>
        <v>1359.779983069624</v>
      </c>
      <c r="GE181" s="59">
        <f ca="1">AVERAGE(OFFSET($GD$3,0,0,'Données projet'!$E$17+1,1))-AVERAGE(OFFSET($H$3,0,0,'Données projet'!$E$17+1,1))</f>
        <v>640.05156427113661</v>
      </c>
      <c r="GF181" s="59">
        <f t="shared" si="158"/>
        <v>308.77220155372902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46.408448098115556</v>
      </c>
      <c r="GM181" s="21">
        <f>EXP(-LN(2)/25)*GM180+(1-EXP(-LN(2)/25))/(LN(2)/25)*Calculateur!GH181*Calculateur!GJ181*VLOOKUP('Données projet'!$B$17,Paramètres!$A$1:$I$89,3,0)*0.475*44/12</f>
        <v>19.784001094742749</v>
      </c>
      <c r="GN181" s="21">
        <f>EXP(-LN(2)/2)*GN180+(1-EXP(-LN(2)/2))/(LN(2)/2)*GH181*GK181*VLOOKUP('Données projet'!$B$17,Paramètres!$A$1:$I$89,3,0)*0.475*44/12</f>
        <v>5.0607866124738003E-5</v>
      </c>
      <c r="GO181" s="21">
        <f t="shared" si="187"/>
        <v>66.192499800724434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4.7884896048344674E-14</v>
      </c>
      <c r="P182" s="13">
        <f t="shared" si="141"/>
        <v>7.8374629847779921E-13</v>
      </c>
      <c r="Q182" s="20">
        <f t="shared" si="162"/>
        <v>1.4484243304663672E-12</v>
      </c>
      <c r="R182" s="59">
        <f t="shared" si="109"/>
        <v>289.33587473413854</v>
      </c>
      <c r="S182" s="59">
        <f ca="1">AVERAGE(OFFSET($R$3,0,0,'Données projet'!$E$9+1,1))-AVERAGE(OFFSET($H$3,0,0,'Données projet'!$E$9+1,1))</f>
        <v>456.35333554128226</v>
      </c>
      <c r="T182" s="59">
        <f t="shared" si="142"/>
        <v>296.4517290984877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28.821159466329462</v>
      </c>
      <c r="AA182" s="21">
        <f>EXP(-LN(2)/25)*AA181+(1-EXP(-LN(2)/25))/(LN(2)/25)*Calculateur!V182*Calculateur!X182*VLOOKUP('Données projet'!$B$9,Paramètres!$A$1:$I$89,3,0)*0.475*44/12</f>
        <v>3.6968967170195199</v>
      </c>
      <c r="AB182" s="21">
        <f>EXP(-LN(2)/2)*AB181+(1-EXP(-LN(2)/2))/(LN(2)/2)*V182*Y182*VLOOKUP('Données projet'!$B$9,Paramètres!$A$1:$I$89,3,0)*0.475*44/12</f>
        <v>7.6381115234215314E-11</v>
      </c>
      <c r="AC182" s="22">
        <f t="shared" si="163"/>
        <v>32.518056183425365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408.246209980743</v>
      </c>
      <c r="AO182" s="59">
        <f t="shared" si="144"/>
        <v>394.10236303013903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8.0350156496579004</v>
      </c>
      <c r="AV182" s="21">
        <f>EXP(-LN(2)/25)*AV181+(1-EXP(-LN(2)/25))/(LN(2)/25)*Calculateur!AQ182*Calculateur!AS182*VLOOKUP('Données projet'!$B$10,Paramètres!$A$1:$I$89,3,0)*0.475*44/12</f>
        <v>3.6212409447203524</v>
      </c>
      <c r="AW182" s="21">
        <f>EXP(-LN(2)/2)*AW181+(1-EXP(-LN(2)/2))/(LN(2)/2)*AQ182*AT182*VLOOKUP('Données projet'!$B$10,Paramètres!$A$1:$I$89,3,0)*0.475*44/12</f>
        <v>8.6092639346039807E-14</v>
      </c>
      <c r="AX182" s="21">
        <f t="shared" si="166"/>
        <v>11.656256594378338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7.688333333333337</v>
      </c>
      <c r="BD182" s="12">
        <f>IF('Données projet'!$A$88&gt;35,BD181+BC182-BL181,IF(A182&lt;'Données projet'!$A$88,$BA$205^A182,IF(A182='Données projet'!$A$88,'Données projet'!$B$88,BD181+BC182-BL181)))</f>
        <v>448.85166666666635</v>
      </c>
      <c r="BE182" s="13">
        <f>BD182*VLOOKUP('Données projet'!$B$11,Paramètres!$A$1:$I$89,3,0)*VLOOKUP('Données projet'!$B$11,Paramètres!$A$1:$I$89,5,0)</f>
        <v>455.13558999999975</v>
      </c>
      <c r="BF182" s="13">
        <f t="shared" si="167"/>
        <v>102.86917887604061</v>
      </c>
      <c r="BG182" s="20">
        <f t="shared" si="168"/>
        <v>971.85830579243668</v>
      </c>
      <c r="BH182" s="59">
        <f t="shared" si="116"/>
        <v>1261.1941805265737</v>
      </c>
      <c r="BI182" s="59">
        <f ca="1">AVERAGE(OFFSET($BH$3,0,0,'Données projet'!$E$11+1,1))-AVERAGE(OFFSET($H$3,0,0,'Données projet'!$E$11+1,1))</f>
        <v>580.02848304986492</v>
      </c>
      <c r="BJ182" s="59">
        <f t="shared" si="146"/>
        <v>281.68891895586728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40.512279971541645</v>
      </c>
      <c r="BQ182" s="21">
        <f>EXP(-LN(2)/25)*BQ181+(1-EXP(-LN(2)/25))/(LN(2)/25)*Calculateur!BL182*Calculateur!BN182*VLOOKUP('Données projet'!$B$11,Paramètres!$A$1:$I$89,3,0)*0.475*44/12</f>
        <v>17.134183909407597</v>
      </c>
      <c r="BR182" s="21">
        <f>EXP(-LN(2)/2)*BR181+(1-EXP(-LN(2)/2))/(LN(2)/2)*BL182*BO182*VLOOKUP('Données projet'!$B$11,Paramètres!$A$1:$I$89,3,0)*0.475*44/12</f>
        <v>3.1863503365505592E-5</v>
      </c>
      <c r="BS182" s="22">
        <f t="shared" si="169"/>
        <v>57.646495744452608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4.4337866711430253E-14</v>
      </c>
      <c r="CA182" s="13">
        <f t="shared" si="170"/>
        <v>7.3222115536967035E-13</v>
      </c>
      <c r="CB182" s="20">
        <f t="shared" si="171"/>
        <v>1.3525069634579169E-12</v>
      </c>
      <c r="CC182" s="59">
        <f t="shared" si="119"/>
        <v>289.33587473413849</v>
      </c>
      <c r="CD182" s="59">
        <f ca="1">AVERAGE(OFFSET($CC$3,0,0,'Données projet'!$E$12+1,1))-AVERAGE(OFFSET($H$3,0,0,'Données projet'!$E$12+1,1))</f>
        <v>308.85018589589453</v>
      </c>
      <c r="CE182" s="59">
        <f t="shared" si="148"/>
        <v>302.59481222418219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4.8681039418356615</v>
      </c>
      <c r="CL182" s="21">
        <f>EXP(-LN(2)/25)*CL181+(1-EXP(-LN(2)/25))/(LN(2)/25)*Calculateur!CG182*Calculateur!CI182*VLOOKUP('Données projet'!$B$12,Paramètres!$A$1:$I$89,3,0)*0.475*44/12</f>
        <v>2.0052542682020578</v>
      </c>
      <c r="CM182" s="21">
        <f>EXP(-LN(2)/2)*CM181+(1-EXP(-LN(2)/2))/(LN(2)/2)*CG182*CJ182*VLOOKUP('Données projet'!$B$12,Paramètres!$A$1:$I$89,3,0)*0.475*44/12</f>
        <v>1.6863183531024973E-15</v>
      </c>
      <c r="CN182" s="22">
        <f t="shared" si="172"/>
        <v>6.8733582100377211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2.2737367544323206E-13</v>
      </c>
      <c r="CU182" s="17">
        <f>CT182*VLOOKUP('Données projet'!$B$13,Paramètres!$A$1:$I$89,3,0)*VLOOKUP('Données projet'!$B$13,Paramètres!$A$1:$I$89,5,0)</f>
        <v>1.5252226148732008E-13</v>
      </c>
      <c r="CV182" s="13">
        <f t="shared" si="173"/>
        <v>2.1814502464536512E-12</v>
      </c>
      <c r="CW182" s="20">
        <f t="shared" si="174"/>
        <v>4.0650021179971913E-12</v>
      </c>
      <c r="CX182" s="59">
        <f t="shared" si="122"/>
        <v>289.33587473414121</v>
      </c>
      <c r="CY182" s="59">
        <f ca="1">AVERAGE(OFFSET($CX$3,0,0,'Données projet'!$E$13+1,1))-AVERAGE(OFFSET($H$3,0,0,'Données projet'!$E$13+1,1))</f>
        <v>335.73816489539837</v>
      </c>
      <c r="CZ182" s="59">
        <f t="shared" si="150"/>
        <v>254.09787950201044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9.5522011252969801</v>
      </c>
      <c r="DG182" s="21">
        <f>EXP(-LN(2)/25)*DG181+(1-EXP(-LN(2)/25))/(LN(2)/25)*Calculateur!DB182*Calculateur!DD182*VLOOKUP('Données projet'!$B$13,Paramètres!$A$1:$I$89,3,0)*0.475*44/12</f>
        <v>5.5969516523936447</v>
      </c>
      <c r="DH182" s="21">
        <f>EXP(-LN(2)/2)*DH181+(1-EXP(-LN(2)/2))/(LN(2)/2)*DB182*DE182*VLOOKUP('Données projet'!$B$13,Paramètres!$A$1:$I$89,3,0)*0.475*44/12</f>
        <v>2.0149665590644365E-9</v>
      </c>
      <c r="DI182" s="22">
        <f t="shared" si="175"/>
        <v>15.14915277970559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2.5579538487363607E-13</v>
      </c>
      <c r="DP182" s="17">
        <f>DO182*VLOOKUP('Données projet'!$B$14,Paramètres!$A$1:$I$89,3,0)*VLOOKUP('Données projet'!$B$14,Paramètres!$A$1:$I$89,5,0)</f>
        <v>2.4740529624978082E-13</v>
      </c>
      <c r="DQ182" s="13">
        <f t="shared" si="176"/>
        <v>3.3447853361996459E-12</v>
      </c>
      <c r="DR182" s="20">
        <f t="shared" si="177"/>
        <v>6.2563986848494188E-12</v>
      </c>
      <c r="DS182" s="59">
        <f t="shared" si="125"/>
        <v>289.33587473414337</v>
      </c>
      <c r="DT182" s="59">
        <f ca="1">AVERAGE(OFFSET($DS$3,0,0,'Données projet'!$E$14+1,1))-AVERAGE(OFFSET($H$3,0,0,'Données projet'!$E$14+1,1))</f>
        <v>493.03862850474161</v>
      </c>
      <c r="DU182" s="59">
        <f t="shared" si="152"/>
        <v>312.51819065560528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45.75850044931493</v>
      </c>
      <c r="EB182" s="21">
        <f>EXP(-LN(2)/25)*EB181+(1-EXP(-LN(2)/25))/(LN(2)/25)*Calculateur!DW182*Calculateur!DY182*VLOOKUP('Données projet'!$B$14,Paramètres!$A$1:$I$89,3,0)*0.475*44/12</f>
        <v>6.4680054644398632</v>
      </c>
      <c r="EC182" s="21">
        <f>EXP(-LN(2)/2)*EC181+(1-EXP(-LN(2)/2))/(LN(2)/2)*DW182*DZ182*VLOOKUP('Données projet'!$B$14,Paramètres!$A$1:$I$89,3,0)*0.475*44/12</f>
        <v>3.0678036468312121E-7</v>
      </c>
      <c r="ED182" s="22">
        <f t="shared" si="178"/>
        <v>52.226506220535157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2.5579538487363607E-13</v>
      </c>
      <c r="EK182" s="17">
        <f>EJ182*VLOOKUP('Données projet'!$B$15,Paramètres!$A$1:$I$89,3,0)*VLOOKUP('Données projet'!$B$15,Paramètres!$A$1:$I$89,5,0)</f>
        <v>2.7533815227798186E-13</v>
      </c>
      <c r="EL182" s="13">
        <f t="shared" si="179"/>
        <v>3.6763598146902537E-12</v>
      </c>
      <c r="EM182" s="20">
        <f t="shared" si="180"/>
        <v>6.88254062580301E-12</v>
      </c>
      <c r="EN182" s="59">
        <f t="shared" si="128"/>
        <v>289.335874734144</v>
      </c>
      <c r="EO182" s="59">
        <f ca="1">AVERAGE(OFFSET($EN$3,0,0,'Données projet'!$E$15+1,1))-AVERAGE(OFFSET($H$3,0,0,'Données projet'!$E$15+1,1))</f>
        <v>539.72194201710272</v>
      </c>
      <c r="EP182" s="59">
        <f t="shared" si="154"/>
        <v>340.76505385159362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50.924782758108549</v>
      </c>
      <c r="EW182" s="21">
        <f>EXP(-LN(2)/25)*EW181+(1-EXP(-LN(2)/25))/(LN(2)/25)*Calculateur!ER182*Calculateur!ET182*VLOOKUP('Données projet'!$B$15,Paramètres!$A$1:$I$89,3,0)*0.475*44/12</f>
        <v>7.1982641459088743</v>
      </c>
      <c r="EX182" s="21">
        <f>EXP(-LN(2)/2)*EX181+(1-EXP(-LN(2)/2))/(LN(2)/2)*ER182*EU182*VLOOKUP('Données projet'!$B$15,Paramètres!$A$1:$I$89,3,0)*0.475*44/12</f>
        <v>3.414168574699247E-7</v>
      </c>
      <c r="EY182" s="22">
        <f t="shared" si="181"/>
        <v>58.123047245434279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>
        <f>FE182*VLOOKUP('Données projet'!$B$16,Paramètres!$A$1:$I$89,3,0)*VLOOKUP('Données projet'!$B$16,Paramètres!$A$1:$I$89,5,0)</f>
        <v>0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383.47860767209028</v>
      </c>
      <c r="FK182" s="59">
        <f t="shared" si="156"/>
        <v>370.49129421395628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7.4610859603966153</v>
      </c>
      <c r="FR182" s="21">
        <f>EXP(-LN(2)/25)*FR181+(1-EXP(-LN(2)/25))/(LN(2)/25)*Calculateur!FM182*Calculateur!FO182*VLOOKUP('Données projet'!$B$16,Paramètres!$A$1:$I$89,3,0)*0.475*44/12</f>
        <v>3.3625808772403247</v>
      </c>
      <c r="FS182" s="21">
        <f>EXP(-LN(2)/2)*FS181+(1-EXP(-LN(2)/2))/(LN(2)/2)*FM182*FP182*VLOOKUP('Données projet'!$B$16,Paramètres!$A$1:$I$89,3,0)*0.475*44/12</f>
        <v>7.9943165107037547E-14</v>
      </c>
      <c r="FT182" s="22">
        <f t="shared" si="184"/>
        <v>10.82366683763702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7.688333333333337</v>
      </c>
      <c r="FZ182" s="12">
        <f>IF('Données projet'!$A$244&gt;35,FZ181+FY182-GH181,IF(A182&lt;'Données projet'!$A$244,$FW$205^A182,IF(A182='Données projet'!$A$244,'Données projet'!$B$244,FZ181+FY182-GH181)))</f>
        <v>448.85166666666635</v>
      </c>
      <c r="GA182" s="17">
        <f>FZ182*VLOOKUP('Données projet'!$B$17,Paramètres!$A$1:$I$89,3,0)*VLOOKUP('Données projet'!$B$17,Paramètres!$A$1:$I$89,5,0)</f>
        <v>511.15227799999968</v>
      </c>
      <c r="GB182" s="13">
        <f t="shared" si="185"/>
        <v>113.9795952658682</v>
      </c>
      <c r="GC182" s="20">
        <f t="shared" si="186"/>
        <v>1088.7713459380532</v>
      </c>
      <c r="GD182" s="59">
        <f t="shared" si="134"/>
        <v>1378.1072206721904</v>
      </c>
      <c r="GE182" s="59">
        <f ca="1">AVERAGE(OFFSET($GD$3,0,0,'Données projet'!$E$17+1,1))-AVERAGE(OFFSET($H$3,0,0,'Données projet'!$E$17+1,1))</f>
        <v>640.05156427113661</v>
      </c>
      <c r="GF182" s="59">
        <f t="shared" si="158"/>
        <v>308.77220155372902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45.498406737269832</v>
      </c>
      <c r="GM182" s="21">
        <f>EXP(-LN(2)/25)*GM181+(1-EXP(-LN(2)/25))/(LN(2)/25)*Calculateur!GH182*Calculateur!GJ182*VLOOKUP('Données projet'!$B$17,Paramètres!$A$1:$I$89,3,0)*0.475*44/12</f>
        <v>19.243006544411607</v>
      </c>
      <c r="GN182" s="21">
        <f>EXP(-LN(2)/2)*GN181+(1-EXP(-LN(2)/2))/(LN(2)/2)*GH182*GK182*VLOOKUP('Données projet'!$B$17,Paramètres!$A$1:$I$89,3,0)*0.475*44/12</f>
        <v>3.5785165318183205E-5</v>
      </c>
      <c r="GO182" s="21">
        <f t="shared" si="187"/>
        <v>64.741449066846769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4.7884896048344674E-14</v>
      </c>
      <c r="P183" s="13">
        <f t="shared" si="141"/>
        <v>7.8374629847779921E-13</v>
      </c>
      <c r="Q183" s="20">
        <f t="shared" si="162"/>
        <v>1.4484243304663672E-12</v>
      </c>
      <c r="R183" s="59">
        <f t="shared" si="109"/>
        <v>289.40522170385606</v>
      </c>
      <c r="S183" s="59">
        <f ca="1">AVERAGE(OFFSET($R$3,0,0,'Données projet'!$E$9+1,1))-AVERAGE(OFFSET($H$3,0,0,'Données projet'!$E$9+1,1))</f>
        <v>456.35333554128226</v>
      </c>
      <c r="T183" s="59">
        <f t="shared" si="142"/>
        <v>296.4517290984877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28.255994108366217</v>
      </c>
      <c r="AA183" s="21">
        <f>EXP(-LN(2)/25)*AA182+(1-EXP(-LN(2)/25))/(LN(2)/25)*Calculateur!V183*Calculateur!X183*VLOOKUP('Données projet'!$B$9,Paramètres!$A$1:$I$89,3,0)*0.475*44/12</f>
        <v>3.5958048818812722</v>
      </c>
      <c r="AB183" s="21">
        <f>EXP(-LN(2)/2)*AB182+(1-EXP(-LN(2)/2))/(LN(2)/2)*V183*Y183*VLOOKUP('Données projet'!$B$9,Paramètres!$A$1:$I$89,3,0)*0.475*44/12</f>
        <v>5.4009604536704761E-11</v>
      </c>
      <c r="AC183" s="22">
        <f t="shared" si="163"/>
        <v>31.851798990301496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408.246209980743</v>
      </c>
      <c r="AO183" s="59">
        <f t="shared" si="144"/>
        <v>394.10236303013903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7.8774538936437342</v>
      </c>
      <c r="AV183" s="21">
        <f>EXP(-LN(2)/25)*AV182+(1-EXP(-LN(2)/25))/(LN(2)/25)*Calculateur!AQ183*Calculateur!AS183*VLOOKUP('Données projet'!$B$10,Paramètres!$A$1:$I$89,3,0)*0.475*44/12</f>
        <v>3.5222179206541897</v>
      </c>
      <c r="AW183" s="21">
        <f>EXP(-LN(2)/2)*AW182+(1-EXP(-LN(2)/2))/(LN(2)/2)*AQ183*AT183*VLOOKUP('Données projet'!$B$10,Paramètres!$A$1:$I$89,3,0)*0.475*44/12</f>
        <v>6.087668909183252E-14</v>
      </c>
      <c r="AX183" s="21">
        <f t="shared" si="166"/>
        <v>11.399671814297985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456.54</v>
      </c>
      <c r="BB183" s="12">
        <f>VLOOKUP(A183,'Données projet'!$A$87:$I$107,9,0)</f>
        <v>7.688333333333337</v>
      </c>
      <c r="BC183" s="12">
        <f t="array" ref="BC183">INDEX(BB:BB,MIN(IF(ISNUMBER(BB183:BB379),ROW(BB183:BB379),"")))</f>
        <v>7.688333333333337</v>
      </c>
      <c r="BD183" s="12">
        <f>IF('Données projet'!$A$88&gt;35,BD182+BC183-BL182,IF(A183&lt;'Données projet'!$A$88,$BA$205^A183,IF(A183='Données projet'!$A$88,'Données projet'!$B$88,BD182+BC183-BL182)))</f>
        <v>456.53999999999968</v>
      </c>
      <c r="BE183" s="13">
        <f>BD183*VLOOKUP('Données projet'!$B$11,Paramètres!$A$1:$I$89,3,0)*VLOOKUP('Données projet'!$B$11,Paramètres!$A$1:$I$89,5,0)</f>
        <v>462.93155999999971</v>
      </c>
      <c r="BF183" s="13">
        <f t="shared" si="167"/>
        <v>104.42457107106746</v>
      </c>
      <c r="BG183" s="20">
        <f t="shared" si="168"/>
        <v>988.145261615442</v>
      </c>
      <c r="BH183" s="59">
        <f t="shared" si="116"/>
        <v>1277.5504833192967</v>
      </c>
      <c r="BI183" s="59">
        <f ca="1">AVERAGE(OFFSET($BH$3,0,0,'Données projet'!$E$11+1,1))-AVERAGE(OFFSET($H$3,0,0,'Données projet'!$E$11+1,1))</f>
        <v>580.02848304986492</v>
      </c>
      <c r="BJ183" s="59">
        <f t="shared" si="146"/>
        <v>281.68891895586728</v>
      </c>
      <c r="BK183" s="15">
        <f>IF(ISNA(VLOOKUP(A183,'Données projet'!$A$87:$I$107,3,0)),0,VLOOKUP(A183,'Données projet'!$A$87:$I$107,3,0))</f>
        <v>13</v>
      </c>
      <c r="BL183" s="15">
        <f>IF(ISNA(VLOOKUP(A183,'Données projet'!$A$87:$I$107,4,0)),0,VLOOKUP(A183,'Données projet'!$A$87:$I$107,4,0))</f>
        <v>175.59000000000003</v>
      </c>
      <c r="BM183" s="16">
        <f>IF(ISNA(VLOOKUP(A183,'Données projet'!$A$87:$I$107,5,0)),0%,VLOOKUP(A183,'Données projet'!$A$87:$I$107,5,0)*VLOOKUP('Données projet'!$B$11,Paramètres!$A$1:$I$89,7,0))</f>
        <v>0.215</v>
      </c>
      <c r="BN183" s="16">
        <f>IF(ISNA(VLOOKUP(A183,'Données projet'!$A$87:$I$107,6,0)),0%,VLOOKUP(A183,'Données projet'!$A$87:$I$107,6,0)*VLOOKUP('Données projet'!$B$11,Paramètres!$A$1:$I$89,7,0))</f>
        <v>8.6000000000000007E-2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82.035680546187592</v>
      </c>
      <c r="BQ183" s="21">
        <f>EXP(-LN(2)/25)*BQ182+(1-EXP(-LN(2)/25))/(LN(2)/25)*Calculateur!BL183*Calculateur!BN183*VLOOKUP('Données projet'!$B$11,Paramètres!$A$1:$I$89,3,0)*0.475*44/12</f>
        <v>33.526128863976865</v>
      </c>
      <c r="BR183" s="21">
        <f>EXP(-LN(2)/2)*BR182+(1-EXP(-LN(2)/2))/(LN(2)/2)*BL183*BO183*VLOOKUP('Données projet'!$B$11,Paramètres!$A$1:$I$89,3,0)*0.475*44/12</f>
        <v>2.2530899302109383E-5</v>
      </c>
      <c r="BS183" s="22">
        <f t="shared" si="169"/>
        <v>115.56183194106376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4.4337866711430253E-14</v>
      </c>
      <c r="CA183" s="13">
        <f t="shared" si="170"/>
        <v>7.3222115536967035E-13</v>
      </c>
      <c r="CB183" s="20">
        <f t="shared" si="171"/>
        <v>1.3525069634579169E-12</v>
      </c>
      <c r="CC183" s="59">
        <f t="shared" si="119"/>
        <v>289.405221703856</v>
      </c>
      <c r="CD183" s="59">
        <f ca="1">AVERAGE(OFFSET($CC$3,0,0,'Données projet'!$E$12+1,1))-AVERAGE(OFFSET($H$3,0,0,'Données projet'!$E$12+1,1))</f>
        <v>308.85018589589453</v>
      </c>
      <c r="CE183" s="59">
        <f t="shared" si="148"/>
        <v>302.59481222418219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4.7726433927864793</v>
      </c>
      <c r="CL183" s="21">
        <f>EXP(-LN(2)/25)*CL182+(1-EXP(-LN(2)/25))/(LN(2)/25)*Calculateur!CG183*Calculateur!CI183*VLOOKUP('Données projet'!$B$12,Paramètres!$A$1:$I$89,3,0)*0.475*44/12</f>
        <v>1.9504204847863336</v>
      </c>
      <c r="CM183" s="21">
        <f>EXP(-LN(2)/2)*CM182+(1-EXP(-LN(2)/2))/(LN(2)/2)*CG183*CJ183*VLOOKUP('Données projet'!$B$12,Paramètres!$A$1:$I$89,3,0)*0.475*44/12</f>
        <v>1.1924071427181067E-15</v>
      </c>
      <c r="CN183" s="22">
        <f t="shared" si="172"/>
        <v>6.7230638775728133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2.2737367544323206E-13</v>
      </c>
      <c r="CU183" s="17">
        <f>CT183*VLOOKUP('Données projet'!$B$13,Paramètres!$A$1:$I$89,3,0)*VLOOKUP('Données projet'!$B$13,Paramètres!$A$1:$I$89,5,0)</f>
        <v>1.5252226148732008E-13</v>
      </c>
      <c r="CV183" s="13">
        <f t="shared" si="173"/>
        <v>2.1814502464536512E-12</v>
      </c>
      <c r="CW183" s="20">
        <f t="shared" si="174"/>
        <v>4.0650021179971913E-12</v>
      </c>
      <c r="CX183" s="59">
        <f t="shared" si="122"/>
        <v>289.40522170385873</v>
      </c>
      <c r="CY183" s="59">
        <f ca="1">AVERAGE(OFFSET($CX$3,0,0,'Données projet'!$E$13+1,1))-AVERAGE(OFFSET($H$3,0,0,'Données projet'!$E$13+1,1))</f>
        <v>335.73816489539837</v>
      </c>
      <c r="CZ183" s="59">
        <f t="shared" si="150"/>
        <v>254.09787950201044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9.3648882874972958</v>
      </c>
      <c r="DG183" s="21">
        <f>EXP(-LN(2)/25)*DG182+(1-EXP(-LN(2)/25))/(LN(2)/25)*Calculateur!DB183*Calculateur!DD183*VLOOKUP('Données projet'!$B$13,Paramètres!$A$1:$I$89,3,0)*0.475*44/12</f>
        <v>5.4439027151280452</v>
      </c>
      <c r="DH183" s="21">
        <f>EXP(-LN(2)/2)*DH182+(1-EXP(-LN(2)/2))/(LN(2)/2)*DB183*DE183*VLOOKUP('Données projet'!$B$13,Paramètres!$A$1:$I$89,3,0)*0.475*44/12</f>
        <v>1.4247965177785871E-9</v>
      </c>
      <c r="DI183" s="22">
        <f t="shared" si="175"/>
        <v>14.808791004050137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2.5579538487363607E-13</v>
      </c>
      <c r="DP183" s="17">
        <f>DO183*VLOOKUP('Données projet'!$B$14,Paramètres!$A$1:$I$89,3,0)*VLOOKUP('Données projet'!$B$14,Paramètres!$A$1:$I$89,5,0)</f>
        <v>2.4740529624978082E-13</v>
      </c>
      <c r="DQ183" s="13">
        <f t="shared" si="176"/>
        <v>3.3447853361996459E-12</v>
      </c>
      <c r="DR183" s="20">
        <f t="shared" si="177"/>
        <v>6.2563986848494188E-12</v>
      </c>
      <c r="DS183" s="59">
        <f t="shared" si="125"/>
        <v>289.40522170386089</v>
      </c>
      <c r="DT183" s="59">
        <f ca="1">AVERAGE(OFFSET($DS$3,0,0,'Données projet'!$E$14+1,1))-AVERAGE(OFFSET($H$3,0,0,'Données projet'!$E$14+1,1))</f>
        <v>493.03862850474161</v>
      </c>
      <c r="DU183" s="59">
        <f t="shared" si="152"/>
        <v>312.51819065560528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44.861204165433264</v>
      </c>
      <c r="EB183" s="21">
        <f>EXP(-LN(2)/25)*EB182+(1-EXP(-LN(2)/25))/(LN(2)/25)*Calculateur!DW183*Calculateur!DY183*VLOOKUP('Données projet'!$B$14,Paramètres!$A$1:$I$89,3,0)*0.475*44/12</f>
        <v>6.2911375148771302</v>
      </c>
      <c r="EC183" s="21">
        <f>EXP(-LN(2)/2)*EC182+(1-EXP(-LN(2)/2))/(LN(2)/2)*DW183*DZ183*VLOOKUP('Données projet'!$B$14,Paramètres!$A$1:$I$89,3,0)*0.475*44/12</f>
        <v>2.1692647620231705E-7</v>
      </c>
      <c r="ED183" s="22">
        <f t="shared" si="178"/>
        <v>51.152341897236866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2.5579538487363607E-13</v>
      </c>
      <c r="EK183" s="17">
        <f>EJ183*VLOOKUP('Données projet'!$B$15,Paramètres!$A$1:$I$89,3,0)*VLOOKUP('Données projet'!$B$15,Paramètres!$A$1:$I$89,5,0)</f>
        <v>2.7533815227798186E-13</v>
      </c>
      <c r="EL183" s="13">
        <f t="shared" si="179"/>
        <v>3.6763598146902537E-12</v>
      </c>
      <c r="EM183" s="20">
        <f t="shared" si="180"/>
        <v>6.88254062580301E-12</v>
      </c>
      <c r="EN183" s="59">
        <f t="shared" si="128"/>
        <v>289.40522170386151</v>
      </c>
      <c r="EO183" s="59">
        <f ca="1">AVERAGE(OFFSET($EN$3,0,0,'Données projet'!$E$15+1,1))-AVERAGE(OFFSET($H$3,0,0,'Données projet'!$E$15+1,1))</f>
        <v>539.72194201710272</v>
      </c>
      <c r="EP183" s="59">
        <f t="shared" si="154"/>
        <v>340.76505385159362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49.926178829272502</v>
      </c>
      <c r="EW183" s="21">
        <f>EXP(-LN(2)/25)*EW182+(1-EXP(-LN(2)/25))/(LN(2)/25)*Calculateur!ER183*Calculateur!ET183*VLOOKUP('Données projet'!$B$15,Paramètres!$A$1:$I$89,3,0)*0.475*44/12</f>
        <v>7.0014272342987365</v>
      </c>
      <c r="EX183" s="21">
        <f>EXP(-LN(2)/2)*EX182+(1-EXP(-LN(2)/2))/(LN(2)/2)*ER183*EU183*VLOOKUP('Données projet'!$B$15,Paramètres!$A$1:$I$89,3,0)*0.475*44/12</f>
        <v>2.4141817512838473E-7</v>
      </c>
      <c r="EY183" s="22">
        <f t="shared" si="181"/>
        <v>56.927606304989418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>
        <f>FE183*VLOOKUP('Données projet'!$B$16,Paramètres!$A$1:$I$89,3,0)*VLOOKUP('Données projet'!$B$16,Paramètres!$A$1:$I$89,5,0)</f>
        <v>0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383.47860767209028</v>
      </c>
      <c r="FK183" s="59">
        <f t="shared" si="156"/>
        <v>370.49129421395628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7.3147786155263184</v>
      </c>
      <c r="FR183" s="21">
        <f>EXP(-LN(2)/25)*FR182+(1-EXP(-LN(2)/25))/(LN(2)/25)*Calculateur!FM183*Calculateur!FO183*VLOOKUP('Données projet'!$B$16,Paramètres!$A$1:$I$89,3,0)*0.475*44/12</f>
        <v>3.2706309263217448</v>
      </c>
      <c r="FS183" s="21">
        <f>EXP(-LN(2)/2)*FS182+(1-EXP(-LN(2)/2))/(LN(2)/2)*FM183*FP183*VLOOKUP('Données projet'!$B$16,Paramètres!$A$1:$I$89,3,0)*0.475*44/12</f>
        <v>5.6528354156702044E-14</v>
      </c>
      <c r="FT183" s="22">
        <f t="shared" si="184"/>
        <v>10.58540954184812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>
        <f>VLOOKUP(A183,'Données projet'!$A$243:$I$263,2,0)</f>
        <v>456.54</v>
      </c>
      <c r="FX183" s="12">
        <f>VLOOKUP(A183,'Données projet'!$A$243:$I$263,9,0)</f>
        <v>7.688333333333337</v>
      </c>
      <c r="FY183" s="12">
        <f t="array" ref="FY183">INDEX(FX:FX,MIN(IF(ISNUMBER(FX183:FX379),ROW(FX183:FX379),"")))</f>
        <v>7.688333333333337</v>
      </c>
      <c r="FZ183" s="12">
        <f>IF('Données projet'!$A$244&gt;35,FZ182+FY183-GH182,IF(A183&lt;'Données projet'!$A$244,$FW$205^A183,IF(A183='Données projet'!$A$244,'Données projet'!$B$244,FZ182+FY183-GH182)))</f>
        <v>456.53999999999968</v>
      </c>
      <c r="GA183" s="17">
        <f>FZ183*VLOOKUP('Données projet'!$B$17,Paramètres!$A$1:$I$89,3,0)*VLOOKUP('Données projet'!$B$17,Paramètres!$A$1:$I$89,5,0)</f>
        <v>519.90775199999962</v>
      </c>
      <c r="GB183" s="13">
        <f t="shared" si="185"/>
        <v>115.70297805948883</v>
      </c>
      <c r="GC183" s="20">
        <f t="shared" si="186"/>
        <v>1107.0220215202758</v>
      </c>
      <c r="GD183" s="59">
        <f t="shared" si="134"/>
        <v>1396.4272432241305</v>
      </c>
      <c r="GE183" s="59">
        <f ca="1">AVERAGE(OFFSET($GD$3,0,0,'Données projet'!$E$17+1,1))-AVERAGE(OFFSET($H$3,0,0,'Données projet'!$E$17+1,1))</f>
        <v>640.05156427113661</v>
      </c>
      <c r="GF183" s="59">
        <f t="shared" si="158"/>
        <v>308.77220155372902</v>
      </c>
      <c r="GG183" s="15">
        <f>IF(ISNA(VLOOKUP(A183,'Données projet'!$A$243:$I$263,3,0)),0,VLOOKUP(A183,'Données projet'!$A$243:$I$263,3,0))</f>
        <v>13</v>
      </c>
      <c r="GH183" s="15">
        <f>IF(ISNA(VLOOKUP(A183,'Données projet'!$A$243:$I$263,4,0)),0,VLOOKUP(A183,'Données projet'!$A$243:$I$263,4,0))</f>
        <v>175.59000000000003</v>
      </c>
      <c r="GI183" s="16">
        <f>IF(ISNA(VLOOKUP(A183,'Données projet'!$A$243:$I$263,5,0)),0%,VLOOKUP(A183,'Données projet'!$A$243:$I$263,5,0)*VLOOKUP('Données projet'!$B$17,Paramètres!$A$1:$I$89,7,0))</f>
        <v>0.215</v>
      </c>
      <c r="GJ183" s="16">
        <f>IF(ISNA(VLOOKUP(A183,'Données projet'!$A$243:$I$263,6,0)),0%,VLOOKUP(A183,'Données projet'!$A$243:$I$263,6,0)*VLOOKUP('Données projet'!$B$17,Paramètres!$A$1:$I$89,7,0))</f>
        <v>8.6000000000000007E-2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92.132379690333735</v>
      </c>
      <c r="GM183" s="21">
        <f>EXP(-LN(2)/25)*GM182+(1-EXP(-LN(2)/25))/(LN(2)/25)*Calculateur!GH183*Calculateur!GJ183*VLOOKUP('Données projet'!$B$17,Paramètres!$A$1:$I$89,3,0)*0.475*44/12</f>
        <v>37.652421647235556</v>
      </c>
      <c r="GN183" s="21">
        <f>EXP(-LN(2)/2)*GN182+(1-EXP(-LN(2)/2))/(LN(2)/2)*GH183*GK183*VLOOKUP('Données projet'!$B$17,Paramètres!$A$1:$I$89,3,0)*0.475*44/12</f>
        <v>2.5303933062369001E-5</v>
      </c>
      <c r="GO183" s="21">
        <f t="shared" si="187"/>
        <v>129.78482664150235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4.7884896048344674E-14</v>
      </c>
      <c r="P184" s="13">
        <f t="shared" si="141"/>
        <v>7.8374629847779921E-13</v>
      </c>
      <c r="Q184" s="20">
        <f t="shared" si="162"/>
        <v>1.4484243304663672E-12</v>
      </c>
      <c r="R184" s="59">
        <f t="shared" si="109"/>
        <v>289.47336565868551</v>
      </c>
      <c r="S184" s="59">
        <f ca="1">AVERAGE(OFFSET($R$3,0,0,'Données projet'!$E$9+1,1))-AVERAGE(OFFSET($H$3,0,0,'Données projet'!$E$9+1,1))</f>
        <v>456.35333554128226</v>
      </c>
      <c r="T184" s="59">
        <f t="shared" si="142"/>
        <v>296.4517290984877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27.7019112983558</v>
      </c>
      <c r="AA184" s="21">
        <f>EXP(-LN(2)/25)*AA183+(1-EXP(-LN(2)/25))/(LN(2)/25)*Calculateur!V184*Calculateur!X184*VLOOKUP('Données projet'!$B$9,Paramètres!$A$1:$I$89,3,0)*0.475*44/12</f>
        <v>3.4974774082910685</v>
      </c>
      <c r="AB184" s="21">
        <f>EXP(-LN(2)/2)*AB183+(1-EXP(-LN(2)/2))/(LN(2)/2)*V184*Y184*VLOOKUP('Données projet'!$B$9,Paramètres!$A$1:$I$89,3,0)*0.475*44/12</f>
        <v>3.8190557617107657E-11</v>
      </c>
      <c r="AC184" s="22">
        <f t="shared" si="163"/>
        <v>31.19938870668506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408.246209980743</v>
      </c>
      <c r="AO184" s="59">
        <f t="shared" si="144"/>
        <v>394.10236303013903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7.7229818275618234</v>
      </c>
      <c r="AV184" s="21">
        <f>EXP(-LN(2)/25)*AV183+(1-EXP(-LN(2)/25))/(LN(2)/25)*Calculateur!AQ184*Calculateur!AS184*VLOOKUP('Données projet'!$B$10,Paramètres!$A$1:$I$89,3,0)*0.475*44/12</f>
        <v>3.4259026863885107</v>
      </c>
      <c r="AW184" s="21">
        <f>EXP(-LN(2)/2)*AW183+(1-EXP(-LN(2)/2))/(LN(2)/2)*AQ184*AT184*VLOOKUP('Données projet'!$B$10,Paramètres!$A$1:$I$89,3,0)*0.475*44/12</f>
        <v>4.3046319673019903E-14</v>
      </c>
      <c r="AX184" s="21">
        <f t="shared" si="166"/>
        <v>11.148884513950376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4.7974999999999994</v>
      </c>
      <c r="BD184" s="12">
        <f>IF('Données projet'!$A$88&gt;35,BD183+BC184-BL183,IF(A184&lt;'Données projet'!$A$88,$BA$205^A184,IF(A184='Données projet'!$A$88,'Données projet'!$B$88,BD183+BC184-BL183)))</f>
        <v>285.74749999999966</v>
      </c>
      <c r="BE184" s="13">
        <f>BD184*VLOOKUP('Données projet'!$B$11,Paramètres!$A$1:$I$89,3,0)*VLOOKUP('Données projet'!$B$11,Paramètres!$A$1:$I$89,5,0)</f>
        <v>289.74796499999968</v>
      </c>
      <c r="BF184" s="13">
        <f t="shared" si="167"/>
        <v>69.022913217160536</v>
      </c>
      <c r="BG184" s="20">
        <f t="shared" si="168"/>
        <v>624.85927956155399</v>
      </c>
      <c r="BH184" s="59">
        <f t="shared" si="116"/>
        <v>914.33264522023808</v>
      </c>
      <c r="BI184" s="59">
        <f ca="1">AVERAGE(OFFSET($BH$3,0,0,'Données projet'!$E$11+1,1))-AVERAGE(OFFSET($H$3,0,0,'Données projet'!$E$11+1,1))</f>
        <v>580.02848304986492</v>
      </c>
      <c r="BJ184" s="59">
        <f t="shared" si="146"/>
        <v>281.68891895586728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80.427010887501254</v>
      </c>
      <c r="BQ184" s="21">
        <f>EXP(-LN(2)/25)*BQ183+(1-EXP(-LN(2)/25))/(LN(2)/25)*Calculateur!BL184*Calculateur!BN184*VLOOKUP('Données projet'!$B$11,Paramètres!$A$1:$I$89,3,0)*0.475*44/12</f>
        <v>32.609355107128927</v>
      </c>
      <c r="BR184" s="21">
        <f>EXP(-LN(2)/2)*BR183+(1-EXP(-LN(2)/2))/(LN(2)/2)*BL184*BO184*VLOOKUP('Données projet'!$B$11,Paramètres!$A$1:$I$89,3,0)*0.475*44/12</f>
        <v>1.5931751682752796E-5</v>
      </c>
      <c r="BS184" s="22">
        <f t="shared" si="169"/>
        <v>113.03638192638186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4.4337866711430253E-14</v>
      </c>
      <c r="CA184" s="13">
        <f t="shared" si="170"/>
        <v>7.3222115536967035E-13</v>
      </c>
      <c r="CB184" s="20">
        <f t="shared" si="171"/>
        <v>1.3525069634579169E-12</v>
      </c>
      <c r="CC184" s="59">
        <f t="shared" si="119"/>
        <v>289.47336565868545</v>
      </c>
      <c r="CD184" s="59">
        <f ca="1">AVERAGE(OFFSET($CC$3,0,0,'Données projet'!$E$12+1,1))-AVERAGE(OFFSET($H$3,0,0,'Données projet'!$E$12+1,1))</f>
        <v>308.85018589589453</v>
      </c>
      <c r="CE184" s="59">
        <f t="shared" si="148"/>
        <v>302.59481222418219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4.6790547668789664</v>
      </c>
      <c r="CL184" s="21">
        <f>EXP(-LN(2)/25)*CL183+(1-EXP(-LN(2)/25))/(LN(2)/25)*Calculateur!CG184*Calculateur!CI184*VLOOKUP('Données projet'!$B$12,Paramètres!$A$1:$I$89,3,0)*0.475*44/12</f>
        <v>1.8970861340616958</v>
      </c>
      <c r="CM184" s="21">
        <f>EXP(-LN(2)/2)*CM183+(1-EXP(-LN(2)/2))/(LN(2)/2)*CG184*CJ184*VLOOKUP('Données projet'!$B$12,Paramètres!$A$1:$I$89,3,0)*0.475*44/12</f>
        <v>8.4315917655124865E-16</v>
      </c>
      <c r="CN184" s="22">
        <f t="shared" si="172"/>
        <v>6.5761409009406631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2.2737367544323206E-13</v>
      </c>
      <c r="CU184" s="17">
        <f>CT184*VLOOKUP('Données projet'!$B$13,Paramètres!$A$1:$I$89,3,0)*VLOOKUP('Données projet'!$B$13,Paramètres!$A$1:$I$89,5,0)</f>
        <v>1.5252226148732008E-13</v>
      </c>
      <c r="CV184" s="13">
        <f t="shared" si="173"/>
        <v>2.1814502464536512E-12</v>
      </c>
      <c r="CW184" s="20">
        <f t="shared" si="174"/>
        <v>4.0650021179971913E-12</v>
      </c>
      <c r="CX184" s="59">
        <f t="shared" si="122"/>
        <v>289.47336565868818</v>
      </c>
      <c r="CY184" s="59">
        <f ca="1">AVERAGE(OFFSET($CX$3,0,0,'Données projet'!$E$13+1,1))-AVERAGE(OFFSET($H$3,0,0,'Données projet'!$E$13+1,1))</f>
        <v>335.73816489539837</v>
      </c>
      <c r="CZ184" s="59">
        <f t="shared" si="150"/>
        <v>254.09787950201044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9.1812485401973145</v>
      </c>
      <c r="DG184" s="21">
        <f>EXP(-LN(2)/25)*DG183+(1-EXP(-LN(2)/25))/(LN(2)/25)*Calculateur!DB184*Calculateur!DD184*VLOOKUP('Données projet'!$B$13,Paramètres!$A$1:$I$89,3,0)*0.475*44/12</f>
        <v>5.2950389091004677</v>
      </c>
      <c r="DH184" s="21">
        <f>EXP(-LN(2)/2)*DH183+(1-EXP(-LN(2)/2))/(LN(2)/2)*DB184*DE184*VLOOKUP('Données projet'!$B$13,Paramètres!$A$1:$I$89,3,0)*0.475*44/12</f>
        <v>1.0074832795322182E-9</v>
      </c>
      <c r="DI184" s="22">
        <f t="shared" si="175"/>
        <v>14.476287450305266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2.5579538487363607E-13</v>
      </c>
      <c r="DP184" s="17">
        <f>DO184*VLOOKUP('Données projet'!$B$14,Paramètres!$A$1:$I$89,3,0)*VLOOKUP('Données projet'!$B$14,Paramètres!$A$1:$I$89,5,0)</f>
        <v>2.4740529624978082E-13</v>
      </c>
      <c r="DQ184" s="13">
        <f t="shared" si="176"/>
        <v>3.3447853361996459E-12</v>
      </c>
      <c r="DR184" s="20">
        <f t="shared" si="177"/>
        <v>6.2563986848494188E-12</v>
      </c>
      <c r="DS184" s="59">
        <f t="shared" si="125"/>
        <v>289.47336565869034</v>
      </c>
      <c r="DT184" s="59">
        <f ca="1">AVERAGE(OFFSET($DS$3,0,0,'Données projet'!$E$14+1,1))-AVERAGE(OFFSET($H$3,0,0,'Données projet'!$E$14+1,1))</f>
        <v>493.03862850474161</v>
      </c>
      <c r="DU184" s="59">
        <f t="shared" si="152"/>
        <v>312.51819065560528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43.981503314381825</v>
      </c>
      <c r="EB184" s="21">
        <f>EXP(-LN(2)/25)*EB183+(1-EXP(-LN(2)/25))/(LN(2)/25)*Calculateur!DW184*Calculateur!DY184*VLOOKUP('Données projet'!$B$14,Paramètres!$A$1:$I$89,3,0)*0.475*44/12</f>
        <v>6.1191060286962715</v>
      </c>
      <c r="EC184" s="21">
        <f>EXP(-LN(2)/2)*EC183+(1-EXP(-LN(2)/2))/(LN(2)/2)*DW184*DZ184*VLOOKUP('Données projet'!$B$14,Paramètres!$A$1:$I$89,3,0)*0.475*44/12</f>
        <v>1.5339018234156061E-7</v>
      </c>
      <c r="ED184" s="22">
        <f t="shared" si="178"/>
        <v>50.10060949646828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2.5579538487363607E-13</v>
      </c>
      <c r="EK184" s="17">
        <f>EJ184*VLOOKUP('Données projet'!$B$15,Paramètres!$A$1:$I$89,3,0)*VLOOKUP('Données projet'!$B$15,Paramètres!$A$1:$I$89,5,0)</f>
        <v>2.7533815227798186E-13</v>
      </c>
      <c r="EL184" s="13">
        <f t="shared" si="179"/>
        <v>3.6763598146902537E-12</v>
      </c>
      <c r="EM184" s="20">
        <f t="shared" si="180"/>
        <v>6.88254062580301E-12</v>
      </c>
      <c r="EN184" s="59">
        <f t="shared" si="128"/>
        <v>289.47336565869097</v>
      </c>
      <c r="EO184" s="59">
        <f ca="1">AVERAGE(OFFSET($EN$3,0,0,'Données projet'!$E$15+1,1))-AVERAGE(OFFSET($H$3,0,0,'Données projet'!$E$15+1,1))</f>
        <v>539.72194201710272</v>
      </c>
      <c r="EP184" s="59">
        <f t="shared" si="154"/>
        <v>340.76505385159362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48.947156914392671</v>
      </c>
      <c r="EW184" s="21">
        <f>EXP(-LN(2)/25)*EW183+(1-EXP(-LN(2)/25))/(LN(2)/25)*Calculateur!ER184*Calculateur!ET184*VLOOKUP('Données projet'!$B$15,Paramètres!$A$1:$I$89,3,0)*0.475*44/12</f>
        <v>6.8099728383877816</v>
      </c>
      <c r="EX184" s="21">
        <f>EXP(-LN(2)/2)*EX183+(1-EXP(-LN(2)/2))/(LN(2)/2)*ER184*EU184*VLOOKUP('Données projet'!$B$15,Paramètres!$A$1:$I$89,3,0)*0.475*44/12</f>
        <v>1.7070842873496235E-7</v>
      </c>
      <c r="EY184" s="22">
        <f t="shared" si="181"/>
        <v>55.757129923488883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>
        <f>FE184*VLOOKUP('Données projet'!$B$16,Paramètres!$A$1:$I$89,3,0)*VLOOKUP('Données projet'!$B$16,Paramètres!$A$1:$I$89,5,0)</f>
        <v>0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383.47860767209028</v>
      </c>
      <c r="FK184" s="59">
        <f t="shared" si="156"/>
        <v>370.49129421395628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7.1713402684502592</v>
      </c>
      <c r="FR184" s="21">
        <f>EXP(-LN(2)/25)*FR183+(1-EXP(-LN(2)/25))/(LN(2)/25)*Calculateur!FM184*Calculateur!FO184*VLOOKUP('Données projet'!$B$16,Paramètres!$A$1:$I$89,3,0)*0.475*44/12</f>
        <v>3.1811953516464713</v>
      </c>
      <c r="FS184" s="21">
        <f>EXP(-LN(2)/2)*FS183+(1-EXP(-LN(2)/2))/(LN(2)/2)*FM184*FP184*VLOOKUP('Données projet'!$B$16,Paramètres!$A$1:$I$89,3,0)*0.475*44/12</f>
        <v>3.997158255351878E-14</v>
      </c>
      <c r="FT184" s="22">
        <f t="shared" si="184"/>
        <v>10.352535620096772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4.7974999999999994</v>
      </c>
      <c r="FZ184" s="12">
        <f>IF('Données projet'!$A$244&gt;35,FZ183+FY184-GH183,IF(A184&lt;'Données projet'!$A$244,$FW$205^A184,IF(A184='Données projet'!$A$244,'Données projet'!$B$244,FZ183+FY184-GH183)))</f>
        <v>285.74749999999966</v>
      </c>
      <c r="GA184" s="17">
        <f>FZ184*VLOOKUP('Données projet'!$B$17,Paramètres!$A$1:$I$89,3,0)*VLOOKUP('Données projet'!$B$17,Paramètres!$A$1:$I$89,5,0)</f>
        <v>325.40925299999964</v>
      </c>
      <c r="GB184" s="13">
        <f t="shared" si="185"/>
        <v>76.477753575181453</v>
      </c>
      <c r="GC184" s="20">
        <f t="shared" si="186"/>
        <v>699.95320311844034</v>
      </c>
      <c r="GD184" s="59">
        <f t="shared" si="134"/>
        <v>989.42656877712443</v>
      </c>
      <c r="GE184" s="59">
        <f ca="1">AVERAGE(OFFSET($GD$3,0,0,'Données projet'!$E$17+1,1))-AVERAGE(OFFSET($H$3,0,0,'Données projet'!$E$17+1,1))</f>
        <v>640.05156427113661</v>
      </c>
      <c r="GF184" s="59">
        <f t="shared" si="158"/>
        <v>308.77220155372902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90.325719919809089</v>
      </c>
      <c r="GM184" s="21">
        <f>EXP(-LN(2)/25)*GM183+(1-EXP(-LN(2)/25))/(LN(2)/25)*Calculateur!GH184*Calculateur!GJ184*VLOOKUP('Données projet'!$B$17,Paramètres!$A$1:$I$89,3,0)*0.475*44/12</f>
        <v>36.622814197237098</v>
      </c>
      <c r="GN184" s="21">
        <f>EXP(-LN(2)/2)*GN183+(1-EXP(-LN(2)/2))/(LN(2)/2)*GH184*GK184*VLOOKUP('Données projet'!$B$17,Paramètres!$A$1:$I$89,3,0)*0.475*44/12</f>
        <v>1.7892582659091603E-5</v>
      </c>
      <c r="GO184" s="21">
        <f t="shared" si="187"/>
        <v>126.94855200962886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4.7884896048344674E-14</v>
      </c>
      <c r="P185" s="13">
        <f t="shared" si="141"/>
        <v>7.8374629847779921E-13</v>
      </c>
      <c r="Q185" s="20">
        <f t="shared" si="162"/>
        <v>1.4484243304663672E-12</v>
      </c>
      <c r="R185" s="59">
        <f t="shared" si="109"/>
        <v>289.54032746824583</v>
      </c>
      <c r="S185" s="59">
        <f ca="1">AVERAGE(OFFSET($R$3,0,0,'Données projet'!$E$9+1,1))-AVERAGE(OFFSET($H$3,0,0,'Données projet'!$E$9+1,1))</f>
        <v>456.35333554128226</v>
      </c>
      <c r="T185" s="59">
        <f t="shared" si="142"/>
        <v>296.4517290984877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27.158693714292543</v>
      </c>
      <c r="AA185" s="21">
        <f>EXP(-LN(2)/25)*AA184+(1-EXP(-LN(2)/25))/(LN(2)/25)*Calculateur!V185*Calculateur!X185*VLOOKUP('Données projet'!$B$9,Paramètres!$A$1:$I$89,3,0)*0.475*44/12</f>
        <v>3.4018387046370058</v>
      </c>
      <c r="AB185" s="21">
        <f>EXP(-LN(2)/2)*AB184+(1-EXP(-LN(2)/2))/(LN(2)/2)*V185*Y185*VLOOKUP('Données projet'!$B$9,Paramètres!$A$1:$I$89,3,0)*0.475*44/12</f>
        <v>2.700480226835238E-11</v>
      </c>
      <c r="AC185" s="22">
        <f t="shared" si="163"/>
        <v>30.560532418956551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408.246209980743</v>
      </c>
      <c r="AO185" s="59">
        <f t="shared" si="144"/>
        <v>394.10236303013903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7.5715388644771222</v>
      </c>
      <c r="AV185" s="21">
        <f>EXP(-LN(2)/25)*AV184+(1-EXP(-LN(2)/25))/(LN(2)/25)*Calculateur!AQ185*Calculateur!AS185*VLOOKUP('Données projet'!$B$10,Paramètres!$A$1:$I$89,3,0)*0.475*44/12</f>
        <v>3.3322211972688245</v>
      </c>
      <c r="AW185" s="21">
        <f>EXP(-LN(2)/2)*AW184+(1-EXP(-LN(2)/2))/(LN(2)/2)*AQ185*AT185*VLOOKUP('Données projet'!$B$10,Paramètres!$A$1:$I$89,3,0)*0.475*44/12</f>
        <v>3.043834454591626E-14</v>
      </c>
      <c r="AX185" s="21">
        <f t="shared" si="166"/>
        <v>10.903760061745977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4.7974999999999994</v>
      </c>
      <c r="BD185" s="12">
        <f>IF('Données projet'!$A$88&gt;35,BD184+BC185-BL184,IF(A185&lt;'Données projet'!$A$88,$BA$205^A185,IF(A185='Données projet'!$A$88,'Données projet'!$B$88,BD184+BC185-BL184)))</f>
        <v>290.54499999999967</v>
      </c>
      <c r="BE185" s="13">
        <f>BD185*VLOOKUP('Données projet'!$B$11,Paramètres!$A$1:$I$89,3,0)*VLOOKUP('Données projet'!$B$11,Paramètres!$A$1:$I$89,5,0)</f>
        <v>294.61262999999968</v>
      </c>
      <c r="BF185" s="13">
        <f t="shared" si="167"/>
        <v>70.045875436649951</v>
      </c>
      <c r="BG185" s="20">
        <f t="shared" si="168"/>
        <v>635.11356363549817</v>
      </c>
      <c r="BH185" s="59">
        <f t="shared" si="116"/>
        <v>924.65389110374258</v>
      </c>
      <c r="BI185" s="59">
        <f ca="1">AVERAGE(OFFSET($BH$3,0,0,'Données projet'!$E$11+1,1))-AVERAGE(OFFSET($H$3,0,0,'Données projet'!$E$11+1,1))</f>
        <v>580.02848304986492</v>
      </c>
      <c r="BJ185" s="59">
        <f t="shared" si="146"/>
        <v>281.68891895586728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78.849886259630154</v>
      </c>
      <c r="BQ185" s="21">
        <f>EXP(-LN(2)/25)*BQ184+(1-EXP(-LN(2)/25))/(LN(2)/25)*Calculateur!BL185*Calculateur!BN185*VLOOKUP('Données projet'!$B$11,Paramètres!$A$1:$I$89,3,0)*0.475*44/12</f>
        <v>31.71765057687303</v>
      </c>
      <c r="BR185" s="21">
        <f>EXP(-LN(2)/2)*BR184+(1-EXP(-LN(2)/2))/(LN(2)/2)*BL185*BO185*VLOOKUP('Données projet'!$B$11,Paramètres!$A$1:$I$89,3,0)*0.475*44/12</f>
        <v>1.1265449651054692E-5</v>
      </c>
      <c r="BS185" s="22">
        <f t="shared" si="169"/>
        <v>110.56754810195284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4.4337866711430253E-14</v>
      </c>
      <c r="CA185" s="13">
        <f t="shared" si="170"/>
        <v>7.3222115536967035E-13</v>
      </c>
      <c r="CB185" s="20">
        <f t="shared" si="171"/>
        <v>1.3525069634579169E-12</v>
      </c>
      <c r="CC185" s="59">
        <f t="shared" si="119"/>
        <v>289.54032746824578</v>
      </c>
      <c r="CD185" s="59">
        <f ca="1">AVERAGE(OFFSET($CC$3,0,0,'Données projet'!$E$12+1,1))-AVERAGE(OFFSET($H$3,0,0,'Données projet'!$E$12+1,1))</f>
        <v>308.85018589589453</v>
      </c>
      <c r="CE185" s="59">
        <f t="shared" si="148"/>
        <v>302.59481222418219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4.5873013568420742</v>
      </c>
      <c r="CL185" s="21">
        <f>EXP(-LN(2)/25)*CL184+(1-EXP(-LN(2)/25))/(LN(2)/25)*Calculateur!CG185*Calculateur!CI185*VLOOKUP('Données projet'!$B$12,Paramètres!$A$1:$I$89,3,0)*0.475*44/12</f>
        <v>1.8452102139623547</v>
      </c>
      <c r="CM185" s="21">
        <f>EXP(-LN(2)/2)*CM184+(1-EXP(-LN(2)/2))/(LN(2)/2)*CG185*CJ185*VLOOKUP('Données projet'!$B$12,Paramètres!$A$1:$I$89,3,0)*0.475*44/12</f>
        <v>5.9620357135905337E-16</v>
      </c>
      <c r="CN185" s="22">
        <f t="shared" si="172"/>
        <v>6.4325115708044303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2.2737367544323206E-13</v>
      </c>
      <c r="CU185" s="17">
        <f>CT185*VLOOKUP('Données projet'!$B$13,Paramètres!$A$1:$I$89,3,0)*VLOOKUP('Données projet'!$B$13,Paramètres!$A$1:$I$89,5,0)</f>
        <v>1.5252226148732008E-13</v>
      </c>
      <c r="CV185" s="13">
        <f t="shared" si="173"/>
        <v>2.1814502464536512E-12</v>
      </c>
      <c r="CW185" s="20">
        <f t="shared" si="174"/>
        <v>4.0650021179971913E-12</v>
      </c>
      <c r="CX185" s="59">
        <f t="shared" si="122"/>
        <v>289.54032746824851</v>
      </c>
      <c r="CY185" s="59">
        <f ca="1">AVERAGE(OFFSET($CX$3,0,0,'Données projet'!$E$13+1,1))-AVERAGE(OFFSET($H$3,0,0,'Données projet'!$E$13+1,1))</f>
        <v>335.73816489539837</v>
      </c>
      <c r="CZ185" s="59">
        <f t="shared" si="150"/>
        <v>254.09787950201044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9.0012098563327001</v>
      </c>
      <c r="DG185" s="21">
        <f>EXP(-LN(2)/25)*DG184+(1-EXP(-LN(2)/25))/(LN(2)/25)*Calculateur!DB185*Calculateur!DD185*VLOOKUP('Données projet'!$B$13,Paramètres!$A$1:$I$89,3,0)*0.475*44/12</f>
        <v>5.1502457916771212</v>
      </c>
      <c r="DH185" s="21">
        <f>EXP(-LN(2)/2)*DH184+(1-EXP(-LN(2)/2))/(LN(2)/2)*DB185*DE185*VLOOKUP('Données projet'!$B$13,Paramètres!$A$1:$I$89,3,0)*0.475*44/12</f>
        <v>7.1239825888929356E-10</v>
      </c>
      <c r="DI185" s="22">
        <f t="shared" si="175"/>
        <v>14.151455648722221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2.5579538487363607E-13</v>
      </c>
      <c r="DP185" s="17">
        <f>DO185*VLOOKUP('Données projet'!$B$14,Paramètres!$A$1:$I$89,3,0)*VLOOKUP('Données projet'!$B$14,Paramètres!$A$1:$I$89,5,0)</f>
        <v>2.4740529624978082E-13</v>
      </c>
      <c r="DQ185" s="13">
        <f t="shared" si="176"/>
        <v>3.3447853361996459E-12</v>
      </c>
      <c r="DR185" s="20">
        <f t="shared" si="177"/>
        <v>6.2563986848494188E-12</v>
      </c>
      <c r="DS185" s="59">
        <f t="shared" si="125"/>
        <v>289.54032746825067</v>
      </c>
      <c r="DT185" s="59">
        <f ca="1">AVERAGE(OFFSET($DS$3,0,0,'Données projet'!$E$14+1,1))-AVERAGE(OFFSET($H$3,0,0,'Données projet'!$E$14+1,1))</f>
        <v>493.03862850474161</v>
      </c>
      <c r="DU185" s="59">
        <f t="shared" si="152"/>
        <v>312.51819065560528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43.119052860454964</v>
      </c>
      <c r="EB185" s="21">
        <f>EXP(-LN(2)/25)*EB184+(1-EXP(-LN(2)/25))/(LN(2)/25)*Calculateur!DW185*Calculateur!DY185*VLOOKUP('Données projet'!$B$14,Paramètres!$A$1:$I$89,3,0)*0.475*44/12</f>
        <v>5.9517787525517711</v>
      </c>
      <c r="EC185" s="21">
        <f>EXP(-LN(2)/2)*EC184+(1-EXP(-LN(2)/2))/(LN(2)/2)*DW185*DZ185*VLOOKUP('Données projet'!$B$14,Paramètres!$A$1:$I$89,3,0)*0.475*44/12</f>
        <v>1.0846323810115852E-7</v>
      </c>
      <c r="ED185" s="22">
        <f t="shared" si="178"/>
        <v>49.070831721469972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2.5579538487363607E-13</v>
      </c>
      <c r="EK185" s="17">
        <f>EJ185*VLOOKUP('Données projet'!$B$15,Paramètres!$A$1:$I$89,3,0)*VLOOKUP('Données projet'!$B$15,Paramètres!$A$1:$I$89,5,0)</f>
        <v>2.7533815227798186E-13</v>
      </c>
      <c r="EL185" s="13">
        <f t="shared" si="179"/>
        <v>3.6763598146902537E-12</v>
      </c>
      <c r="EM185" s="20">
        <f t="shared" si="180"/>
        <v>6.88254062580301E-12</v>
      </c>
      <c r="EN185" s="59">
        <f t="shared" si="128"/>
        <v>289.54032746825129</v>
      </c>
      <c r="EO185" s="59">
        <f ca="1">AVERAGE(OFFSET($EN$3,0,0,'Données projet'!$E$15+1,1))-AVERAGE(OFFSET($H$3,0,0,'Données projet'!$E$15+1,1))</f>
        <v>539.72194201710272</v>
      </c>
      <c r="EP185" s="59">
        <f t="shared" si="154"/>
        <v>340.76505385159362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47.98733302211923</v>
      </c>
      <c r="EW185" s="21">
        <f>EXP(-LN(2)/25)*EW184+(1-EXP(-LN(2)/25))/(LN(2)/25)*Calculateur!ER185*Calculateur!ET185*VLOOKUP('Données projet'!$B$15,Paramètres!$A$1:$I$89,3,0)*0.475*44/12</f>
        <v>6.6237537730011606</v>
      </c>
      <c r="EX185" s="21">
        <f>EXP(-LN(2)/2)*EX184+(1-EXP(-LN(2)/2))/(LN(2)/2)*ER185*EU185*VLOOKUP('Données projet'!$B$15,Paramètres!$A$1:$I$89,3,0)*0.475*44/12</f>
        <v>1.2070908756419236E-7</v>
      </c>
      <c r="EY185" s="22">
        <f t="shared" si="181"/>
        <v>54.611086915829482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>
        <f>FE185*VLOOKUP('Données projet'!$B$16,Paramètres!$A$1:$I$89,3,0)*VLOOKUP('Données projet'!$B$16,Paramètres!$A$1:$I$89,5,0)</f>
        <v>0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383.47860767209028</v>
      </c>
      <c r="FK185" s="59">
        <f t="shared" si="156"/>
        <v>370.49129421395628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7.0307146598716086</v>
      </c>
      <c r="FR185" s="21">
        <f>EXP(-LN(2)/25)*FR184+(1-EXP(-LN(2)/25))/(LN(2)/25)*Calculateur!FM185*Calculateur!FO185*VLOOKUP('Données projet'!$B$16,Paramètres!$A$1:$I$89,3,0)*0.475*44/12</f>
        <v>3.0942053974639059</v>
      </c>
      <c r="FS185" s="21">
        <f>EXP(-LN(2)/2)*FS184+(1-EXP(-LN(2)/2))/(LN(2)/2)*FM185*FP185*VLOOKUP('Données projet'!$B$16,Paramètres!$A$1:$I$89,3,0)*0.475*44/12</f>
        <v>2.8264177078351025E-14</v>
      </c>
      <c r="FT185" s="22">
        <f t="shared" si="184"/>
        <v>10.124920057335544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4.7974999999999994</v>
      </c>
      <c r="FZ185" s="12">
        <f>IF('Données projet'!$A$244&gt;35,FZ184+FY185-GH184,IF(A185&lt;'Données projet'!$A$244,$FW$205^A185,IF(A185='Données projet'!$A$244,'Données projet'!$B$244,FZ184+FY185-GH184)))</f>
        <v>290.54499999999967</v>
      </c>
      <c r="GA185" s="17">
        <f>FZ185*VLOOKUP('Données projet'!$B$17,Paramètres!$A$1:$I$89,3,0)*VLOOKUP('Données projet'!$B$17,Paramètres!$A$1:$I$89,5,0)</f>
        <v>330.87264599999963</v>
      </c>
      <c r="GB185" s="13">
        <f t="shared" si="185"/>
        <v>77.611201134728788</v>
      </c>
      <c r="GC185" s="20">
        <f t="shared" si="186"/>
        <v>711.44270042631854</v>
      </c>
      <c r="GD185" s="59">
        <f t="shared" si="134"/>
        <v>1000.983027894563</v>
      </c>
      <c r="GE185" s="59">
        <f ca="1">AVERAGE(OFFSET($GD$3,0,0,'Données projet'!$E$17+1,1))-AVERAGE(OFFSET($H$3,0,0,'Données projet'!$E$17+1,1))</f>
        <v>640.05156427113661</v>
      </c>
      <c r="GF185" s="59">
        <f t="shared" si="158"/>
        <v>308.77220155372902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88.554487645430783</v>
      </c>
      <c r="GM185" s="21">
        <f>EXP(-LN(2)/25)*GM184+(1-EXP(-LN(2)/25))/(LN(2)/25)*Calculateur!GH185*Calculateur!GJ185*VLOOKUP('Données projet'!$B$17,Paramètres!$A$1:$I$89,3,0)*0.475*44/12</f>
        <v>35.62136141710355</v>
      </c>
      <c r="GN185" s="21">
        <f>EXP(-LN(2)/2)*GN184+(1-EXP(-LN(2)/2))/(LN(2)/2)*GH185*GK185*VLOOKUP('Données projet'!$B$17,Paramètres!$A$1:$I$89,3,0)*0.475*44/12</f>
        <v>1.2651966531184501E-5</v>
      </c>
      <c r="GO185" s="21">
        <f t="shared" si="187"/>
        <v>124.17586171450085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4.7884896048344674E-14</v>
      </c>
      <c r="P186" s="13">
        <f t="shared" si="141"/>
        <v>7.8374629847779921E-13</v>
      </c>
      <c r="Q186" s="20">
        <f t="shared" si="162"/>
        <v>1.4484243304663672E-12</v>
      </c>
      <c r="R186" s="59">
        <f t="shared" si="109"/>
        <v>289.60612764011438</v>
      </c>
      <c r="S186" s="59">
        <f ca="1">AVERAGE(OFFSET($R$3,0,0,'Données projet'!$E$9+1,1))-AVERAGE(OFFSET($H$3,0,0,'Données projet'!$E$9+1,1))</f>
        <v>456.35333554128226</v>
      </c>
      <c r="T186" s="59">
        <f t="shared" si="142"/>
        <v>296.4517290984877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26.626128295722758</v>
      </c>
      <c r="AA186" s="21">
        <f>EXP(-LN(2)/25)*AA185+(1-EXP(-LN(2)/25))/(LN(2)/25)*Calculateur!V186*Calculateur!X186*VLOOKUP('Données projet'!$B$9,Paramètres!$A$1:$I$89,3,0)*0.475*44/12</f>
        <v>3.3088152463637845</v>
      </c>
      <c r="AB186" s="21">
        <f>EXP(-LN(2)/2)*AB185+(1-EXP(-LN(2)/2))/(LN(2)/2)*V186*Y186*VLOOKUP('Données projet'!$B$9,Paramètres!$A$1:$I$89,3,0)*0.475*44/12</f>
        <v>1.9095278808553829E-11</v>
      </c>
      <c r="AC186" s="22">
        <f t="shared" si="163"/>
        <v>29.934943542105639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408.246209980743</v>
      </c>
      <c r="AO186" s="59">
        <f t="shared" si="144"/>
        <v>394.10236303013903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7.4230656055274258</v>
      </c>
      <c r="AV186" s="21">
        <f>EXP(-LN(2)/25)*AV185+(1-EXP(-LN(2)/25))/(LN(2)/25)*Calculateur!AQ186*Calculateur!AS186*VLOOKUP('Données projet'!$B$10,Paramètres!$A$1:$I$89,3,0)*0.475*44/12</f>
        <v>3.2411014333956114</v>
      </c>
      <c r="AW186" s="21">
        <f>EXP(-LN(2)/2)*AW185+(1-EXP(-LN(2)/2))/(LN(2)/2)*AQ186*AT186*VLOOKUP('Données projet'!$B$10,Paramètres!$A$1:$I$89,3,0)*0.475*44/12</f>
        <v>2.1523159836509952E-14</v>
      </c>
      <c r="AX186" s="21">
        <f t="shared" si="166"/>
        <v>10.664167038923058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4.7974999999999994</v>
      </c>
      <c r="BD186" s="12">
        <f>IF('Données projet'!$A$88&gt;35,BD185+BC186-BL185,IF(A186&lt;'Données projet'!$A$88,$BA$205^A186,IF(A186='Données projet'!$A$88,'Données projet'!$B$88,BD185+BC186-BL185)))</f>
        <v>295.34249999999969</v>
      </c>
      <c r="BE186" s="13">
        <f>BD186*VLOOKUP('Données projet'!$B$11,Paramètres!$A$1:$I$89,3,0)*VLOOKUP('Données projet'!$B$11,Paramètres!$A$1:$I$89,5,0)</f>
        <v>299.47729499999969</v>
      </c>
      <c r="BF186" s="13">
        <f t="shared" si="167"/>
        <v>71.066873311318389</v>
      </c>
      <c r="BG186" s="20">
        <f t="shared" si="168"/>
        <v>645.36442647554566</v>
      </c>
      <c r="BH186" s="59">
        <f t="shared" si="116"/>
        <v>934.97055411565862</v>
      </c>
      <c r="BI186" s="59">
        <f ca="1">AVERAGE(OFFSET($BH$3,0,0,'Données projet'!$E$11+1,1))-AVERAGE(OFFSET($H$3,0,0,'Données projet'!$E$11+1,1))</f>
        <v>580.02848304986492</v>
      </c>
      <c r="BJ186" s="59">
        <f t="shared" si="146"/>
        <v>281.68891895586728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77.303688083760562</v>
      </c>
      <c r="BQ186" s="21">
        <f>EXP(-LN(2)/25)*BQ185+(1-EXP(-LN(2)/25))/(LN(2)/25)*Calculateur!BL186*Calculateur!BN186*VLOOKUP('Données projet'!$B$11,Paramètres!$A$1:$I$89,3,0)*0.475*44/12</f>
        <v>30.850329753889685</v>
      </c>
      <c r="BR186" s="21">
        <f>EXP(-LN(2)/2)*BR185+(1-EXP(-LN(2)/2))/(LN(2)/2)*BL186*BO186*VLOOKUP('Données projet'!$B$11,Paramètres!$A$1:$I$89,3,0)*0.475*44/12</f>
        <v>7.9658758413763979E-6</v>
      </c>
      <c r="BS186" s="22">
        <f t="shared" si="169"/>
        <v>108.15402580352608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4.4337866711430253E-14</v>
      </c>
      <c r="CA186" s="13">
        <f t="shared" si="170"/>
        <v>7.3222115536967035E-13</v>
      </c>
      <c r="CB186" s="20">
        <f t="shared" si="171"/>
        <v>1.3525069634579169E-12</v>
      </c>
      <c r="CC186" s="59">
        <f t="shared" si="119"/>
        <v>289.60612764011432</v>
      </c>
      <c r="CD186" s="59">
        <f ca="1">AVERAGE(OFFSET($CC$3,0,0,'Données projet'!$E$12+1,1))-AVERAGE(OFFSET($H$3,0,0,'Données projet'!$E$12+1,1))</f>
        <v>308.85018589589453</v>
      </c>
      <c r="CE186" s="59">
        <f t="shared" si="148"/>
        <v>302.59481222418219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4.4973471752119512</v>
      </c>
      <c r="CL186" s="21">
        <f>EXP(-LN(2)/25)*CL185+(1-EXP(-LN(2)/25))/(LN(2)/25)*Calculateur!CG186*Calculateur!CI186*VLOOKUP('Données projet'!$B$12,Paramètres!$A$1:$I$89,3,0)*0.475*44/12</f>
        <v>1.7947528436261664</v>
      </c>
      <c r="CM186" s="21">
        <f>EXP(-LN(2)/2)*CM185+(1-EXP(-LN(2)/2))/(LN(2)/2)*CG186*CJ186*VLOOKUP('Données projet'!$B$12,Paramètres!$A$1:$I$89,3,0)*0.475*44/12</f>
        <v>4.2157958827562433E-16</v>
      </c>
      <c r="CN186" s="22">
        <f t="shared" si="172"/>
        <v>6.2921000188381173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2.2737367544323206E-13</v>
      </c>
      <c r="CU186" s="17">
        <f>CT186*VLOOKUP('Données projet'!$B$13,Paramètres!$A$1:$I$89,3,0)*VLOOKUP('Données projet'!$B$13,Paramètres!$A$1:$I$89,5,0)</f>
        <v>1.5252226148732008E-13</v>
      </c>
      <c r="CV186" s="13">
        <f t="shared" si="173"/>
        <v>2.1814502464536512E-12</v>
      </c>
      <c r="CW186" s="20">
        <f t="shared" si="174"/>
        <v>4.0650021179971913E-12</v>
      </c>
      <c r="CX186" s="59">
        <f t="shared" si="122"/>
        <v>289.60612764011705</v>
      </c>
      <c r="CY186" s="59">
        <f ca="1">AVERAGE(OFFSET($CX$3,0,0,'Données projet'!$E$13+1,1))-AVERAGE(OFFSET($H$3,0,0,'Données projet'!$E$13+1,1))</f>
        <v>335.73816489539837</v>
      </c>
      <c r="CZ186" s="59">
        <f t="shared" si="150"/>
        <v>254.09787950201044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8.8247016212459162</v>
      </c>
      <c r="DG186" s="21">
        <f>EXP(-LN(2)/25)*DG185+(1-EXP(-LN(2)/25))/(LN(2)/25)*Calculateur!DB186*Calculateur!DD186*VLOOKUP('Données projet'!$B$13,Paramètres!$A$1:$I$89,3,0)*0.475*44/12</f>
        <v>5.0094120496640553</v>
      </c>
      <c r="DH186" s="21">
        <f>EXP(-LN(2)/2)*DH185+(1-EXP(-LN(2)/2))/(LN(2)/2)*DB186*DE186*VLOOKUP('Données projet'!$B$13,Paramètres!$A$1:$I$89,3,0)*0.475*44/12</f>
        <v>5.0374163976610912E-10</v>
      </c>
      <c r="DI186" s="22">
        <f t="shared" si="175"/>
        <v>13.834113671413713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2.5579538487363607E-13</v>
      </c>
      <c r="DP186" s="17">
        <f>DO186*VLOOKUP('Données projet'!$B$14,Paramètres!$A$1:$I$89,3,0)*VLOOKUP('Données projet'!$B$14,Paramètres!$A$1:$I$89,5,0)</f>
        <v>2.4740529624978082E-13</v>
      </c>
      <c r="DQ186" s="13">
        <f t="shared" si="176"/>
        <v>3.3447853361996459E-12</v>
      </c>
      <c r="DR186" s="20">
        <f t="shared" si="177"/>
        <v>6.2563986848494188E-12</v>
      </c>
      <c r="DS186" s="59">
        <f t="shared" si="125"/>
        <v>289.60612764011921</v>
      </c>
      <c r="DT186" s="59">
        <f ca="1">AVERAGE(OFFSET($DS$3,0,0,'Données projet'!$E$14+1,1))-AVERAGE(OFFSET($H$3,0,0,'Données projet'!$E$14+1,1))</f>
        <v>493.03862850474161</v>
      </c>
      <c r="DU186" s="59">
        <f t="shared" si="152"/>
        <v>312.51819065560528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42.273514533886775</v>
      </c>
      <c r="EB186" s="21">
        <f>EXP(-LN(2)/25)*EB185+(1-EXP(-LN(2)/25))/(LN(2)/25)*Calculateur!DW186*Calculateur!DY186*VLOOKUP('Données projet'!$B$14,Paramètres!$A$1:$I$89,3,0)*0.475*44/12</f>
        <v>5.7890270495728009</v>
      </c>
      <c r="EC186" s="21">
        <f>EXP(-LN(2)/2)*EC185+(1-EXP(-LN(2)/2))/(LN(2)/2)*DW186*DZ186*VLOOKUP('Données projet'!$B$14,Paramètres!$A$1:$I$89,3,0)*0.475*44/12</f>
        <v>7.6695091170780304E-8</v>
      </c>
      <c r="ED186" s="22">
        <f t="shared" si="178"/>
        <v>48.062541660154672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2.5579538487363607E-13</v>
      </c>
      <c r="EK186" s="17">
        <f>EJ186*VLOOKUP('Données projet'!$B$15,Paramètres!$A$1:$I$89,3,0)*VLOOKUP('Données projet'!$B$15,Paramètres!$A$1:$I$89,5,0)</f>
        <v>2.7533815227798186E-13</v>
      </c>
      <c r="EL186" s="13">
        <f t="shared" si="179"/>
        <v>3.6763598146902537E-12</v>
      </c>
      <c r="EM186" s="20">
        <f t="shared" si="180"/>
        <v>6.88254062580301E-12</v>
      </c>
      <c r="EN186" s="59">
        <f t="shared" si="128"/>
        <v>289.60612764011984</v>
      </c>
      <c r="EO186" s="59">
        <f ca="1">AVERAGE(OFFSET($EN$3,0,0,'Données projet'!$E$15+1,1))-AVERAGE(OFFSET($H$3,0,0,'Données projet'!$E$15+1,1))</f>
        <v>539.72194201710272</v>
      </c>
      <c r="EP186" s="59">
        <f t="shared" si="154"/>
        <v>340.76505385159362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47.046330690938504</v>
      </c>
      <c r="EW186" s="21">
        <f>EXP(-LN(2)/25)*EW185+(1-EXP(-LN(2)/25))/(LN(2)/25)*Calculateur!ER186*Calculateur!ET186*VLOOKUP('Données projet'!$B$15,Paramètres!$A$1:$I$89,3,0)*0.475*44/12</f>
        <v>6.4426268777503717</v>
      </c>
      <c r="EX186" s="21">
        <f>EXP(-LN(2)/2)*EX185+(1-EXP(-LN(2)/2))/(LN(2)/2)*ER186*EU186*VLOOKUP('Données projet'!$B$15,Paramètres!$A$1:$I$89,3,0)*0.475*44/12</f>
        <v>8.5354214367481174E-8</v>
      </c>
      <c r="EY186" s="22">
        <f t="shared" si="181"/>
        <v>53.488957654043091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>
        <f>FE186*VLOOKUP('Données projet'!$B$16,Paramètres!$A$1:$I$89,3,0)*VLOOKUP('Données projet'!$B$16,Paramètres!$A$1:$I$89,5,0)</f>
        <v>0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383.47860767209028</v>
      </c>
      <c r="FK186" s="59">
        <f t="shared" si="156"/>
        <v>370.49129421395628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6.8928466337040328</v>
      </c>
      <c r="FR186" s="21">
        <f>EXP(-LN(2)/25)*FR185+(1-EXP(-LN(2)/25))/(LN(2)/25)*Calculateur!FM186*Calculateur!FO186*VLOOKUP('Données projet'!$B$16,Paramètres!$A$1:$I$89,3,0)*0.475*44/12</f>
        <v>3.0095941881530655</v>
      </c>
      <c r="FS186" s="21">
        <f>EXP(-LN(2)/2)*FS185+(1-EXP(-LN(2)/2))/(LN(2)/2)*FM186*FP186*VLOOKUP('Données projet'!$B$16,Paramètres!$A$1:$I$89,3,0)*0.475*44/12</f>
        <v>1.9985791276759393E-14</v>
      </c>
      <c r="FT186" s="22">
        <f t="shared" si="184"/>
        <v>9.9024408218571178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4.7974999999999994</v>
      </c>
      <c r="FZ186" s="12">
        <f>IF('Données projet'!$A$244&gt;35,FZ185+FY186-GH185,IF(A186&lt;'Données projet'!$A$244,$FW$205^A186,IF(A186='Données projet'!$A$244,'Données projet'!$B$244,FZ185+FY186-GH185)))</f>
        <v>295.34249999999969</v>
      </c>
      <c r="GA186" s="17">
        <f>FZ186*VLOOKUP('Données projet'!$B$17,Paramètres!$A$1:$I$89,3,0)*VLOOKUP('Données projet'!$B$17,Paramètres!$A$1:$I$89,5,0)</f>
        <v>336.33603899999963</v>
      </c>
      <c r="GB186" s="13">
        <f t="shared" si="185"/>
        <v>78.742472189805937</v>
      </c>
      <c r="GC186" s="20">
        <f t="shared" si="186"/>
        <v>722.92840698891132</v>
      </c>
      <c r="GD186" s="59">
        <f t="shared" si="134"/>
        <v>1012.5345346290243</v>
      </c>
      <c r="GE186" s="59">
        <f ca="1">AVERAGE(OFFSET($GD$3,0,0,'Données projet'!$E$17+1,1))-AVERAGE(OFFSET($H$3,0,0,'Données projet'!$E$17+1,1))</f>
        <v>640.05156427113661</v>
      </c>
      <c r="GF186" s="59">
        <f t="shared" si="158"/>
        <v>308.77220155372902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86.81798815560802</v>
      </c>
      <c r="GM186" s="21">
        <f>EXP(-LN(2)/25)*GM185+(1-EXP(-LN(2)/25))/(LN(2)/25)*Calculateur!GH186*Calculateur!GJ186*VLOOKUP('Données projet'!$B$17,Paramètres!$A$1:$I$89,3,0)*0.475*44/12</f>
        <v>34.647293415906873</v>
      </c>
      <c r="GN186" s="21">
        <f>EXP(-LN(2)/2)*GN185+(1-EXP(-LN(2)/2))/(LN(2)/2)*GH186*GK186*VLOOKUP('Données projet'!$B$17,Paramètres!$A$1:$I$89,3,0)*0.475*44/12</f>
        <v>8.9462913295458013E-6</v>
      </c>
      <c r="GO186" s="21">
        <f t="shared" si="187"/>
        <v>121.46529051780622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4.7884896048344674E-14</v>
      </c>
      <c r="P187" s="13">
        <f t="shared" si="141"/>
        <v>7.8374629847779921E-13</v>
      </c>
      <c r="Q187" s="20">
        <f t="shared" si="162"/>
        <v>1.4484243304663672E-12</v>
      </c>
      <c r="R187" s="59">
        <f t="shared" si="109"/>
        <v>289.67078632610816</v>
      </c>
      <c r="S187" s="59">
        <f ca="1">AVERAGE(OFFSET($R$3,0,0,'Données projet'!$E$9+1,1))-AVERAGE(OFFSET($H$3,0,0,'Données projet'!$E$9+1,1))</f>
        <v>456.35333554128226</v>
      </c>
      <c r="T187" s="59">
        <f t="shared" si="142"/>
        <v>296.4517290984877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26.104006160178294</v>
      </c>
      <c r="AA187" s="21">
        <f>EXP(-LN(2)/25)*AA186+(1-EXP(-LN(2)/25))/(LN(2)/25)*Calculateur!V187*Calculateur!X187*VLOOKUP('Données projet'!$B$9,Paramètres!$A$1:$I$89,3,0)*0.475*44/12</f>
        <v>3.2183355194489356</v>
      </c>
      <c r="AB187" s="21">
        <f>EXP(-LN(2)/2)*AB186+(1-EXP(-LN(2)/2))/(LN(2)/2)*V187*Y187*VLOOKUP('Données projet'!$B$9,Paramètres!$A$1:$I$89,3,0)*0.475*44/12</f>
        <v>1.350240113417619E-11</v>
      </c>
      <c r="AC187" s="22">
        <f t="shared" si="163"/>
        <v>29.322341679640733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408.246209980743</v>
      </c>
      <c r="AO187" s="59">
        <f t="shared" si="144"/>
        <v>394.10236303013903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7.2775038166259867</v>
      </c>
      <c r="AV187" s="21">
        <f>EXP(-LN(2)/25)*AV186+(1-EXP(-LN(2)/25))/(LN(2)/25)*Calculateur!AQ187*Calculateur!AS187*VLOOKUP('Données projet'!$B$10,Paramètres!$A$1:$I$89,3,0)*0.475*44/12</f>
        <v>3.1524733442572916</v>
      </c>
      <c r="AW187" s="21">
        <f>EXP(-LN(2)/2)*AW186+(1-EXP(-LN(2)/2))/(LN(2)/2)*AQ187*AT187*VLOOKUP('Données projet'!$B$10,Paramètres!$A$1:$I$89,3,0)*0.475*44/12</f>
        <v>1.521917227295813E-14</v>
      </c>
      <c r="AX187" s="21">
        <f t="shared" si="166"/>
        <v>10.429977160883295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>
        <f>VLOOKUP(A187,'Données projet'!$A$87:$I$107,2,0)</f>
        <v>300.14</v>
      </c>
      <c r="BB187" s="12">
        <f>VLOOKUP(A187,'Données projet'!$A$87:$I$107,9,0)</f>
        <v>4.7974999999999994</v>
      </c>
      <c r="BC187" s="12">
        <f t="array" ref="BC187">INDEX(BB:BB,MIN(IF(ISNUMBER(BB187:BB383),ROW(BB187:BB383),"")))</f>
        <v>4.7974999999999994</v>
      </c>
      <c r="BD187" s="12">
        <f>IF('Données projet'!$A$88&gt;35,BD186+BC187-BL186,IF(A187&lt;'Données projet'!$A$88,$BA$205^A187,IF(A187='Données projet'!$A$88,'Données projet'!$B$88,BD186+BC187-BL186)))</f>
        <v>300.1399999999997</v>
      </c>
      <c r="BE187" s="13">
        <f>BD187*VLOOKUP('Données projet'!$B$11,Paramètres!$A$1:$I$89,3,0)*VLOOKUP('Données projet'!$B$11,Paramètres!$A$1:$I$89,5,0)</f>
        <v>304.34195999999969</v>
      </c>
      <c r="BF187" s="13">
        <f t="shared" si="167"/>
        <v>72.085942433343163</v>
      </c>
      <c r="BG187" s="20">
        <f t="shared" si="168"/>
        <v>655.61193007140548</v>
      </c>
      <c r="BH187" s="59">
        <f t="shared" si="116"/>
        <v>945.28271639751222</v>
      </c>
      <c r="BI187" s="59">
        <f ca="1">AVERAGE(OFFSET($BH$3,0,0,'Données projet'!$E$11+1,1))-AVERAGE(OFFSET($H$3,0,0,'Données projet'!$E$11+1,1))</f>
        <v>580.02848304986492</v>
      </c>
      <c r="BJ187" s="59">
        <f t="shared" si="146"/>
        <v>281.68891895586728</v>
      </c>
      <c r="BK187" s="15">
        <f>IF(ISNA(VLOOKUP(A187,'Données projet'!$A$87:$I$107,3,0)),0,VLOOKUP(A187,'Données projet'!$A$87:$I$107,3,0))</f>
        <v>14</v>
      </c>
      <c r="BL187" s="15">
        <f>IF(ISNA(VLOOKUP(A187,'Données projet'!$A$87:$I$107,4,0)),0,VLOOKUP(A187,'Données projet'!$A$87:$I$107,4,0))</f>
        <v>101.19999999999999</v>
      </c>
      <c r="BM187" s="16">
        <f>IF(ISNA(VLOOKUP(A187,'Données projet'!$A$87:$I$107,5,0)),0%,VLOOKUP(A187,'Données projet'!$A$87:$I$107,5,0)*VLOOKUP('Données projet'!$B$11,Paramètres!$A$1:$I$89,7,0))</f>
        <v>0.215</v>
      </c>
      <c r="BN187" s="16">
        <f>IF(ISNA(VLOOKUP(A187,'Données projet'!$A$87:$I$107,6,0)),0%,VLOOKUP(A187,'Données projet'!$A$87:$I$107,6,0)*VLOOKUP('Données projet'!$B$11,Paramètres!$A$1:$I$89,7,0))</f>
        <v>8.6000000000000007E-2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100.17737397216023</v>
      </c>
      <c r="BQ187" s="21">
        <f>EXP(-LN(2)/25)*BQ186+(1-EXP(-LN(2)/25))/(LN(2)/25)*Calculateur!BL187*Calculateur!BN187*VLOOKUP('Données projet'!$B$11,Paramètres!$A$1:$I$89,3,0)*0.475*44/12</f>
        <v>39.724139086128069</v>
      </c>
      <c r="BR187" s="21">
        <f>EXP(-LN(2)/2)*BR186+(1-EXP(-LN(2)/2))/(LN(2)/2)*BL187*BO187*VLOOKUP('Données projet'!$B$11,Paramètres!$A$1:$I$89,3,0)*0.475*44/12</f>
        <v>5.6327248255273458E-6</v>
      </c>
      <c r="BS187" s="22">
        <f t="shared" si="169"/>
        <v>139.90151869101311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4.4337866711430253E-14</v>
      </c>
      <c r="CA187" s="13">
        <f t="shared" si="170"/>
        <v>7.3222115536967035E-13</v>
      </c>
      <c r="CB187" s="20">
        <f t="shared" si="171"/>
        <v>1.3525069634579169E-12</v>
      </c>
      <c r="CC187" s="59">
        <f t="shared" si="119"/>
        <v>289.6707863261081</v>
      </c>
      <c r="CD187" s="59">
        <f ca="1">AVERAGE(OFFSET($CC$3,0,0,'Données projet'!$E$12+1,1))-AVERAGE(OFFSET($H$3,0,0,'Données projet'!$E$12+1,1))</f>
        <v>308.85018589589453</v>
      </c>
      <c r="CE187" s="59">
        <f t="shared" si="148"/>
        <v>302.59481222418219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4.4091569402169624</v>
      </c>
      <c r="CL187" s="21">
        <f>EXP(-LN(2)/25)*CL186+(1-EXP(-LN(2)/25))/(LN(2)/25)*Calculateur!CG187*Calculateur!CI187*VLOOKUP('Données projet'!$B$12,Paramètres!$A$1:$I$89,3,0)*0.475*44/12</f>
        <v>1.7456752327352587</v>
      </c>
      <c r="CM187" s="21">
        <f>EXP(-LN(2)/2)*CM186+(1-EXP(-LN(2)/2))/(LN(2)/2)*CG187*CJ187*VLOOKUP('Données projet'!$B$12,Paramètres!$A$1:$I$89,3,0)*0.475*44/12</f>
        <v>2.9810178567952668E-16</v>
      </c>
      <c r="CN187" s="22">
        <f t="shared" si="172"/>
        <v>6.1548321729522213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2.2737367544323206E-13</v>
      </c>
      <c r="CU187" s="17">
        <f>CT187*VLOOKUP('Données projet'!$B$13,Paramètres!$A$1:$I$89,3,0)*VLOOKUP('Données projet'!$B$13,Paramètres!$A$1:$I$89,5,0)</f>
        <v>1.5252226148732008E-13</v>
      </c>
      <c r="CV187" s="13">
        <f t="shared" si="173"/>
        <v>2.1814502464536512E-12</v>
      </c>
      <c r="CW187" s="20">
        <f t="shared" si="174"/>
        <v>4.0650021179971913E-12</v>
      </c>
      <c r="CX187" s="59">
        <f t="shared" si="122"/>
        <v>289.67078632611083</v>
      </c>
      <c r="CY187" s="59">
        <f ca="1">AVERAGE(OFFSET($CX$3,0,0,'Données projet'!$E$13+1,1))-AVERAGE(OFFSET($H$3,0,0,'Données projet'!$E$13+1,1))</f>
        <v>335.73816489539837</v>
      </c>
      <c r="CZ187" s="59">
        <f t="shared" si="150"/>
        <v>254.09787950201044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8.6516546049897922</v>
      </c>
      <c r="DG187" s="21">
        <f>EXP(-LN(2)/25)*DG186+(1-EXP(-LN(2)/25))/(LN(2)/25)*Calculateur!DB187*Calculateur!DD187*VLOOKUP('Données projet'!$B$13,Paramètres!$A$1:$I$89,3,0)*0.475*44/12</f>
        <v>4.8724294137324611</v>
      </c>
      <c r="DH187" s="21">
        <f>EXP(-LN(2)/2)*DH186+(1-EXP(-LN(2)/2))/(LN(2)/2)*DB187*DE187*VLOOKUP('Données projet'!$B$13,Paramètres!$A$1:$I$89,3,0)*0.475*44/12</f>
        <v>3.5619912944464678E-10</v>
      </c>
      <c r="DI187" s="22">
        <f t="shared" si="175"/>
        <v>13.524084019078451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2.5579538487363607E-13</v>
      </c>
      <c r="DP187" s="17">
        <f>DO187*VLOOKUP('Données projet'!$B$14,Paramètres!$A$1:$I$89,3,0)*VLOOKUP('Données projet'!$B$14,Paramètres!$A$1:$I$89,5,0)</f>
        <v>2.4740529624978082E-13</v>
      </c>
      <c r="DQ187" s="13">
        <f t="shared" si="176"/>
        <v>3.3447853361996459E-12</v>
      </c>
      <c r="DR187" s="20">
        <f t="shared" si="177"/>
        <v>6.2563986848494188E-12</v>
      </c>
      <c r="DS187" s="59">
        <f t="shared" si="125"/>
        <v>289.67078632611299</v>
      </c>
      <c r="DT187" s="59">
        <f ca="1">AVERAGE(OFFSET($DS$3,0,0,'Données projet'!$E$14+1,1))-AVERAGE(OFFSET($H$3,0,0,'Données projet'!$E$14+1,1))</f>
        <v>493.03862850474161</v>
      </c>
      <c r="DU187" s="59">
        <f t="shared" si="152"/>
        <v>312.51819065560528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41.444556698175134</v>
      </c>
      <c r="EB187" s="21">
        <f>EXP(-LN(2)/25)*EB186+(1-EXP(-LN(2)/25))/(LN(2)/25)*Calculateur!DW187*Calculateur!DY187*VLOOKUP('Données projet'!$B$14,Paramètres!$A$1:$I$89,3,0)*0.475*44/12</f>
        <v>5.6307258004705307</v>
      </c>
      <c r="EC187" s="21">
        <f>EXP(-LN(2)/2)*EC186+(1-EXP(-LN(2)/2))/(LN(2)/2)*DW187*DZ187*VLOOKUP('Données projet'!$B$14,Paramètres!$A$1:$I$89,3,0)*0.475*44/12</f>
        <v>5.4231619050579262E-8</v>
      </c>
      <c r="ED187" s="22">
        <f t="shared" si="178"/>
        <v>47.075282552877283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2.5579538487363607E-13</v>
      </c>
      <c r="EK187" s="17">
        <f>EJ187*VLOOKUP('Données projet'!$B$15,Paramètres!$A$1:$I$89,3,0)*VLOOKUP('Données projet'!$B$15,Paramètres!$A$1:$I$89,5,0)</f>
        <v>2.7533815227798186E-13</v>
      </c>
      <c r="EL187" s="13">
        <f t="shared" si="179"/>
        <v>3.6763598146902537E-12</v>
      </c>
      <c r="EM187" s="20">
        <f t="shared" si="180"/>
        <v>6.88254062580301E-12</v>
      </c>
      <c r="EN187" s="59">
        <f t="shared" si="128"/>
        <v>289.67078632611361</v>
      </c>
      <c r="EO187" s="59">
        <f ca="1">AVERAGE(OFFSET($EN$3,0,0,'Données projet'!$E$15+1,1))-AVERAGE(OFFSET($H$3,0,0,'Données projet'!$E$15+1,1))</f>
        <v>539.72194201710272</v>
      </c>
      <c r="EP187" s="59">
        <f t="shared" si="154"/>
        <v>340.76505385159362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46.12378084151748</v>
      </c>
      <c r="EW187" s="21">
        <f>EXP(-LN(2)/25)*EW186+(1-EXP(-LN(2)/25))/(LN(2)/25)*Calculateur!ER187*Calculateur!ET187*VLOOKUP('Données projet'!$B$15,Paramètres!$A$1:$I$89,3,0)*0.475*44/12</f>
        <v>6.2664529069752648</v>
      </c>
      <c r="EX187" s="21">
        <f>EXP(-LN(2)/2)*EX186+(1-EXP(-LN(2)/2))/(LN(2)/2)*ER187*EU187*VLOOKUP('Données projet'!$B$15,Paramètres!$A$1:$I$89,3,0)*0.475*44/12</f>
        <v>6.0354543782096182E-8</v>
      </c>
      <c r="EY187" s="22">
        <f t="shared" si="181"/>
        <v>52.390233808847292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>
        <f>FE187*VLOOKUP('Données projet'!$B$16,Paramètres!$A$1:$I$89,3,0)*VLOOKUP('Données projet'!$B$16,Paramètres!$A$1:$I$89,5,0)</f>
        <v>0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383.47860767209028</v>
      </c>
      <c r="FK187" s="59">
        <f t="shared" si="156"/>
        <v>370.49129421395628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6.7576821154384108</v>
      </c>
      <c r="FR187" s="21">
        <f>EXP(-LN(2)/25)*FR186+(1-EXP(-LN(2)/25))/(LN(2)/25)*Calculateur!FM187*Calculateur!FO187*VLOOKUP('Données projet'!$B$16,Paramètres!$A$1:$I$89,3,0)*0.475*44/12</f>
        <v>2.9272966768103399</v>
      </c>
      <c r="FS187" s="21">
        <f>EXP(-LN(2)/2)*FS186+(1-EXP(-LN(2)/2))/(LN(2)/2)*FM187*FP187*VLOOKUP('Données projet'!$B$16,Paramètres!$A$1:$I$89,3,0)*0.475*44/12</f>
        <v>1.4132088539175516E-14</v>
      </c>
      <c r="FT187" s="22">
        <f t="shared" si="184"/>
        <v>9.6849787922487653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>
        <f>VLOOKUP(A187,'Données projet'!$A$243:$I$263,2,0)</f>
        <v>300.14</v>
      </c>
      <c r="FX187" s="12">
        <f>VLOOKUP(A187,'Données projet'!$A$243:$I$263,9,0)</f>
        <v>4.7974999999999994</v>
      </c>
      <c r="FY187" s="12">
        <f t="array" ref="FY187">INDEX(FX:FX,MIN(IF(ISNUMBER(FX187:FX383),ROW(FX187:FX383),"")))</f>
        <v>4.7974999999999994</v>
      </c>
      <c r="FZ187" s="12">
        <f>IF('Données projet'!$A$244&gt;35,FZ186+FY187-GH186,IF(A187&lt;'Données projet'!$A$244,$FW$205^A187,IF(A187='Données projet'!$A$244,'Données projet'!$B$244,FZ186+FY187-GH186)))</f>
        <v>300.1399999999997</v>
      </c>
      <c r="GA187" s="17">
        <f>FZ187*VLOOKUP('Données projet'!$B$17,Paramètres!$A$1:$I$89,3,0)*VLOOKUP('Données projet'!$B$17,Paramètres!$A$1:$I$89,5,0)</f>
        <v>341.79943199999968</v>
      </c>
      <c r="GB187" s="13">
        <f t="shared" si="185"/>
        <v>79.871606176734076</v>
      </c>
      <c r="GC187" s="20">
        <f t="shared" si="186"/>
        <v>734.41039149114465</v>
      </c>
      <c r="GD187" s="59">
        <f t="shared" si="134"/>
        <v>1024.0811778172515</v>
      </c>
      <c r="GE187" s="59">
        <f ca="1">AVERAGE(OFFSET($GD$3,0,0,'Données projet'!$E$17+1,1))-AVERAGE(OFFSET($H$3,0,0,'Données projet'!$E$17+1,1))</f>
        <v>640.05156427113661</v>
      </c>
      <c r="GF187" s="59">
        <f t="shared" si="158"/>
        <v>308.77220155372902</v>
      </c>
      <c r="GG187" s="15">
        <f>IF(ISNA(VLOOKUP(A187,'Données projet'!$A$243:$I$263,3,0)),0,VLOOKUP(A187,'Données projet'!$A$243:$I$263,3,0))</f>
        <v>14</v>
      </c>
      <c r="GH187" s="15">
        <f>IF(ISNA(VLOOKUP(A187,'Données projet'!$A$243:$I$263,4,0)),0,VLOOKUP(A187,'Données projet'!$A$243:$I$263,4,0))</f>
        <v>101.19999999999999</v>
      </c>
      <c r="GI187" s="16">
        <f>IF(ISNA(VLOOKUP(A187,'Données projet'!$A$243:$I$263,5,0)),0%,VLOOKUP(A187,'Données projet'!$A$243:$I$263,5,0)*VLOOKUP('Données projet'!$B$17,Paramètres!$A$1:$I$89,7,0))</f>
        <v>0.215</v>
      </c>
      <c r="GJ187" s="16">
        <f>IF(ISNA(VLOOKUP(A187,'Données projet'!$A$243:$I$263,6,0)),0%,VLOOKUP(A187,'Données projet'!$A$243:$I$263,6,0)*VLOOKUP('Données projet'!$B$17,Paramètres!$A$1:$I$89,7,0))</f>
        <v>8.6000000000000007E-2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112.50689692257995</v>
      </c>
      <c r="GM187" s="21">
        <f>EXP(-LN(2)/25)*GM186+(1-EXP(-LN(2)/25))/(LN(2)/25)*Calculateur!GH187*Calculateur!GJ187*VLOOKUP('Données projet'!$B$17,Paramètres!$A$1:$I$89,3,0)*0.475*44/12</f>
        <v>44.613263896728441</v>
      </c>
      <c r="GN187" s="21">
        <f>EXP(-LN(2)/2)*GN186+(1-EXP(-LN(2)/2))/(LN(2)/2)*GH187*GK187*VLOOKUP('Données projet'!$B$17,Paramètres!$A$1:$I$89,3,0)*0.475*44/12</f>
        <v>6.3259832655922503E-6</v>
      </c>
      <c r="GO187" s="21">
        <f t="shared" si="187"/>
        <v>157.12016714529167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4.7884896048344674E-14</v>
      </c>
      <c r="P188" s="13">
        <f t="shared" si="141"/>
        <v>7.8374629847779921E-13</v>
      </c>
      <c r="Q188" s="20">
        <f t="shared" si="162"/>
        <v>1.4484243304663672E-12</v>
      </c>
      <c r="R188" s="59">
        <f t="shared" si="109"/>
        <v>289.73432332845516</v>
      </c>
      <c r="S188" s="59">
        <f ca="1">AVERAGE(OFFSET($R$3,0,0,'Données projet'!$E$9+1,1))-AVERAGE(OFFSET($H$3,0,0,'Données projet'!$E$9+1,1))</f>
        <v>456.35333554128226</v>
      </c>
      <c r="T188" s="59">
        <f t="shared" si="142"/>
        <v>296.4517290984877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25.5921225212488</v>
      </c>
      <c r="AA188" s="21">
        <f>EXP(-LN(2)/25)*AA187+(1-EXP(-LN(2)/25))/(LN(2)/25)*Calculateur!V188*Calculateur!X188*VLOOKUP('Données projet'!$B$9,Paramètres!$A$1:$I$89,3,0)*0.475*44/12</f>
        <v>3.130329965424695</v>
      </c>
      <c r="AB188" s="21">
        <f>EXP(-LN(2)/2)*AB187+(1-EXP(-LN(2)/2))/(LN(2)/2)*V188*Y188*VLOOKUP('Données projet'!$B$9,Paramètres!$A$1:$I$89,3,0)*0.475*44/12</f>
        <v>9.5476394042769143E-12</v>
      </c>
      <c r="AC188" s="22">
        <f t="shared" si="163"/>
        <v>28.722452486683043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408.246209980743</v>
      </c>
      <c r="AO188" s="59">
        <f t="shared" si="144"/>
        <v>394.10236303013903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7.1347964056209801</v>
      </c>
      <c r="AV188" s="21">
        <f>EXP(-LN(2)/25)*AV187+(1-EXP(-LN(2)/25))/(LN(2)/25)*Calculateur!AQ188*Calculateur!AS188*VLOOKUP('Données projet'!$B$10,Paramètres!$A$1:$I$89,3,0)*0.475*44/12</f>
        <v>3.066268794877208</v>
      </c>
      <c r="AW188" s="21">
        <f>EXP(-LN(2)/2)*AW187+(1-EXP(-LN(2)/2))/(LN(2)/2)*AQ188*AT188*VLOOKUP('Données projet'!$B$10,Paramètres!$A$1:$I$89,3,0)*0.475*44/12</f>
        <v>1.0761579918254976E-14</v>
      </c>
      <c r="AX188" s="21">
        <f t="shared" si="166"/>
        <v>10.201065200498199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3.0825000000000031</v>
      </c>
      <c r="BD188" s="12">
        <f>IF('Données projet'!$A$88&gt;35,BD187+BC188-BL187,IF(A188&lt;'Données projet'!$A$88,$BA$205^A188,IF(A188='Données projet'!$A$88,'Données projet'!$B$88,BD187+BC188-BL187)))</f>
        <v>202.0224999999997</v>
      </c>
      <c r="BE188" s="13">
        <f>BD188*VLOOKUP('Données projet'!$B$11,Paramètres!$A$1:$I$89,3,0)*VLOOKUP('Données projet'!$B$11,Paramètres!$A$1:$I$89,5,0)</f>
        <v>204.8508149999997</v>
      </c>
      <c r="BF188" s="13">
        <f t="shared" si="167"/>
        <v>50.808738613533862</v>
      </c>
      <c r="BG188" s="20">
        <f t="shared" si="168"/>
        <v>445.27372254357095</v>
      </c>
      <c r="BH188" s="59">
        <f t="shared" si="116"/>
        <v>735.0080458720247</v>
      </c>
      <c r="BI188" s="59">
        <f ca="1">AVERAGE(OFFSET($BH$3,0,0,'Données projet'!$E$11+1,1))-AVERAGE(OFFSET($H$3,0,0,'Données projet'!$E$11+1,1))</f>
        <v>580.02848304986492</v>
      </c>
      <c r="BJ188" s="59">
        <f t="shared" si="146"/>
        <v>281.68891895586728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98.212956770730955</v>
      </c>
      <c r="BQ188" s="21">
        <f>EXP(-LN(2)/25)*BQ187+(1-EXP(-LN(2)/25))/(LN(2)/25)*Calculateur!BL188*Calculateur!BN188*VLOOKUP('Données projet'!$B$11,Paramètres!$A$1:$I$89,3,0)*0.475*44/12</f>
        <v>38.637880413816212</v>
      </c>
      <c r="BR188" s="21">
        <f>EXP(-LN(2)/2)*BR187+(1-EXP(-LN(2)/2))/(LN(2)/2)*BL188*BO188*VLOOKUP('Données projet'!$B$11,Paramètres!$A$1:$I$89,3,0)*0.475*44/12</f>
        <v>3.982937920688199E-6</v>
      </c>
      <c r="BS188" s="22">
        <f t="shared" si="169"/>
        <v>136.8508411674851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4.4337866711430253E-14</v>
      </c>
      <c r="CA188" s="13">
        <f t="shared" si="170"/>
        <v>7.3222115536967035E-13</v>
      </c>
      <c r="CB188" s="20">
        <f t="shared" si="171"/>
        <v>1.3525069634579169E-12</v>
      </c>
      <c r="CC188" s="59">
        <f t="shared" si="119"/>
        <v>289.7343233284551</v>
      </c>
      <c r="CD188" s="59">
        <f ca="1">AVERAGE(OFFSET($CC$3,0,0,'Données projet'!$E$12+1,1))-AVERAGE(OFFSET($H$3,0,0,'Données projet'!$E$12+1,1))</f>
        <v>308.85018589589453</v>
      </c>
      <c r="CE188" s="59">
        <f t="shared" si="148"/>
        <v>302.59481222418219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4.3226960619394932</v>
      </c>
      <c r="CL188" s="21">
        <f>EXP(-LN(2)/25)*CL187+(1-EXP(-LN(2)/25))/(LN(2)/25)*Calculateur!CG188*Calculateur!CI188*VLOOKUP('Données projet'!$B$12,Paramètres!$A$1:$I$89,3,0)*0.475*44/12</f>
        <v>1.6979396516950425</v>
      </c>
      <c r="CM188" s="21">
        <f>EXP(-LN(2)/2)*CM187+(1-EXP(-LN(2)/2))/(LN(2)/2)*CG188*CJ188*VLOOKUP('Données projet'!$B$12,Paramètres!$A$1:$I$89,3,0)*0.475*44/12</f>
        <v>2.1078979413781216E-16</v>
      </c>
      <c r="CN188" s="22">
        <f t="shared" si="172"/>
        <v>6.0206357136345359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2.2737367544323206E-13</v>
      </c>
      <c r="CU188" s="17">
        <f>CT188*VLOOKUP('Données projet'!$B$13,Paramètres!$A$1:$I$89,3,0)*VLOOKUP('Données projet'!$B$13,Paramètres!$A$1:$I$89,5,0)</f>
        <v>1.5252226148732008E-13</v>
      </c>
      <c r="CV188" s="13">
        <f t="shared" si="173"/>
        <v>2.1814502464536512E-12</v>
      </c>
      <c r="CW188" s="20">
        <f t="shared" si="174"/>
        <v>4.0650021179971913E-12</v>
      </c>
      <c r="CX188" s="59">
        <f t="shared" si="122"/>
        <v>289.73432332845783</v>
      </c>
      <c r="CY188" s="59">
        <f ca="1">AVERAGE(OFFSET($CX$3,0,0,'Données projet'!$E$13+1,1))-AVERAGE(OFFSET($H$3,0,0,'Données projet'!$E$13+1,1))</f>
        <v>335.73816489539837</v>
      </c>
      <c r="CZ188" s="59">
        <f t="shared" si="150"/>
        <v>254.09787950201044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8.4820009351741916</v>
      </c>
      <c r="DG188" s="21">
        <f>EXP(-LN(2)/25)*DG187+(1-EXP(-LN(2)/25))/(LN(2)/25)*Calculateur!DB188*Calculateur!DD188*VLOOKUP('Données projet'!$B$13,Paramètres!$A$1:$I$89,3,0)*0.475*44/12</f>
        <v>4.7391925751840205</v>
      </c>
      <c r="DH188" s="21">
        <f>EXP(-LN(2)/2)*DH187+(1-EXP(-LN(2)/2))/(LN(2)/2)*DB188*DE188*VLOOKUP('Données projet'!$B$13,Paramètres!$A$1:$I$89,3,0)*0.475*44/12</f>
        <v>2.5187081988305456E-10</v>
      </c>
      <c r="DI188" s="22">
        <f t="shared" si="175"/>
        <v>13.221193510610084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2.5579538487363607E-13</v>
      </c>
      <c r="DP188" s="17">
        <f>DO188*VLOOKUP('Données projet'!$B$14,Paramètres!$A$1:$I$89,3,0)*VLOOKUP('Données projet'!$B$14,Paramètres!$A$1:$I$89,5,0)</f>
        <v>2.4740529624978082E-13</v>
      </c>
      <c r="DQ188" s="13">
        <f t="shared" si="176"/>
        <v>3.3447853361996459E-12</v>
      </c>
      <c r="DR188" s="20">
        <f t="shared" si="177"/>
        <v>6.2563986848494188E-12</v>
      </c>
      <c r="DS188" s="59">
        <f t="shared" si="125"/>
        <v>289.73432332845999</v>
      </c>
      <c r="DT188" s="59">
        <f ca="1">AVERAGE(OFFSET($DS$3,0,0,'Données projet'!$E$14+1,1))-AVERAGE(OFFSET($H$3,0,0,'Données projet'!$E$14+1,1))</f>
        <v>493.03862850474161</v>
      </c>
      <c r="DU188" s="59">
        <f t="shared" si="152"/>
        <v>312.51819065560528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40.63185422000744</v>
      </c>
      <c r="EB188" s="21">
        <f>EXP(-LN(2)/25)*EB187+(1-EXP(-LN(2)/25))/(LN(2)/25)*Calculateur!DW188*Calculateur!DY188*VLOOKUP('Données projet'!$B$14,Paramètres!$A$1:$I$89,3,0)*0.475*44/12</f>
        <v>5.4767533073496635</v>
      </c>
      <c r="EC188" s="21">
        <f>EXP(-LN(2)/2)*EC187+(1-EXP(-LN(2)/2))/(LN(2)/2)*DW188*DZ188*VLOOKUP('Données projet'!$B$14,Paramètres!$A$1:$I$89,3,0)*0.475*44/12</f>
        <v>3.8347545585390152E-8</v>
      </c>
      <c r="ED188" s="22">
        <f t="shared" si="178"/>
        <v>46.108607565704645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2.5579538487363607E-13</v>
      </c>
      <c r="EK188" s="17">
        <f>EJ188*VLOOKUP('Données projet'!$B$15,Paramètres!$A$1:$I$89,3,0)*VLOOKUP('Données projet'!$B$15,Paramètres!$A$1:$I$89,5,0)</f>
        <v>2.7533815227798186E-13</v>
      </c>
      <c r="EL188" s="13">
        <f t="shared" si="179"/>
        <v>3.6763598146902537E-12</v>
      </c>
      <c r="EM188" s="20">
        <f t="shared" si="180"/>
        <v>6.88254062580301E-12</v>
      </c>
      <c r="EN188" s="59">
        <f t="shared" si="128"/>
        <v>289.73432332846062</v>
      </c>
      <c r="EO188" s="59">
        <f ca="1">AVERAGE(OFFSET($EN$3,0,0,'Données projet'!$E$15+1,1))-AVERAGE(OFFSET($H$3,0,0,'Données projet'!$E$15+1,1))</f>
        <v>539.72194201710272</v>
      </c>
      <c r="EP188" s="59">
        <f t="shared" si="154"/>
        <v>340.76505385159362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45.219321631943757</v>
      </c>
      <c r="EW188" s="21">
        <f>EXP(-LN(2)/25)*EW187+(1-EXP(-LN(2)/25))/(LN(2)/25)*Calculateur!ER188*Calculateur!ET188*VLOOKUP('Données projet'!$B$15,Paramètres!$A$1:$I$89,3,0)*0.475*44/12</f>
        <v>6.0950964226955904</v>
      </c>
      <c r="EX188" s="21">
        <f>EXP(-LN(2)/2)*EX187+(1-EXP(-LN(2)/2))/(LN(2)/2)*ER188*EU188*VLOOKUP('Données projet'!$B$15,Paramètres!$A$1:$I$89,3,0)*0.475*44/12</f>
        <v>4.2677107183740587E-8</v>
      </c>
      <c r="EY188" s="22">
        <f t="shared" si="181"/>
        <v>51.314418097316455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>
        <f>FE188*VLOOKUP('Données projet'!$B$16,Paramètres!$A$1:$I$89,3,0)*VLOOKUP('Données projet'!$B$16,Paramètres!$A$1:$I$89,5,0)</f>
        <v>0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383.47860767209028</v>
      </c>
      <c r="FK188" s="59">
        <f t="shared" si="156"/>
        <v>370.49129421395628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6.6251680909337622</v>
      </c>
      <c r="FR188" s="21">
        <f>EXP(-LN(2)/25)*FR187+(1-EXP(-LN(2)/25))/(LN(2)/25)*Calculateur!FM188*Calculateur!FO188*VLOOKUP('Données projet'!$B$16,Paramètres!$A$1:$I$89,3,0)*0.475*44/12</f>
        <v>2.8472495952431194</v>
      </c>
      <c r="FS188" s="21">
        <f>EXP(-LN(2)/2)*FS187+(1-EXP(-LN(2)/2))/(LN(2)/2)*FM188*FP188*VLOOKUP('Données projet'!$B$16,Paramètres!$A$1:$I$89,3,0)*0.475*44/12</f>
        <v>9.9928956383796982E-15</v>
      </c>
      <c r="FT188" s="22">
        <f t="shared" si="184"/>
        <v>9.4724176861768932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3.0825000000000031</v>
      </c>
      <c r="FZ188" s="12">
        <f>IF('Données projet'!$A$244&gt;35,FZ187+FY188-GH187,IF(A188&lt;'Données projet'!$A$244,$FW$205^A188,IF(A188='Données projet'!$A$244,'Données projet'!$B$244,FZ187+FY188-GH187)))</f>
        <v>202.0224999999997</v>
      </c>
      <c r="GA188" s="17">
        <f>FZ188*VLOOKUP('Données projet'!$B$17,Paramètres!$A$1:$I$89,3,0)*VLOOKUP('Données projet'!$B$17,Paramètres!$A$1:$I$89,5,0)</f>
        <v>230.06322299999965</v>
      </c>
      <c r="GB188" s="13">
        <f t="shared" si="185"/>
        <v>56.296351603217715</v>
      </c>
      <c r="GC188" s="20">
        <f t="shared" si="186"/>
        <v>498.74292576727026</v>
      </c>
      <c r="GD188" s="59">
        <f t="shared" si="134"/>
        <v>788.47724909572401</v>
      </c>
      <c r="GE188" s="59">
        <f ca="1">AVERAGE(OFFSET($GD$3,0,0,'Données projet'!$E$17+1,1))-AVERAGE(OFFSET($H$3,0,0,'Données projet'!$E$17+1,1))</f>
        <v>640.05156427113661</v>
      </c>
      <c r="GF188" s="59">
        <f t="shared" si="158"/>
        <v>308.77220155372902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110.30070529635938</v>
      </c>
      <c r="GM188" s="21">
        <f>EXP(-LN(2)/25)*GM187+(1-EXP(-LN(2)/25))/(LN(2)/25)*Calculateur!GH188*Calculateur!GJ188*VLOOKUP('Données projet'!$B$17,Paramètres!$A$1:$I$89,3,0)*0.475*44/12</f>
        <v>43.393311849362817</v>
      </c>
      <c r="GN188" s="21">
        <f>EXP(-LN(2)/2)*GN187+(1-EXP(-LN(2)/2))/(LN(2)/2)*GH188*GK188*VLOOKUP('Données projet'!$B$17,Paramètres!$A$1:$I$89,3,0)*0.475*44/12</f>
        <v>4.4731456647729007E-6</v>
      </c>
      <c r="GO188" s="21">
        <f t="shared" si="187"/>
        <v>153.69402161886785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4.7884896048344674E-14</v>
      </c>
      <c r="P189" s="13">
        <f t="shared" si="141"/>
        <v>7.8374629847779921E-13</v>
      </c>
      <c r="Q189" s="20">
        <f t="shared" si="162"/>
        <v>1.4484243304663672E-12</v>
      </c>
      <c r="R189" s="59">
        <f t="shared" si="109"/>
        <v>289.79675810585883</v>
      </c>
      <c r="S189" s="59">
        <f ca="1">AVERAGE(OFFSET($R$3,0,0,'Données projet'!$E$9+1,1))-AVERAGE(OFFSET($H$3,0,0,'Données projet'!$E$9+1,1))</f>
        <v>456.35333554128226</v>
      </c>
      <c r="T189" s="59">
        <f t="shared" si="142"/>
        <v>296.4517290984877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25.090276608260524</v>
      </c>
      <c r="AA189" s="21">
        <f>EXP(-LN(2)/25)*AA188+(1-EXP(-LN(2)/25))/(LN(2)/25)*Calculateur!V189*Calculateur!X189*VLOOKUP('Données projet'!$B$9,Paramètres!$A$1:$I$89,3,0)*0.475*44/12</f>
        <v>3.0447309279032582</v>
      </c>
      <c r="AB189" s="21">
        <f>EXP(-LN(2)/2)*AB188+(1-EXP(-LN(2)/2))/(LN(2)/2)*V189*Y189*VLOOKUP('Données projet'!$B$9,Paramètres!$A$1:$I$89,3,0)*0.475*44/12</f>
        <v>6.7512005670880951E-12</v>
      </c>
      <c r="AC189" s="22">
        <f t="shared" si="163"/>
        <v>28.135007536170534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408.246209980743</v>
      </c>
      <c r="AO189" s="59">
        <f t="shared" si="144"/>
        <v>394.10236303013903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6.994887399902856</v>
      </c>
      <c r="AV189" s="21">
        <f>EXP(-LN(2)/25)*AV188+(1-EXP(-LN(2)/25))/(LN(2)/25)*Calculateur!AQ189*Calculateur!AS189*VLOOKUP('Données projet'!$B$10,Paramètres!$A$1:$I$89,3,0)*0.475*44/12</f>
        <v>2.982421513433223</v>
      </c>
      <c r="AW189" s="21">
        <f>EXP(-LN(2)/2)*AW188+(1-EXP(-LN(2)/2))/(LN(2)/2)*AQ189*AT189*VLOOKUP('Données projet'!$B$10,Paramètres!$A$1:$I$89,3,0)*0.475*44/12</f>
        <v>7.6095861364790651E-15</v>
      </c>
      <c r="AX189" s="21">
        <f t="shared" si="166"/>
        <v>9.9773089133360866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3.0825000000000031</v>
      </c>
      <c r="BD189" s="12">
        <f>IF('Données projet'!$A$88&gt;35,BD188+BC189-BL188,IF(A189&lt;'Données projet'!$A$88,$BA$205^A189,IF(A189='Données projet'!$A$88,'Données projet'!$B$88,BD188+BC189-BL188)))</f>
        <v>205.10499999999971</v>
      </c>
      <c r="BE189" s="13">
        <f>BD189*VLOOKUP('Données projet'!$B$11,Paramètres!$A$1:$I$89,3,0)*VLOOKUP('Données projet'!$B$11,Paramètres!$A$1:$I$89,5,0)</f>
        <v>207.97646999999969</v>
      </c>
      <c r="BF189" s="13">
        <f t="shared" si="167"/>
        <v>51.493144603798712</v>
      </c>
      <c r="BG189" s="20">
        <f t="shared" si="168"/>
        <v>451.90957876828219</v>
      </c>
      <c r="BH189" s="59">
        <f t="shared" si="116"/>
        <v>741.70633687413965</v>
      </c>
      <c r="BI189" s="59">
        <f ca="1">AVERAGE(OFFSET($BH$3,0,0,'Données projet'!$E$11+1,1))-AVERAGE(OFFSET($H$3,0,0,'Données projet'!$E$11+1,1))</f>
        <v>580.02848304986492</v>
      </c>
      <c r="BJ189" s="59">
        <f t="shared" si="146"/>
        <v>281.68891895586728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96.287060592445528</v>
      </c>
      <c r="BQ189" s="21">
        <f>EXP(-LN(2)/25)*BQ188+(1-EXP(-LN(2)/25))/(LN(2)/25)*Calculateur!BL189*Calculateur!BN189*VLOOKUP('Données projet'!$B$11,Paramètres!$A$1:$I$89,3,0)*0.475*44/12</f>
        <v>37.581325542022583</v>
      </c>
      <c r="BR189" s="21">
        <f>EXP(-LN(2)/2)*BR188+(1-EXP(-LN(2)/2))/(LN(2)/2)*BL189*BO189*VLOOKUP('Données projet'!$B$11,Paramètres!$A$1:$I$89,3,0)*0.475*44/12</f>
        <v>2.8163624127636729E-6</v>
      </c>
      <c r="BS189" s="22">
        <f t="shared" si="169"/>
        <v>133.86838895083051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4.4337866711430253E-14</v>
      </c>
      <c r="CA189" s="13">
        <f t="shared" si="170"/>
        <v>7.3222115536967035E-13</v>
      </c>
      <c r="CB189" s="20">
        <f t="shared" si="171"/>
        <v>1.3525069634579169E-12</v>
      </c>
      <c r="CC189" s="59">
        <f t="shared" si="119"/>
        <v>289.79675810585877</v>
      </c>
      <c r="CD189" s="59">
        <f ca="1">AVERAGE(OFFSET($CC$3,0,0,'Données projet'!$E$12+1,1))-AVERAGE(OFFSET($H$3,0,0,'Données projet'!$E$12+1,1))</f>
        <v>308.85018589589453</v>
      </c>
      <c r="CE189" s="59">
        <f t="shared" si="148"/>
        <v>302.59481222418219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4.2379306287491163</v>
      </c>
      <c r="CL189" s="21">
        <f>EXP(-LN(2)/25)*CL188+(1-EXP(-LN(2)/25))/(LN(2)/25)*Calculateur!CG189*Calculateur!CI189*VLOOKUP('Données projet'!$B$12,Paramètres!$A$1:$I$89,3,0)*0.475*44/12</f>
        <v>1.6515094026286758</v>
      </c>
      <c r="CM189" s="21">
        <f>EXP(-LN(2)/2)*CM188+(1-EXP(-LN(2)/2))/(LN(2)/2)*CG189*CJ189*VLOOKUP('Données projet'!$B$12,Paramètres!$A$1:$I$89,3,0)*0.475*44/12</f>
        <v>1.4905089283976334E-16</v>
      </c>
      <c r="CN189" s="22">
        <f t="shared" si="172"/>
        <v>5.8894400313777924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2.2737367544323206E-13</v>
      </c>
      <c r="CU189" s="17">
        <f>CT189*VLOOKUP('Données projet'!$B$13,Paramètres!$A$1:$I$89,3,0)*VLOOKUP('Données projet'!$B$13,Paramètres!$A$1:$I$89,5,0)</f>
        <v>1.5252226148732008E-13</v>
      </c>
      <c r="CV189" s="13">
        <f t="shared" si="173"/>
        <v>2.1814502464536512E-12</v>
      </c>
      <c r="CW189" s="20">
        <f t="shared" si="174"/>
        <v>4.0650021179971913E-12</v>
      </c>
      <c r="CX189" s="59">
        <f t="shared" si="122"/>
        <v>289.7967581058615</v>
      </c>
      <c r="CY189" s="59">
        <f ca="1">AVERAGE(OFFSET($CX$3,0,0,'Données projet'!$E$13+1,1))-AVERAGE(OFFSET($H$3,0,0,'Données projet'!$E$13+1,1))</f>
        <v>335.73816489539837</v>
      </c>
      <c r="CZ189" s="59">
        <f t="shared" si="150"/>
        <v>254.09787950201044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8.315674070345155</v>
      </c>
      <c r="DG189" s="21">
        <f>EXP(-LN(2)/25)*DG188+(1-EXP(-LN(2)/25))/(LN(2)/25)*Calculateur!DB189*Calculateur!DD189*VLOOKUP('Données projet'!$B$13,Paramètres!$A$1:$I$89,3,0)*0.475*44/12</f>
        <v>4.6095991049923075</v>
      </c>
      <c r="DH189" s="21">
        <f>EXP(-LN(2)/2)*DH188+(1-EXP(-LN(2)/2))/(LN(2)/2)*DB189*DE189*VLOOKUP('Données projet'!$B$13,Paramètres!$A$1:$I$89,3,0)*0.475*44/12</f>
        <v>1.7809956472232339E-10</v>
      </c>
      <c r="DI189" s="22">
        <f t="shared" si="175"/>
        <v>12.925273175515562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2.5579538487363607E-13</v>
      </c>
      <c r="DP189" s="17">
        <f>DO189*VLOOKUP('Données projet'!$B$14,Paramètres!$A$1:$I$89,3,0)*VLOOKUP('Données projet'!$B$14,Paramètres!$A$1:$I$89,5,0)</f>
        <v>2.4740529624978082E-13</v>
      </c>
      <c r="DQ189" s="13">
        <f t="shared" si="176"/>
        <v>3.3447853361996459E-12</v>
      </c>
      <c r="DR189" s="20">
        <f t="shared" si="177"/>
        <v>6.2563986848494188E-12</v>
      </c>
      <c r="DS189" s="59">
        <f t="shared" si="125"/>
        <v>289.79675810586366</v>
      </c>
      <c r="DT189" s="59">
        <f ca="1">AVERAGE(OFFSET($DS$3,0,0,'Données projet'!$E$14+1,1))-AVERAGE(OFFSET($H$3,0,0,'Données projet'!$E$14+1,1))</f>
        <v>493.03862850474161</v>
      </c>
      <c r="DU189" s="59">
        <f t="shared" si="152"/>
        <v>312.51819065560528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39.835088341737055</v>
      </c>
      <c r="EB189" s="21">
        <f>EXP(-LN(2)/25)*EB188+(1-EXP(-LN(2)/25))/(LN(2)/25)*Calculateur!DW189*Calculateur!DY189*VLOOKUP('Données projet'!$B$14,Paramètres!$A$1:$I$89,3,0)*0.475*44/12</f>
        <v>5.326991200150248</v>
      </c>
      <c r="EC189" s="21">
        <f>EXP(-LN(2)/2)*EC188+(1-EXP(-LN(2)/2))/(LN(2)/2)*DW189*DZ189*VLOOKUP('Données projet'!$B$14,Paramètres!$A$1:$I$89,3,0)*0.475*44/12</f>
        <v>2.7115809525289631E-8</v>
      </c>
      <c r="ED189" s="22">
        <f t="shared" si="178"/>
        <v>45.162079569003112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2.5579538487363607E-13</v>
      </c>
      <c r="EK189" s="17">
        <f>EJ189*VLOOKUP('Données projet'!$B$15,Paramètres!$A$1:$I$89,3,0)*VLOOKUP('Données projet'!$B$15,Paramètres!$A$1:$I$89,5,0)</f>
        <v>2.7533815227798186E-13</v>
      </c>
      <c r="EL189" s="13">
        <f t="shared" si="179"/>
        <v>3.6763598146902537E-12</v>
      </c>
      <c r="EM189" s="20">
        <f t="shared" si="180"/>
        <v>6.88254062580301E-12</v>
      </c>
      <c r="EN189" s="59">
        <f t="shared" si="128"/>
        <v>289.79675810586428</v>
      </c>
      <c r="EO189" s="59">
        <f ca="1">AVERAGE(OFFSET($EN$3,0,0,'Données projet'!$E$15+1,1))-AVERAGE(OFFSET($H$3,0,0,'Données projet'!$E$15+1,1))</f>
        <v>539.72194201710272</v>
      </c>
      <c r="EP189" s="59">
        <f t="shared" si="154"/>
        <v>340.76505385159362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44.332598315804134</v>
      </c>
      <c r="EW189" s="21">
        <f>EXP(-LN(2)/25)*EW188+(1-EXP(-LN(2)/25))/(LN(2)/25)*Calculateur!ER189*Calculateur!ET189*VLOOKUP('Données projet'!$B$15,Paramètres!$A$1:$I$89,3,0)*0.475*44/12</f>
        <v>5.9284256904897887</v>
      </c>
      <c r="EX189" s="21">
        <f>EXP(-LN(2)/2)*EX188+(1-EXP(-LN(2)/2))/(LN(2)/2)*ER189*EU189*VLOOKUP('Données projet'!$B$15,Paramètres!$A$1:$I$89,3,0)*0.475*44/12</f>
        <v>3.0177271891048091E-8</v>
      </c>
      <c r="EY189" s="22">
        <f t="shared" si="181"/>
        <v>50.261024036471191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>
        <f>FE189*VLOOKUP('Données projet'!$B$16,Paramètres!$A$1:$I$89,3,0)*VLOOKUP('Données projet'!$B$16,Paramètres!$A$1:$I$89,5,0)</f>
        <v>0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383.47860767209028</v>
      </c>
      <c r="FK189" s="59">
        <f t="shared" si="156"/>
        <v>370.49129421395628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6.4952525856240753</v>
      </c>
      <c r="FR189" s="21">
        <f>EXP(-LN(2)/25)*FR188+(1-EXP(-LN(2)/25))/(LN(2)/25)*Calculateur!FM189*Calculateur!FO189*VLOOKUP('Données projet'!$B$16,Paramètres!$A$1:$I$89,3,0)*0.475*44/12</f>
        <v>2.7693914053308477</v>
      </c>
      <c r="FS189" s="21">
        <f>EXP(-LN(2)/2)*FS188+(1-EXP(-LN(2)/2))/(LN(2)/2)*FM189*FP189*VLOOKUP('Données projet'!$B$16,Paramètres!$A$1:$I$89,3,0)*0.475*44/12</f>
        <v>7.0660442695877586E-15</v>
      </c>
      <c r="FT189" s="22">
        <f t="shared" si="184"/>
        <v>9.2646439909549301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3.0825000000000031</v>
      </c>
      <c r="FZ189" s="12">
        <f>IF('Données projet'!$A$244&gt;35,FZ188+FY189-GH188,IF(A189&lt;'Données projet'!$A$244,$FW$205^A189,IF(A189='Données projet'!$A$244,'Données projet'!$B$244,FZ188+FY189-GH188)))</f>
        <v>205.10499999999971</v>
      </c>
      <c r="GA189" s="17">
        <f>FZ189*VLOOKUP('Données projet'!$B$17,Paramètres!$A$1:$I$89,3,0)*VLOOKUP('Données projet'!$B$17,Paramètres!$A$1:$I$89,5,0)</f>
        <v>233.57357399999967</v>
      </c>
      <c r="GB189" s="13">
        <f t="shared" si="185"/>
        <v>57.054677066881858</v>
      </c>
      <c r="GC189" s="20">
        <f t="shared" si="186"/>
        <v>506.17753727481869</v>
      </c>
      <c r="GD189" s="59">
        <f t="shared" si="134"/>
        <v>795.97429538067604</v>
      </c>
      <c r="GE189" s="59">
        <f ca="1">AVERAGE(OFFSET($GD$3,0,0,'Données projet'!$E$17+1,1))-AVERAGE(OFFSET($H$3,0,0,'Données projet'!$E$17+1,1))</f>
        <v>640.05156427113661</v>
      </c>
      <c r="GF189" s="59">
        <f t="shared" si="158"/>
        <v>308.77220155372902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108.13777574228497</v>
      </c>
      <c r="GM189" s="21">
        <f>EXP(-LN(2)/25)*GM188+(1-EXP(-LN(2)/25))/(LN(2)/25)*Calculateur!GH189*Calculateur!GJ189*VLOOKUP('Données projet'!$B$17,Paramètres!$A$1:$I$89,3,0)*0.475*44/12</f>
        <v>42.206719454886894</v>
      </c>
      <c r="GN189" s="21">
        <f>EXP(-LN(2)/2)*GN188+(1-EXP(-LN(2)/2))/(LN(2)/2)*GH189*GK189*VLOOKUP('Données projet'!$B$17,Paramètres!$A$1:$I$89,3,0)*0.475*44/12</f>
        <v>3.1629916327961252E-6</v>
      </c>
      <c r="GO189" s="21">
        <f t="shared" si="187"/>
        <v>150.3444983601635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4.7884896048344674E-14</v>
      </c>
      <c r="P190" s="13">
        <f t="shared" si="141"/>
        <v>7.8374629847779921E-13</v>
      </c>
      <c r="Q190" s="20">
        <f t="shared" si="162"/>
        <v>1.4484243304663672E-12</v>
      </c>
      <c r="R190" s="59">
        <f t="shared" si="109"/>
        <v>289.85810977945783</v>
      </c>
      <c r="S190" s="59">
        <f ca="1">AVERAGE(OFFSET($R$3,0,0,'Données projet'!$E$9+1,1))-AVERAGE(OFFSET($H$3,0,0,'Données projet'!$E$9+1,1))</f>
        <v>456.35333554128226</v>
      </c>
      <c r="T190" s="59">
        <f t="shared" si="142"/>
        <v>296.4517290984877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24.598271587530164</v>
      </c>
      <c r="AA190" s="21">
        <f>EXP(-LN(2)/25)*AA189+(1-EXP(-LN(2)/25))/(LN(2)/25)*Calculateur!V190*Calculateur!X190*VLOOKUP('Données projet'!$B$9,Paramètres!$A$1:$I$89,3,0)*0.475*44/12</f>
        <v>2.9614726005643028</v>
      </c>
      <c r="AB190" s="21">
        <f>EXP(-LN(2)/2)*AB189+(1-EXP(-LN(2)/2))/(LN(2)/2)*V190*Y190*VLOOKUP('Données projet'!$B$9,Paramètres!$A$1:$I$89,3,0)*0.475*44/12</f>
        <v>4.7738197021384571E-12</v>
      </c>
      <c r="AC190" s="22">
        <f t="shared" si="163"/>
        <v>27.559744188099241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408.246209980743</v>
      </c>
      <c r="AO190" s="59">
        <f t="shared" si="144"/>
        <v>394.10236303013903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6.8577219244507974</v>
      </c>
      <c r="AV190" s="21">
        <f>EXP(-LN(2)/25)*AV189+(1-EXP(-LN(2)/25))/(LN(2)/25)*Calculateur!AQ190*Calculateur!AS190*VLOOKUP('Données projet'!$B$10,Paramètres!$A$1:$I$89,3,0)*0.475*44/12</f>
        <v>2.9008670403096604</v>
      </c>
      <c r="AW190" s="21">
        <f>EXP(-LN(2)/2)*AW189+(1-EXP(-LN(2)/2))/(LN(2)/2)*AQ190*AT190*VLOOKUP('Données projet'!$B$10,Paramètres!$A$1:$I$89,3,0)*0.475*44/12</f>
        <v>5.3807899591274879E-15</v>
      </c>
      <c r="AX190" s="21">
        <f t="shared" si="166"/>
        <v>9.7585889647604631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3.0825000000000031</v>
      </c>
      <c r="BD190" s="12">
        <f>IF('Données projet'!$A$88&gt;35,BD189+BC190-BL189,IF(A190&lt;'Données projet'!$A$88,$BA$205^A190,IF(A190='Données projet'!$A$88,'Données projet'!$B$88,BD189+BC190-BL189)))</f>
        <v>208.18749999999972</v>
      </c>
      <c r="BE190" s="13">
        <f>BD190*VLOOKUP('Données projet'!$B$11,Paramètres!$A$1:$I$89,3,0)*VLOOKUP('Données projet'!$B$11,Paramètres!$A$1:$I$89,5,0)</f>
        <v>211.10212499999972</v>
      </c>
      <c r="BF190" s="13">
        <f t="shared" si="167"/>
        <v>52.176354318882368</v>
      </c>
      <c r="BG190" s="20">
        <f t="shared" si="168"/>
        <v>458.54335148038626</v>
      </c>
      <c r="BH190" s="59">
        <f t="shared" si="116"/>
        <v>748.40146125984268</v>
      </c>
      <c r="BI190" s="59">
        <f ca="1">AVERAGE(OFFSET($BH$3,0,0,'Données projet'!$E$11+1,1))-AVERAGE(OFFSET($H$3,0,0,'Données projet'!$E$11+1,1))</f>
        <v>580.02848304986492</v>
      </c>
      <c r="BJ190" s="59">
        <f t="shared" si="146"/>
        <v>281.68891895586728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94.398930063535602</v>
      </c>
      <c r="BQ190" s="21">
        <f>EXP(-LN(2)/25)*BQ189+(1-EXP(-LN(2)/25))/(LN(2)/25)*Calculateur!BL190*Calculateur!BN190*VLOOKUP('Données projet'!$B$11,Paramètres!$A$1:$I$89,3,0)*0.475*44/12</f>
        <v>36.55366221875996</v>
      </c>
      <c r="BR190" s="21">
        <f>EXP(-LN(2)/2)*BR189+(1-EXP(-LN(2)/2))/(LN(2)/2)*BL190*BO190*VLOOKUP('Données projet'!$B$11,Paramètres!$A$1:$I$89,3,0)*0.475*44/12</f>
        <v>1.9914689603440995E-6</v>
      </c>
      <c r="BS190" s="22">
        <f t="shared" si="169"/>
        <v>130.95259427376453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4.4337866711430253E-14</v>
      </c>
      <c r="CA190" s="13">
        <f t="shared" si="170"/>
        <v>7.3222115536967035E-13</v>
      </c>
      <c r="CB190" s="20">
        <f t="shared" si="171"/>
        <v>1.3525069634579169E-12</v>
      </c>
      <c r="CC190" s="59">
        <f t="shared" si="119"/>
        <v>289.85810977945778</v>
      </c>
      <c r="CD190" s="59">
        <f ca="1">AVERAGE(OFFSET($CC$3,0,0,'Données projet'!$E$12+1,1))-AVERAGE(OFFSET($H$3,0,0,'Données projet'!$E$12+1,1))</f>
        <v>308.85018589589453</v>
      </c>
      <c r="CE190" s="59">
        <f t="shared" si="148"/>
        <v>302.59481222418219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4.1548273940017939</v>
      </c>
      <c r="CL190" s="21">
        <f>EXP(-LN(2)/25)*CL189+(1-EXP(-LN(2)/25))/(LN(2)/25)*Calculateur!CG190*Calculateur!CI190*VLOOKUP('Données projet'!$B$12,Paramètres!$A$1:$I$89,3,0)*0.475*44/12</f>
        <v>1.6063487911646899</v>
      </c>
      <c r="CM190" s="21">
        <f>EXP(-LN(2)/2)*CM189+(1-EXP(-LN(2)/2))/(LN(2)/2)*CG190*CJ190*VLOOKUP('Données projet'!$B$12,Paramètres!$A$1:$I$89,3,0)*0.475*44/12</f>
        <v>1.0539489706890608E-16</v>
      </c>
      <c r="CN190" s="22">
        <f t="shared" si="172"/>
        <v>5.7611761851664838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2.2737367544323206E-13</v>
      </c>
      <c r="CU190" s="17">
        <f>CT190*VLOOKUP('Données projet'!$B$13,Paramètres!$A$1:$I$89,3,0)*VLOOKUP('Données projet'!$B$13,Paramètres!$A$1:$I$89,5,0)</f>
        <v>1.5252226148732008E-13</v>
      </c>
      <c r="CV190" s="13">
        <f t="shared" si="173"/>
        <v>2.1814502464536512E-12</v>
      </c>
      <c r="CW190" s="20">
        <f t="shared" si="174"/>
        <v>4.0650021179971913E-12</v>
      </c>
      <c r="CX190" s="59">
        <f t="shared" si="122"/>
        <v>289.85810977946051</v>
      </c>
      <c r="CY190" s="59">
        <f ca="1">AVERAGE(OFFSET($CX$3,0,0,'Données projet'!$E$13+1,1))-AVERAGE(OFFSET($H$3,0,0,'Données projet'!$E$13+1,1))</f>
        <v>335.73816489539837</v>
      </c>
      <c r="CZ190" s="59">
        <f t="shared" si="150"/>
        <v>254.09787950201044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8.1526087738860458</v>
      </c>
      <c r="DG190" s="21">
        <f>EXP(-LN(2)/25)*DG189+(1-EXP(-LN(2)/25))/(LN(2)/25)*Calculateur!DB190*Calculateur!DD190*VLOOKUP('Données projet'!$B$13,Paramètres!$A$1:$I$89,3,0)*0.475*44/12</f>
        <v>4.4835493750580113</v>
      </c>
      <c r="DH190" s="21">
        <f>EXP(-LN(2)/2)*DH189+(1-EXP(-LN(2)/2))/(LN(2)/2)*DB190*DE190*VLOOKUP('Données projet'!$B$13,Paramètres!$A$1:$I$89,3,0)*0.475*44/12</f>
        <v>1.2593540994152728E-10</v>
      </c>
      <c r="DI190" s="22">
        <f t="shared" si="175"/>
        <v>12.636158149069992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2.5579538487363607E-13</v>
      </c>
      <c r="DP190" s="17">
        <f>DO190*VLOOKUP('Données projet'!$B$14,Paramètres!$A$1:$I$89,3,0)*VLOOKUP('Données projet'!$B$14,Paramètres!$A$1:$I$89,5,0)</f>
        <v>2.4740529624978082E-13</v>
      </c>
      <c r="DQ190" s="13">
        <f t="shared" si="176"/>
        <v>3.3447853361996459E-12</v>
      </c>
      <c r="DR190" s="20">
        <f t="shared" si="177"/>
        <v>6.2563986848494188E-12</v>
      </c>
      <c r="DS190" s="59">
        <f t="shared" si="125"/>
        <v>289.85810977946267</v>
      </c>
      <c r="DT190" s="59">
        <f ca="1">AVERAGE(OFFSET($DS$3,0,0,'Données projet'!$E$14+1,1))-AVERAGE(OFFSET($H$3,0,0,'Données projet'!$E$14+1,1))</f>
        <v>493.03862850474161</v>
      </c>
      <c r="DU190" s="59">
        <f t="shared" si="152"/>
        <v>312.51819065560528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39.053946556360351</v>
      </c>
      <c r="EB190" s="21">
        <f>EXP(-LN(2)/25)*EB189+(1-EXP(-LN(2)/25))/(LN(2)/25)*Calculateur!DW190*Calculateur!DY190*VLOOKUP('Données projet'!$B$14,Paramètres!$A$1:$I$89,3,0)*0.475*44/12</f>
        <v>5.1813243456478473</v>
      </c>
      <c r="EC190" s="21">
        <f>EXP(-LN(2)/2)*EC189+(1-EXP(-LN(2)/2))/(LN(2)/2)*DW190*DZ190*VLOOKUP('Données projet'!$B$14,Paramètres!$A$1:$I$89,3,0)*0.475*44/12</f>
        <v>1.9173772792695076E-8</v>
      </c>
      <c r="ED190" s="22">
        <f t="shared" si="178"/>
        <v>44.235270921181971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2.5579538487363607E-13</v>
      </c>
      <c r="EK190" s="17">
        <f>EJ190*VLOOKUP('Données projet'!$B$15,Paramètres!$A$1:$I$89,3,0)*VLOOKUP('Données projet'!$B$15,Paramètres!$A$1:$I$89,5,0)</f>
        <v>2.7533815227798186E-13</v>
      </c>
      <c r="EL190" s="13">
        <f t="shared" si="179"/>
        <v>3.6763598146902537E-12</v>
      </c>
      <c r="EM190" s="20">
        <f t="shared" si="180"/>
        <v>6.88254062580301E-12</v>
      </c>
      <c r="EN190" s="59">
        <f t="shared" si="128"/>
        <v>289.85810977946329</v>
      </c>
      <c r="EO190" s="59">
        <f ca="1">AVERAGE(OFFSET($EN$3,0,0,'Données projet'!$E$15+1,1))-AVERAGE(OFFSET($H$3,0,0,'Données projet'!$E$15+1,1))</f>
        <v>539.72194201710272</v>
      </c>
      <c r="EP190" s="59">
        <f t="shared" si="154"/>
        <v>340.76505385159362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43.463263103046188</v>
      </c>
      <c r="EW190" s="21">
        <f>EXP(-LN(2)/25)*EW189+(1-EXP(-LN(2)/25))/(LN(2)/25)*Calculateur!ER190*Calculateur!ET190*VLOOKUP('Données projet'!$B$15,Paramètres!$A$1:$I$89,3,0)*0.475*44/12</f>
        <v>5.7663125782209876</v>
      </c>
      <c r="EX190" s="21">
        <f>EXP(-LN(2)/2)*EX189+(1-EXP(-LN(2)/2))/(LN(2)/2)*ER190*EU190*VLOOKUP('Données projet'!$B$15,Paramètres!$A$1:$I$89,3,0)*0.475*44/12</f>
        <v>2.1338553591870294E-8</v>
      </c>
      <c r="EY190" s="22">
        <f t="shared" si="181"/>
        <v>49.229575702605729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>
        <f>FE190*VLOOKUP('Données projet'!$B$16,Paramètres!$A$1:$I$89,3,0)*VLOOKUP('Données projet'!$B$16,Paramètres!$A$1:$I$89,5,0)</f>
        <v>0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383.47860767209028</v>
      </c>
      <c r="FK190" s="59">
        <f t="shared" si="156"/>
        <v>370.49129421395628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6.3678846441328778</v>
      </c>
      <c r="FR190" s="21">
        <f>EXP(-LN(2)/25)*FR189+(1-EXP(-LN(2)/25))/(LN(2)/25)*Calculateur!FM190*Calculateur!FO190*VLOOKUP('Données projet'!$B$16,Paramètres!$A$1:$I$89,3,0)*0.475*44/12</f>
        <v>2.6936622517161113</v>
      </c>
      <c r="FS190" s="21">
        <f>EXP(-LN(2)/2)*FS189+(1-EXP(-LN(2)/2))/(LN(2)/2)*FM190*FP190*VLOOKUP('Données projet'!$B$16,Paramètres!$A$1:$I$89,3,0)*0.475*44/12</f>
        <v>4.9964478191898499E-15</v>
      </c>
      <c r="FT190" s="22">
        <f t="shared" si="184"/>
        <v>9.0615468958489949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3.0825000000000031</v>
      </c>
      <c r="FZ190" s="12">
        <f>IF('Données projet'!$A$244&gt;35,FZ189+FY190-GH189,IF(A190&lt;'Données projet'!$A$244,$FW$205^A190,IF(A190='Données projet'!$A$244,'Données projet'!$B$244,FZ189+FY190-GH189)))</f>
        <v>208.18749999999972</v>
      </c>
      <c r="GA190" s="17">
        <f>FZ190*VLOOKUP('Données projet'!$B$17,Paramètres!$A$1:$I$89,3,0)*VLOOKUP('Données projet'!$B$17,Paramètres!$A$1:$I$89,5,0)</f>
        <v>237.08392499999965</v>
      </c>
      <c r="GB190" s="13">
        <f t="shared" si="185"/>
        <v>57.81167705130656</v>
      </c>
      <c r="GC190" s="20">
        <f t="shared" si="186"/>
        <v>513.60984023935839</v>
      </c>
      <c r="GD190" s="59">
        <f t="shared" si="134"/>
        <v>803.4679500188148</v>
      </c>
      <c r="GE190" s="59">
        <f ca="1">AVERAGE(OFFSET($GD$3,0,0,'Données projet'!$E$17+1,1))-AVERAGE(OFFSET($H$3,0,0,'Données projet'!$E$17+1,1))</f>
        <v>640.05156427113661</v>
      </c>
      <c r="GF190" s="59">
        <f t="shared" si="158"/>
        <v>308.77220155372902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106.01725991750921</v>
      </c>
      <c r="GM190" s="21">
        <f>EXP(-LN(2)/25)*GM189+(1-EXP(-LN(2)/25))/(LN(2)/25)*Calculateur!GH190*Calculateur!GJ190*VLOOKUP('Données projet'!$B$17,Paramètres!$A$1:$I$89,3,0)*0.475*44/12</f>
        <v>41.052574491838101</v>
      </c>
      <c r="GN190" s="21">
        <f>EXP(-LN(2)/2)*GN189+(1-EXP(-LN(2)/2))/(LN(2)/2)*GH190*GK190*VLOOKUP('Données projet'!$B$17,Paramètres!$A$1:$I$89,3,0)*0.475*44/12</f>
        <v>2.2365728323864503E-6</v>
      </c>
      <c r="GO190" s="21">
        <f t="shared" si="187"/>
        <v>147.06983664592016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4.7884896048344674E-14</v>
      </c>
      <c r="P191" s="13">
        <f t="shared" si="141"/>
        <v>7.8374629847779921E-13</v>
      </c>
      <c r="Q191" s="20">
        <f t="shared" si="162"/>
        <v>1.4484243304663672E-12</v>
      </c>
      <c r="R191" s="59">
        <f t="shared" si="109"/>
        <v>289.91839713868166</v>
      </c>
      <c r="S191" s="59">
        <f ca="1">AVERAGE(OFFSET($R$3,0,0,'Données projet'!$E$9+1,1))-AVERAGE(OFFSET($H$3,0,0,'Données projet'!$E$9+1,1))</f>
        <v>456.35333554128226</v>
      </c>
      <c r="T191" s="59">
        <f t="shared" si="142"/>
        <v>296.4517290984877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24.115914485162897</v>
      </c>
      <c r="AA191" s="21">
        <f>EXP(-LN(2)/25)*AA190+(1-EXP(-LN(2)/25))/(LN(2)/25)*Calculateur!V191*Calculateur!X191*VLOOKUP('Données projet'!$B$9,Paramètres!$A$1:$I$89,3,0)*0.475*44/12</f>
        <v>2.8804909765647966</v>
      </c>
      <c r="AB191" s="21">
        <f>EXP(-LN(2)/2)*AB190+(1-EXP(-LN(2)/2))/(LN(2)/2)*V191*Y191*VLOOKUP('Données projet'!$B$9,Paramètres!$A$1:$I$89,3,0)*0.475*44/12</f>
        <v>3.3756002835440475E-12</v>
      </c>
      <c r="AC191" s="22">
        <f t="shared" si="163"/>
        <v>26.996405461731069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408.246209980743</v>
      </c>
      <c r="AO191" s="59">
        <f t="shared" si="144"/>
        <v>394.10236303013903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6.7232461803096744</v>
      </c>
      <c r="AV191" s="21">
        <f>EXP(-LN(2)/25)*AV190+(1-EXP(-LN(2)/25))/(LN(2)/25)*Calculateur!AQ191*Calculateur!AS191*VLOOKUP('Données projet'!$B$10,Paramètres!$A$1:$I$89,3,0)*0.475*44/12</f>
        <v>2.8215426785424249</v>
      </c>
      <c r="AW191" s="21">
        <f>EXP(-LN(2)/2)*AW190+(1-EXP(-LN(2)/2))/(LN(2)/2)*AQ191*AT191*VLOOKUP('Données projet'!$B$10,Paramètres!$A$1:$I$89,3,0)*0.475*44/12</f>
        <v>3.8047930682395325E-15</v>
      </c>
      <c r="AX191" s="21">
        <f t="shared" si="166"/>
        <v>9.5447888588521028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>
        <f>VLOOKUP(A191,'Données projet'!$A$87:$I$107,2,0)</f>
        <v>211.27</v>
      </c>
      <c r="BB191" s="12">
        <f>VLOOKUP(A191,'Données projet'!$A$87:$I$107,9,0)</f>
        <v>3.0825000000000031</v>
      </c>
      <c r="BC191" s="12">
        <f t="array" ref="BC191">INDEX(BB:BB,MIN(IF(ISNUMBER(BB191:BB387),ROW(BB191:BB387),"")))</f>
        <v>3.0825000000000031</v>
      </c>
      <c r="BD191" s="12">
        <f>IF('Données projet'!$A$88&gt;35,BD190+BC191-BL190,IF(A191&lt;'Données projet'!$A$88,$BA$205^A191,IF(A191='Données projet'!$A$88,'Données projet'!$B$88,BD190+BC191-BL190)))</f>
        <v>211.26999999999973</v>
      </c>
      <c r="BE191" s="13">
        <f>BD191*VLOOKUP('Données projet'!$B$11,Paramètres!$A$1:$I$89,3,0)*VLOOKUP('Données projet'!$B$11,Paramètres!$A$1:$I$89,5,0)</f>
        <v>214.22777999999974</v>
      </c>
      <c r="BF191" s="13">
        <f t="shared" si="167"/>
        <v>52.858387517427865</v>
      </c>
      <c r="BG191" s="20">
        <f t="shared" si="168"/>
        <v>465.17507509285309</v>
      </c>
      <c r="BH191" s="59">
        <f t="shared" si="116"/>
        <v>755.09347223153327</v>
      </c>
      <c r="BI191" s="59">
        <f ca="1">AVERAGE(OFFSET($BH$3,0,0,'Données projet'!$E$11+1,1))-AVERAGE(OFFSET($H$3,0,0,'Données projet'!$E$11+1,1))</f>
        <v>580.02848304986492</v>
      </c>
      <c r="BJ191" s="59">
        <f t="shared" si="146"/>
        <v>281.68891895586728</v>
      </c>
      <c r="BK191" s="15">
        <f>IF(ISNA(VLOOKUP(A191,'Données projet'!$A$87:$I$107,3,0)),0,VLOOKUP(A191,'Données projet'!$A$87:$I$107,3,0))</f>
        <v>15</v>
      </c>
      <c r="BL191" s="15">
        <f>IF(ISNA(VLOOKUP(A191,'Données projet'!$A$87:$I$107,4,0)),0,VLOOKUP(A191,'Données projet'!$A$87:$I$107,4,0))</f>
        <v>72.180000000000007</v>
      </c>
      <c r="BM191" s="16">
        <f>IF(ISNA(VLOOKUP(A191,'Données projet'!$A$87:$I$107,5,0)),0%,VLOOKUP(A191,'Données projet'!$A$87:$I$107,5,0)*VLOOKUP('Données projet'!$B$11,Paramètres!$A$1:$I$89,7,0))</f>
        <v>0.215</v>
      </c>
      <c r="BN191" s="16">
        <f>IF(ISNA(VLOOKUP(A191,'Données projet'!$A$87:$I$107,6,0)),0%,VLOOKUP(A191,'Données projet'!$A$87:$I$107,6,0)*VLOOKUP('Données projet'!$B$11,Paramètres!$A$1:$I$89,7,0))</f>
        <v>8.6000000000000007E-2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109.94346428601369</v>
      </c>
      <c r="BQ191" s="21">
        <f>EXP(-LN(2)/25)*BQ190+(1-EXP(-LN(2)/25))/(LN(2)/25)*Calculateur!BL191*Calculateur!BN191*VLOOKUP('Données projet'!$B$11,Paramètres!$A$1:$I$89,3,0)*0.475*44/12</f>
        <v>42.484958963814016</v>
      </c>
      <c r="BR191" s="21">
        <f>EXP(-LN(2)/2)*BR190+(1-EXP(-LN(2)/2))/(LN(2)/2)*BL191*BO191*VLOOKUP('Données projet'!$B$11,Paramètres!$A$1:$I$89,3,0)*0.475*44/12</f>
        <v>1.4081812063818365E-6</v>
      </c>
      <c r="BS191" s="22">
        <f t="shared" si="169"/>
        <v>152.42842465800894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4.4337866711430253E-14</v>
      </c>
      <c r="CA191" s="13">
        <f t="shared" si="170"/>
        <v>7.3222115536967035E-13</v>
      </c>
      <c r="CB191" s="20">
        <f t="shared" si="171"/>
        <v>1.3525069634579169E-12</v>
      </c>
      <c r="CC191" s="59">
        <f t="shared" si="119"/>
        <v>289.9183971386816</v>
      </c>
      <c r="CD191" s="59">
        <f ca="1">AVERAGE(OFFSET($CC$3,0,0,'Données projet'!$E$12+1,1))-AVERAGE(OFFSET($H$3,0,0,'Données projet'!$E$12+1,1))</f>
        <v>308.85018589589453</v>
      </c>
      <c r="CE191" s="59">
        <f t="shared" si="148"/>
        <v>302.59481222418219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4.0733537629998979</v>
      </c>
      <c r="CL191" s="21">
        <f>EXP(-LN(2)/25)*CL190+(1-EXP(-LN(2)/25))/(LN(2)/25)*Calculateur!CG191*Calculateur!CI191*VLOOKUP('Données projet'!$B$12,Paramètres!$A$1:$I$89,3,0)*0.475*44/12</f>
        <v>1.5624230989960799</v>
      </c>
      <c r="CM191" s="21">
        <f>EXP(-LN(2)/2)*CM190+(1-EXP(-LN(2)/2))/(LN(2)/2)*CG191*CJ191*VLOOKUP('Données projet'!$B$12,Paramètres!$A$1:$I$89,3,0)*0.475*44/12</f>
        <v>7.4525446419881671E-17</v>
      </c>
      <c r="CN191" s="22">
        <f t="shared" si="172"/>
        <v>5.6357768619959776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2.2737367544323206E-13</v>
      </c>
      <c r="CU191" s="17">
        <f>CT191*VLOOKUP('Données projet'!$B$13,Paramètres!$A$1:$I$89,3,0)*VLOOKUP('Données projet'!$B$13,Paramètres!$A$1:$I$89,5,0)</f>
        <v>1.5252226148732008E-13</v>
      </c>
      <c r="CV191" s="13">
        <f t="shared" si="173"/>
        <v>2.1814502464536512E-12</v>
      </c>
      <c r="CW191" s="20">
        <f t="shared" si="174"/>
        <v>4.0650021179971913E-12</v>
      </c>
      <c r="CX191" s="59">
        <f t="shared" si="122"/>
        <v>289.91839713868433</v>
      </c>
      <c r="CY191" s="59">
        <f ca="1">AVERAGE(OFFSET($CX$3,0,0,'Données projet'!$E$13+1,1))-AVERAGE(OFFSET($H$3,0,0,'Données projet'!$E$13+1,1))</f>
        <v>335.73816489539837</v>
      </c>
      <c r="CZ191" s="59">
        <f t="shared" si="150"/>
        <v>254.09787950201044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7.9927410884304892</v>
      </c>
      <c r="DG191" s="21">
        <f>EXP(-LN(2)/25)*DG190+(1-EXP(-LN(2)/25))/(LN(2)/25)*Calculateur!DB191*Calculateur!DD191*VLOOKUP('Données projet'!$B$13,Paramètres!$A$1:$I$89,3,0)*0.475*44/12</f>
        <v>4.3609464816174359</v>
      </c>
      <c r="DH191" s="21">
        <f>EXP(-LN(2)/2)*DH190+(1-EXP(-LN(2)/2))/(LN(2)/2)*DB191*DE191*VLOOKUP('Données projet'!$B$13,Paramètres!$A$1:$I$89,3,0)*0.475*44/12</f>
        <v>8.9049782361161695E-11</v>
      </c>
      <c r="DI191" s="22">
        <f t="shared" si="175"/>
        <v>12.353687570136975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2.5579538487363607E-13</v>
      </c>
      <c r="DP191" s="17">
        <f>DO191*VLOOKUP('Données projet'!$B$14,Paramètres!$A$1:$I$89,3,0)*VLOOKUP('Données projet'!$B$14,Paramètres!$A$1:$I$89,5,0)</f>
        <v>2.4740529624978082E-13</v>
      </c>
      <c r="DQ191" s="13">
        <f t="shared" si="176"/>
        <v>3.3447853361996459E-12</v>
      </c>
      <c r="DR191" s="20">
        <f t="shared" si="177"/>
        <v>6.2563986848494188E-12</v>
      </c>
      <c r="DS191" s="59">
        <f t="shared" si="125"/>
        <v>289.91839713868649</v>
      </c>
      <c r="DT191" s="59">
        <f ca="1">AVERAGE(OFFSET($DS$3,0,0,'Données projet'!$E$14+1,1))-AVERAGE(OFFSET($H$3,0,0,'Données projet'!$E$14+1,1))</f>
        <v>493.03862850474161</v>
      </c>
      <c r="DU191" s="59">
        <f t="shared" si="152"/>
        <v>312.51819065560528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38.28812248494544</v>
      </c>
      <c r="EB191" s="21">
        <f>EXP(-LN(2)/25)*EB190+(1-EXP(-LN(2)/25))/(LN(2)/25)*Calculateur!DW191*Calculateur!DY191*VLOOKUP('Données projet'!$B$14,Paramètres!$A$1:$I$89,3,0)*0.475*44/12</f>
        <v>5.0396407589421015</v>
      </c>
      <c r="EC191" s="21">
        <f>EXP(-LN(2)/2)*EC190+(1-EXP(-LN(2)/2))/(LN(2)/2)*DW191*DZ191*VLOOKUP('Données projet'!$B$14,Paramètres!$A$1:$I$89,3,0)*0.475*44/12</f>
        <v>1.3557904762644816E-8</v>
      </c>
      <c r="ED191" s="22">
        <f t="shared" si="178"/>
        <v>43.32776325744544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2.5579538487363607E-13</v>
      </c>
      <c r="EK191" s="17">
        <f>EJ191*VLOOKUP('Données projet'!$B$15,Paramètres!$A$1:$I$89,3,0)*VLOOKUP('Données projet'!$B$15,Paramètres!$A$1:$I$89,5,0)</f>
        <v>2.7533815227798186E-13</v>
      </c>
      <c r="EL191" s="13">
        <f t="shared" si="179"/>
        <v>3.6763598146902537E-12</v>
      </c>
      <c r="EM191" s="20">
        <f t="shared" si="180"/>
        <v>6.88254062580301E-12</v>
      </c>
      <c r="EN191" s="59">
        <f t="shared" si="128"/>
        <v>289.91839713868711</v>
      </c>
      <c r="EO191" s="59">
        <f ca="1">AVERAGE(OFFSET($EN$3,0,0,'Données projet'!$E$15+1,1))-AVERAGE(OFFSET($H$3,0,0,'Données projet'!$E$15+1,1))</f>
        <v>539.72194201710272</v>
      </c>
      <c r="EP191" s="59">
        <f t="shared" si="154"/>
        <v>340.76505385159362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42.610975023568301</v>
      </c>
      <c r="EW191" s="21">
        <f>EXP(-LN(2)/25)*EW190+(1-EXP(-LN(2)/25))/(LN(2)/25)*Calculateur!ER191*Calculateur!ET191*VLOOKUP('Données projet'!$B$15,Paramètres!$A$1:$I$89,3,0)*0.475*44/12</f>
        <v>5.6086324575323356</v>
      </c>
      <c r="EX191" s="21">
        <f>EXP(-LN(2)/2)*EX190+(1-EXP(-LN(2)/2))/(LN(2)/2)*ER191*EU191*VLOOKUP('Données projet'!$B$15,Paramètres!$A$1:$I$89,3,0)*0.475*44/12</f>
        <v>1.5088635945524046E-8</v>
      </c>
      <c r="EY191" s="22">
        <f t="shared" si="181"/>
        <v>48.219607496189276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>
        <f>FE191*VLOOKUP('Données projet'!$B$16,Paramètres!$A$1:$I$89,3,0)*VLOOKUP('Données projet'!$B$16,Paramètres!$A$1:$I$89,5,0)</f>
        <v>0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383.47860767209028</v>
      </c>
      <c r="FK191" s="59">
        <f t="shared" si="156"/>
        <v>370.49129421395628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6.2430143102875491</v>
      </c>
      <c r="FR191" s="21">
        <f>EXP(-LN(2)/25)*FR190+(1-EXP(-LN(2)/25))/(LN(2)/25)*Calculateur!FM191*Calculateur!FO191*VLOOKUP('Données projet'!$B$16,Paramètres!$A$1:$I$89,3,0)*0.475*44/12</f>
        <v>2.6200039157893928</v>
      </c>
      <c r="FS191" s="21">
        <f>EXP(-LN(2)/2)*FS190+(1-EXP(-LN(2)/2))/(LN(2)/2)*FM191*FP191*VLOOKUP('Données projet'!$B$16,Paramètres!$A$1:$I$89,3,0)*0.475*44/12</f>
        <v>3.5330221347938801E-15</v>
      </c>
      <c r="FT191" s="22">
        <f t="shared" si="184"/>
        <v>8.8630182260769459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>
        <f>VLOOKUP(A191,'Données projet'!$A$243:$I$263,2,0)</f>
        <v>211.27</v>
      </c>
      <c r="FX191" s="12">
        <f>VLOOKUP(A191,'Données projet'!$A$243:$I$263,9,0)</f>
        <v>3.0825000000000031</v>
      </c>
      <c r="FY191" s="12">
        <f t="array" ref="FY191">INDEX(FX:FX,MIN(IF(ISNUMBER(FX191:FX387),ROW(FX191:FX387),"")))</f>
        <v>3.0825000000000031</v>
      </c>
      <c r="FZ191" s="12">
        <f>IF('Données projet'!$A$244&gt;35,FZ190+FY191-GH190,IF(A191&lt;'Données projet'!$A$244,$FW$205^A191,IF(A191='Données projet'!$A$244,'Données projet'!$B$244,FZ190+FY191-GH190)))</f>
        <v>211.26999999999973</v>
      </c>
      <c r="GA191" s="17">
        <f>FZ191*VLOOKUP('Données projet'!$B$17,Paramètres!$A$1:$I$89,3,0)*VLOOKUP('Données projet'!$B$17,Paramètres!$A$1:$I$89,5,0)</f>
        <v>240.5942759999997</v>
      </c>
      <c r="GB191" s="13">
        <f t="shared" si="185"/>
        <v>58.56737344917299</v>
      </c>
      <c r="GC191" s="20">
        <f t="shared" si="186"/>
        <v>521.03987279064233</v>
      </c>
      <c r="GD191" s="59">
        <f t="shared" si="134"/>
        <v>810.95826992932257</v>
      </c>
      <c r="GE191" s="59">
        <f ca="1">AVERAGE(OFFSET($GD$3,0,0,'Données projet'!$E$17+1,1))-AVERAGE(OFFSET($H$3,0,0,'Données projet'!$E$17+1,1))</f>
        <v>640.05156427113661</v>
      </c>
      <c r="GF191" s="59">
        <f t="shared" si="158"/>
        <v>308.77220155372902</v>
      </c>
      <c r="GG191" s="15">
        <f>IF(ISNA(VLOOKUP(A191,'Données projet'!$A$243:$I$263,3,0)),0,VLOOKUP(A191,'Données projet'!$A$243:$I$263,3,0))</f>
        <v>15</v>
      </c>
      <c r="GH191" s="15">
        <f>IF(ISNA(VLOOKUP(A191,'Données projet'!$A$243:$I$263,4,0)),0,VLOOKUP(A191,'Données projet'!$A$243:$I$263,4,0))</f>
        <v>72.180000000000007</v>
      </c>
      <c r="GI191" s="16">
        <f>IF(ISNA(VLOOKUP(A191,'Données projet'!$A$243:$I$263,5,0)),0%,VLOOKUP(A191,'Données projet'!$A$243:$I$263,5,0)*VLOOKUP('Données projet'!$B$17,Paramètres!$A$1:$I$89,7,0))</f>
        <v>0.215</v>
      </c>
      <c r="GJ191" s="16">
        <f>IF(ISNA(VLOOKUP(A191,'Données projet'!$A$243:$I$263,6,0)),0%,VLOOKUP(A191,'Données projet'!$A$243:$I$263,6,0)*VLOOKUP('Données projet'!$B$17,Paramètres!$A$1:$I$89,7,0))</f>
        <v>8.6000000000000007E-2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123.47496758275383</v>
      </c>
      <c r="GM191" s="21">
        <f>EXP(-LN(2)/25)*GM190+(1-EXP(-LN(2)/25))/(LN(2)/25)*Calculateur!GH191*Calculateur!GJ191*VLOOKUP('Données projet'!$B$17,Paramètres!$A$1:$I$89,3,0)*0.475*44/12</f>
        <v>47.713876990129577</v>
      </c>
      <c r="GN191" s="21">
        <f>EXP(-LN(2)/2)*GN190+(1-EXP(-LN(2)/2))/(LN(2)/2)*GH191*GK191*VLOOKUP('Données projet'!$B$17,Paramètres!$A$1:$I$89,3,0)*0.475*44/12</f>
        <v>1.5814958163980626E-6</v>
      </c>
      <c r="GO191" s="21">
        <f t="shared" si="187"/>
        <v>171.18884615437921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4.7884896048344674E-14</v>
      </c>
      <c r="P192" s="13">
        <f t="shared" si="141"/>
        <v>7.8374629847779921E-13</v>
      </c>
      <c r="Q192" s="20">
        <f t="shared" si="162"/>
        <v>1.4484243304663672E-12</v>
      </c>
      <c r="R192" s="59">
        <f t="shared" si="109"/>
        <v>289.97763864700528</v>
      </c>
      <c r="S192" s="59">
        <f ca="1">AVERAGE(OFFSET($R$3,0,0,'Données projet'!$E$9+1,1))-AVERAGE(OFFSET($H$3,0,0,'Données projet'!$E$9+1,1))</f>
        <v>456.35333554128226</v>
      </c>
      <c r="T192" s="59">
        <f t="shared" si="142"/>
        <v>296.4517290984877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23.643016111364268</v>
      </c>
      <c r="AA192" s="21">
        <f>EXP(-LN(2)/25)*AA191+(1-EXP(-LN(2)/25))/(LN(2)/25)*Calculateur!V192*Calculateur!X192*VLOOKUP('Données projet'!$B$9,Paramètres!$A$1:$I$89,3,0)*0.475*44/12</f>
        <v>2.8017237993321951</v>
      </c>
      <c r="AB192" s="21">
        <f>EXP(-LN(2)/2)*AB191+(1-EXP(-LN(2)/2))/(LN(2)/2)*V192*Y192*VLOOKUP('Données projet'!$B$9,Paramètres!$A$1:$I$89,3,0)*0.475*44/12</f>
        <v>2.3869098510692286E-12</v>
      </c>
      <c r="AC192" s="22">
        <f t="shared" si="163"/>
        <v>26.44473991069885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408.246209980743</v>
      </c>
      <c r="AO192" s="59">
        <f t="shared" si="144"/>
        <v>394.10236303013903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6.5914074234890538</v>
      </c>
      <c r="AV192" s="21">
        <f>EXP(-LN(2)/25)*AV191+(1-EXP(-LN(2)/25))/(LN(2)/25)*Calculateur!AQ192*Calculateur!AS192*VLOOKUP('Données projet'!$B$10,Paramètres!$A$1:$I$89,3,0)*0.475*44/12</f>
        <v>2.7443874456192017</v>
      </c>
      <c r="AW192" s="21">
        <f>EXP(-LN(2)/2)*AW191+(1-EXP(-LN(2)/2))/(LN(2)/2)*AQ192*AT192*VLOOKUP('Données projet'!$B$10,Paramètres!$A$1:$I$89,3,0)*0.475*44/12</f>
        <v>2.690394979563744E-15</v>
      </c>
      <c r="AX192" s="21">
        <f t="shared" si="166"/>
        <v>9.3357948691082591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1.9733333333333292</v>
      </c>
      <c r="BD192" s="12">
        <f>IF('Données projet'!$A$88&gt;35,BD191+BC192-BL191,IF(A192&lt;'Données projet'!$A$88,$BA$205^A192,IF(A192='Données projet'!$A$88,'Données projet'!$B$88,BD191+BC192-BL191)))</f>
        <v>141.06333333333305</v>
      </c>
      <c r="BE192" s="13">
        <f>BD192*VLOOKUP('Données projet'!$B$11,Paramètres!$A$1:$I$89,3,0)*VLOOKUP('Données projet'!$B$11,Paramètres!$A$1:$I$89,5,0)</f>
        <v>143.03821999999974</v>
      </c>
      <c r="BF192" s="13">
        <f t="shared" si="167"/>
        <v>36.992146964895987</v>
      </c>
      <c r="BG192" s="20">
        <f t="shared" si="168"/>
        <v>313.55288913052675</v>
      </c>
      <c r="BH192" s="59">
        <f t="shared" si="116"/>
        <v>603.53052777753055</v>
      </c>
      <c r="BI192" s="59">
        <f ca="1">AVERAGE(OFFSET($BH$3,0,0,'Données projet'!$E$11+1,1))-AVERAGE(OFFSET($H$3,0,0,'Données projet'!$E$11+1,1))</f>
        <v>580.02848304986492</v>
      </c>
      <c r="BJ192" s="59">
        <f t="shared" si="146"/>
        <v>281.68891895586728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107.78754001025666</v>
      </c>
      <c r="BQ192" s="21">
        <f>EXP(-LN(2)/25)*BQ191+(1-EXP(-LN(2)/25))/(LN(2)/25)*Calculateur!BL192*Calculateur!BN192*VLOOKUP('Données projet'!$B$11,Paramètres!$A$1:$I$89,3,0)*0.475*44/12</f>
        <v>41.323205526761633</v>
      </c>
      <c r="BR192" s="21">
        <f>EXP(-LN(2)/2)*BR191+(1-EXP(-LN(2)/2))/(LN(2)/2)*BL192*BO192*VLOOKUP('Données projet'!$B$11,Paramètres!$A$1:$I$89,3,0)*0.475*44/12</f>
        <v>9.9573448017204974E-7</v>
      </c>
      <c r="BS192" s="22">
        <f t="shared" si="169"/>
        <v>149.11074653275276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4.4337866711430253E-14</v>
      </c>
      <c r="CA192" s="13">
        <f t="shared" si="170"/>
        <v>7.3222115536967035E-13</v>
      </c>
      <c r="CB192" s="20">
        <f t="shared" si="171"/>
        <v>1.3525069634579169E-12</v>
      </c>
      <c r="CC192" s="59">
        <f t="shared" si="119"/>
        <v>289.97763864700522</v>
      </c>
      <c r="CD192" s="59">
        <f ca="1">AVERAGE(OFFSET($CC$3,0,0,'Données projet'!$E$12+1,1))-AVERAGE(OFFSET($H$3,0,0,'Données projet'!$E$12+1,1))</f>
        <v>308.85018589589453</v>
      </c>
      <c r="CE192" s="59">
        <f t="shared" si="148"/>
        <v>302.59481222418219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3.9934777802079413</v>
      </c>
      <c r="CL192" s="21">
        <f>EXP(-LN(2)/25)*CL191+(1-EXP(-LN(2)/25))/(LN(2)/25)*Calculateur!CG192*Calculateur!CI192*VLOOKUP('Données projet'!$B$12,Paramètres!$A$1:$I$89,3,0)*0.475*44/12</f>
        <v>1.5196985571897723</v>
      </c>
      <c r="CM192" s="21">
        <f>EXP(-LN(2)/2)*CM191+(1-EXP(-LN(2)/2))/(LN(2)/2)*CG192*CJ192*VLOOKUP('Données projet'!$B$12,Paramètres!$A$1:$I$89,3,0)*0.475*44/12</f>
        <v>5.2697448534453041E-17</v>
      </c>
      <c r="CN192" s="22">
        <f t="shared" si="172"/>
        <v>5.5131763373977138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2.2737367544323206E-13</v>
      </c>
      <c r="CU192" s="17">
        <f>CT192*VLOOKUP('Données projet'!$B$13,Paramètres!$A$1:$I$89,3,0)*VLOOKUP('Données projet'!$B$13,Paramètres!$A$1:$I$89,5,0)</f>
        <v>1.5252226148732008E-13</v>
      </c>
      <c r="CV192" s="13">
        <f t="shared" si="173"/>
        <v>2.1814502464536512E-12</v>
      </c>
      <c r="CW192" s="20">
        <f t="shared" si="174"/>
        <v>4.0650021179971913E-12</v>
      </c>
      <c r="CX192" s="59">
        <f t="shared" si="122"/>
        <v>289.97763864700795</v>
      </c>
      <c r="CY192" s="59">
        <f ca="1">AVERAGE(OFFSET($CX$3,0,0,'Données projet'!$E$13+1,1))-AVERAGE(OFFSET($H$3,0,0,'Données projet'!$E$13+1,1))</f>
        <v>335.73816489539837</v>
      </c>
      <c r="CZ192" s="59">
        <f t="shared" si="150"/>
        <v>254.09787950201044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7.8360083107770562</v>
      </c>
      <c r="DG192" s="21">
        <f>EXP(-LN(2)/25)*DG191+(1-EXP(-LN(2)/25))/(LN(2)/25)*Calculateur!DB192*Calculateur!DD192*VLOOKUP('Données projet'!$B$13,Paramètres!$A$1:$I$89,3,0)*0.475*44/12</f>
        <v>4.2416961707453984</v>
      </c>
      <c r="DH192" s="21">
        <f>EXP(-LN(2)/2)*DH191+(1-EXP(-LN(2)/2))/(LN(2)/2)*DB192*DE192*VLOOKUP('Données projet'!$B$13,Paramètres!$A$1:$I$89,3,0)*0.475*44/12</f>
        <v>6.2967704970763641E-11</v>
      </c>
      <c r="DI192" s="22">
        <f t="shared" si="175"/>
        <v>12.077704481585423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2.5579538487363607E-13</v>
      </c>
      <c r="DP192" s="17">
        <f>DO192*VLOOKUP('Données projet'!$B$14,Paramètres!$A$1:$I$89,3,0)*VLOOKUP('Données projet'!$B$14,Paramètres!$A$1:$I$89,5,0)</f>
        <v>2.4740529624978082E-13</v>
      </c>
      <c r="DQ192" s="13">
        <f t="shared" si="176"/>
        <v>3.3447853361996459E-12</v>
      </c>
      <c r="DR192" s="20">
        <f t="shared" si="177"/>
        <v>6.2563986848494188E-12</v>
      </c>
      <c r="DS192" s="59">
        <f t="shared" si="125"/>
        <v>289.97763864701011</v>
      </c>
      <c r="DT192" s="59">
        <f ca="1">AVERAGE(OFFSET($DS$3,0,0,'Données projet'!$E$14+1,1))-AVERAGE(OFFSET($H$3,0,0,'Données projet'!$E$14+1,1))</f>
        <v>493.03862850474161</v>
      </c>
      <c r="DU192" s="59">
        <f t="shared" si="152"/>
        <v>312.51819065560528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37.537315756464416</v>
      </c>
      <c r="EB192" s="21">
        <f>EXP(-LN(2)/25)*EB191+(1-EXP(-LN(2)/25))/(LN(2)/25)*Calculateur!DW192*Calculateur!DY192*VLOOKUP('Données projet'!$B$14,Paramètres!$A$1:$I$89,3,0)*0.475*44/12</f>
        <v>4.9018315173656406</v>
      </c>
      <c r="EC192" s="21">
        <f>EXP(-LN(2)/2)*EC191+(1-EXP(-LN(2)/2))/(LN(2)/2)*DW192*DZ192*VLOOKUP('Données projet'!$B$14,Paramètres!$A$1:$I$89,3,0)*0.475*44/12</f>
        <v>9.586886396347538E-9</v>
      </c>
      <c r="ED192" s="22">
        <f t="shared" si="178"/>
        <v>42.439147283416943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2.5579538487363607E-13</v>
      </c>
      <c r="EK192" s="17">
        <f>EJ192*VLOOKUP('Données projet'!$B$15,Paramètres!$A$1:$I$89,3,0)*VLOOKUP('Données projet'!$B$15,Paramètres!$A$1:$I$89,5,0)</f>
        <v>2.7533815227798186E-13</v>
      </c>
      <c r="EL192" s="13">
        <f t="shared" si="179"/>
        <v>3.6763598146902537E-12</v>
      </c>
      <c r="EM192" s="20">
        <f t="shared" si="180"/>
        <v>6.88254062580301E-12</v>
      </c>
      <c r="EN192" s="59">
        <f t="shared" si="128"/>
        <v>289.97763864701074</v>
      </c>
      <c r="EO192" s="59">
        <f ca="1">AVERAGE(OFFSET($EN$3,0,0,'Données projet'!$E$15+1,1))-AVERAGE(OFFSET($H$3,0,0,'Données projet'!$E$15+1,1))</f>
        <v>539.72194201710272</v>
      </c>
      <c r="EP192" s="59">
        <f t="shared" si="154"/>
        <v>340.76505385159362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41.775399793484581</v>
      </c>
      <c r="EW192" s="21">
        <f>EXP(-LN(2)/25)*EW191+(1-EXP(-LN(2)/25))/(LN(2)/25)*Calculateur!ER192*Calculateur!ET192*VLOOKUP('Données projet'!$B$15,Paramètres!$A$1:$I$89,3,0)*0.475*44/12</f>
        <v>5.4552641080359514</v>
      </c>
      <c r="EX192" s="21">
        <f>EXP(-LN(2)/2)*EX191+(1-EXP(-LN(2)/2))/(LN(2)/2)*ER192*EU192*VLOOKUP('Données projet'!$B$15,Paramètres!$A$1:$I$89,3,0)*0.475*44/12</f>
        <v>1.0669276795935147E-8</v>
      </c>
      <c r="EY192" s="22">
        <f t="shared" si="181"/>
        <v>47.230663912189804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>
        <f>FE192*VLOOKUP('Données projet'!$B$16,Paramètres!$A$1:$I$89,3,0)*VLOOKUP('Données projet'!$B$16,Paramètres!$A$1:$I$89,5,0)</f>
        <v>0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383.47860767209028</v>
      </c>
      <c r="FK192" s="59">
        <f t="shared" si="156"/>
        <v>370.49129421395628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6.1205926075255439</v>
      </c>
      <c r="FR192" s="21">
        <f>EXP(-LN(2)/25)*FR191+(1-EXP(-LN(2)/25))/(LN(2)/25)*Calculateur!FM192*Calculateur!FO192*VLOOKUP('Données projet'!$B$16,Paramètres!$A$1:$I$89,3,0)*0.475*44/12</f>
        <v>2.5483597709321142</v>
      </c>
      <c r="FS192" s="21">
        <f>EXP(-LN(2)/2)*FS191+(1-EXP(-LN(2)/2))/(LN(2)/2)*FM192*FP192*VLOOKUP('Données projet'!$B$16,Paramètres!$A$1:$I$89,3,0)*0.475*44/12</f>
        <v>2.4982239095949253E-15</v>
      </c>
      <c r="FT192" s="22">
        <f t="shared" si="184"/>
        <v>8.668952378457659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1.9733333333333292</v>
      </c>
      <c r="FZ192" s="12">
        <f>IF('Données projet'!$A$244&gt;35,FZ191+FY192-GH191,IF(A192&lt;'Données projet'!$A$244,$FW$205^A192,IF(A192='Données projet'!$A$244,'Données projet'!$B$244,FZ191+FY192-GH191)))</f>
        <v>141.06333333333305</v>
      </c>
      <c r="GA192" s="17">
        <f>FZ192*VLOOKUP('Données projet'!$B$17,Paramètres!$A$1:$I$89,3,0)*VLOOKUP('Données projet'!$B$17,Paramètres!$A$1:$I$89,5,0)</f>
        <v>160.64292399999968</v>
      </c>
      <c r="GB192" s="13">
        <f t="shared" si="185"/>
        <v>40.987494846781502</v>
      </c>
      <c r="GC192" s="20">
        <f t="shared" si="186"/>
        <v>351.17297949147724</v>
      </c>
      <c r="GD192" s="59">
        <f t="shared" si="134"/>
        <v>641.15061813848115</v>
      </c>
      <c r="GE192" s="59">
        <f ca="1">AVERAGE(OFFSET($GD$3,0,0,'Données projet'!$E$17+1,1))-AVERAGE(OFFSET($H$3,0,0,'Données projet'!$E$17+1,1))</f>
        <v>640.05156427113661</v>
      </c>
      <c r="GF192" s="59">
        <f t="shared" si="158"/>
        <v>308.77220155372902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121.05369878074978</v>
      </c>
      <c r="GM192" s="21">
        <f>EXP(-LN(2)/25)*GM191+(1-EXP(-LN(2)/25))/(LN(2)/25)*Calculateur!GH192*Calculateur!GJ192*VLOOKUP('Données projet'!$B$17,Paramètres!$A$1:$I$89,3,0)*0.475*44/12</f>
        <v>46.409138514670744</v>
      </c>
      <c r="GN192" s="21">
        <f>EXP(-LN(2)/2)*GN191+(1-EXP(-LN(2)/2))/(LN(2)/2)*GH192*GK192*VLOOKUP('Données projet'!$B$17,Paramètres!$A$1:$I$89,3,0)*0.475*44/12</f>
        <v>1.1182864161932252E-6</v>
      </c>
      <c r="GO192" s="21">
        <f t="shared" si="187"/>
        <v>167.46283841370692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4.7884896048344674E-14</v>
      </c>
      <c r="P193" s="13">
        <f t="shared" si="141"/>
        <v>7.8374629847779921E-13</v>
      </c>
      <c r="Q193" s="20">
        <f t="shared" si="162"/>
        <v>1.4484243304663672E-12</v>
      </c>
      <c r="R193" s="59">
        <f t="shared" si="109"/>
        <v>290.0358524476037</v>
      </c>
      <c r="S193" s="59">
        <f ca="1">AVERAGE(OFFSET($R$3,0,0,'Données projet'!$E$9+1,1))-AVERAGE(OFFSET($H$3,0,0,'Données projet'!$E$9+1,1))</f>
        <v>456.35333554128226</v>
      </c>
      <c r="T193" s="59">
        <f t="shared" si="142"/>
        <v>296.4517290984877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23.179390986236307</v>
      </c>
      <c r="AA193" s="21">
        <f>EXP(-LN(2)/25)*AA192+(1-EXP(-LN(2)/25))/(LN(2)/25)*Calculateur!V193*Calculateur!X193*VLOOKUP('Données projet'!$B$9,Paramètres!$A$1:$I$89,3,0)*0.475*44/12</f>
        <v>2.7251105147032049</v>
      </c>
      <c r="AB193" s="21">
        <f>EXP(-LN(2)/2)*AB192+(1-EXP(-LN(2)/2))/(LN(2)/2)*V193*Y193*VLOOKUP('Données projet'!$B$9,Paramètres!$A$1:$I$89,3,0)*0.475*44/12</f>
        <v>1.6878001417720238E-12</v>
      </c>
      <c r="AC193" s="22">
        <f t="shared" si="163"/>
        <v>25.904501500941198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408.246209980743</v>
      </c>
      <c r="AO193" s="59">
        <f t="shared" si="144"/>
        <v>394.10236303013903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6.4621539442759843</v>
      </c>
      <c r="AV193" s="21">
        <f>EXP(-LN(2)/25)*AV192+(1-EXP(-LN(2)/25))/(LN(2)/25)*Calculateur!AQ193*Calculateur!AS193*VLOOKUP('Données projet'!$B$10,Paramètres!$A$1:$I$89,3,0)*0.475*44/12</f>
        <v>2.6693420265976813</v>
      </c>
      <c r="AW193" s="21">
        <f>EXP(-LN(2)/2)*AW192+(1-EXP(-LN(2)/2))/(LN(2)/2)*AQ193*AT193*VLOOKUP('Données projet'!$B$10,Paramètres!$A$1:$I$89,3,0)*0.475*44/12</f>
        <v>1.9023965341197663E-15</v>
      </c>
      <c r="AX193" s="21">
        <f t="shared" si="166"/>
        <v>9.1314959708736669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1.9733333333333292</v>
      </c>
      <c r="BD193" s="12">
        <f>IF('Données projet'!$A$88&gt;35,BD192+BC193-BL192,IF(A193&lt;'Données projet'!$A$88,$BA$205^A193,IF(A193='Données projet'!$A$88,'Données projet'!$B$88,BD192+BC193-BL192)))</f>
        <v>143.03666666666638</v>
      </c>
      <c r="BE193" s="13">
        <f>BD193*VLOOKUP('Données projet'!$B$11,Paramètres!$A$1:$I$89,3,0)*VLOOKUP('Données projet'!$B$11,Paramètres!$A$1:$I$89,5,0)</f>
        <v>145.0391799999997</v>
      </c>
      <c r="BF193" s="13">
        <f t="shared" si="167"/>
        <v>37.449024342936362</v>
      </c>
      <c r="BG193" s="20">
        <f t="shared" si="168"/>
        <v>317.8336225639469</v>
      </c>
      <c r="BH193" s="59">
        <f t="shared" si="116"/>
        <v>607.86947501154918</v>
      </c>
      <c r="BI193" s="59">
        <f ca="1">AVERAGE(OFFSET($BH$3,0,0,'Données projet'!$E$11+1,1))-AVERAGE(OFFSET($H$3,0,0,'Données projet'!$E$11+1,1))</f>
        <v>580.02848304986492</v>
      </c>
      <c r="BJ193" s="59">
        <f t="shared" si="146"/>
        <v>281.68891895586728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105.67389209456327</v>
      </c>
      <c r="BQ193" s="21">
        <f>EXP(-LN(2)/25)*BQ192+(1-EXP(-LN(2)/25))/(LN(2)/25)*Calculateur!BL193*Calculateur!BN193*VLOOKUP('Données projet'!$B$11,Paramètres!$A$1:$I$89,3,0)*0.475*44/12</f>
        <v>40.193220298539401</v>
      </c>
      <c r="BR193" s="21">
        <f>EXP(-LN(2)/2)*BR192+(1-EXP(-LN(2)/2))/(LN(2)/2)*BL193*BO193*VLOOKUP('Données projet'!$B$11,Paramètres!$A$1:$I$89,3,0)*0.475*44/12</f>
        <v>7.0409060319091823E-7</v>
      </c>
      <c r="BS193" s="22">
        <f t="shared" si="169"/>
        <v>145.86711309719328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4.4337866711430253E-14</v>
      </c>
      <c r="CA193" s="13">
        <f t="shared" si="170"/>
        <v>7.3222115536967035E-13</v>
      </c>
      <c r="CB193" s="20">
        <f t="shared" si="171"/>
        <v>1.3525069634579169E-12</v>
      </c>
      <c r="CC193" s="59">
        <f t="shared" si="119"/>
        <v>290.03585244760365</v>
      </c>
      <c r="CD193" s="59">
        <f ca="1">AVERAGE(OFFSET($CC$3,0,0,'Données projet'!$E$12+1,1))-AVERAGE(OFFSET($H$3,0,0,'Données projet'!$E$12+1,1))</f>
        <v>308.85018589589453</v>
      </c>
      <c r="CE193" s="59">
        <f t="shared" si="148"/>
        <v>302.59481222418219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3.9151681167189962</v>
      </c>
      <c r="CL193" s="21">
        <f>EXP(-LN(2)/25)*CL192+(1-EXP(-LN(2)/25))/(LN(2)/25)*Calculateur!CG193*Calculateur!CI193*VLOOKUP('Données projet'!$B$12,Paramètres!$A$1:$I$89,3,0)*0.475*44/12</f>
        <v>1.4781423202259443</v>
      </c>
      <c r="CM193" s="21">
        <f>EXP(-LN(2)/2)*CM192+(1-EXP(-LN(2)/2))/(LN(2)/2)*CG193*CJ193*VLOOKUP('Données projet'!$B$12,Paramètres!$A$1:$I$89,3,0)*0.475*44/12</f>
        <v>3.7262723209940835E-17</v>
      </c>
      <c r="CN193" s="22">
        <f t="shared" si="172"/>
        <v>5.3933104369449403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2.2737367544323206E-13</v>
      </c>
      <c r="CU193" s="17">
        <f>CT193*VLOOKUP('Données projet'!$B$13,Paramètres!$A$1:$I$89,3,0)*VLOOKUP('Données projet'!$B$13,Paramètres!$A$1:$I$89,5,0)</f>
        <v>1.5252226148732008E-13</v>
      </c>
      <c r="CV193" s="13">
        <f t="shared" si="173"/>
        <v>2.1814502464536512E-12</v>
      </c>
      <c r="CW193" s="20">
        <f t="shared" si="174"/>
        <v>4.0650021179971913E-12</v>
      </c>
      <c r="CX193" s="59">
        <f t="shared" si="122"/>
        <v>290.03585244760637</v>
      </c>
      <c r="CY193" s="59">
        <f ca="1">AVERAGE(OFFSET($CX$3,0,0,'Données projet'!$E$13+1,1))-AVERAGE(OFFSET($H$3,0,0,'Données projet'!$E$13+1,1))</f>
        <v>335.73816489539837</v>
      </c>
      <c r="CZ193" s="59">
        <f t="shared" si="150"/>
        <v>254.09787950201044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7.6823489672958516</v>
      </c>
      <c r="DG193" s="21">
        <f>EXP(-LN(2)/25)*DG192+(1-EXP(-LN(2)/25))/(LN(2)/25)*Calculateur!DB193*Calculateur!DD193*VLOOKUP('Données projet'!$B$13,Paramètres!$A$1:$I$89,3,0)*0.475*44/12</f>
        <v>4.1257067658952584</v>
      </c>
      <c r="DH193" s="21">
        <f>EXP(-LN(2)/2)*DH192+(1-EXP(-LN(2)/2))/(LN(2)/2)*DB193*DE193*VLOOKUP('Données projet'!$B$13,Paramètres!$A$1:$I$89,3,0)*0.475*44/12</f>
        <v>4.4524891180580847E-11</v>
      </c>
      <c r="DI193" s="22">
        <f t="shared" si="175"/>
        <v>11.808055733235635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2.5579538487363607E-13</v>
      </c>
      <c r="DP193" s="17">
        <f>DO193*VLOOKUP('Données projet'!$B$14,Paramètres!$A$1:$I$89,3,0)*VLOOKUP('Données projet'!$B$14,Paramètres!$A$1:$I$89,5,0)</f>
        <v>2.4740529624978082E-13</v>
      </c>
      <c r="DQ193" s="13">
        <f t="shared" si="176"/>
        <v>3.3447853361996459E-12</v>
      </c>
      <c r="DR193" s="20">
        <f t="shared" si="177"/>
        <v>6.2563986848494188E-12</v>
      </c>
      <c r="DS193" s="59">
        <f t="shared" si="125"/>
        <v>290.03585244760853</v>
      </c>
      <c r="DT193" s="59">
        <f ca="1">AVERAGE(OFFSET($DS$3,0,0,'Données projet'!$E$14+1,1))-AVERAGE(OFFSET($H$3,0,0,'Données projet'!$E$14+1,1))</f>
        <v>493.03862850474161</v>
      </c>
      <c r="DU193" s="59">
        <f t="shared" si="152"/>
        <v>312.51819065560528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36.80123188998202</v>
      </c>
      <c r="EB193" s="21">
        <f>EXP(-LN(2)/25)*EB192+(1-EXP(-LN(2)/25))/(LN(2)/25)*Calculateur!DW193*Calculateur!DY193*VLOOKUP('Données projet'!$B$14,Paramètres!$A$1:$I$89,3,0)*0.475*44/12</f>
        <v>4.7677906767471612</v>
      </c>
      <c r="EC193" s="21">
        <f>EXP(-LN(2)/2)*EC192+(1-EXP(-LN(2)/2))/(LN(2)/2)*DW193*DZ193*VLOOKUP('Données projet'!$B$14,Paramètres!$A$1:$I$89,3,0)*0.475*44/12</f>
        <v>6.7789523813224078E-9</v>
      </c>
      <c r="ED193" s="22">
        <f t="shared" si="178"/>
        <v>41.569022573508136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2.5579538487363607E-13</v>
      </c>
      <c r="EK193" s="17">
        <f>EJ193*VLOOKUP('Données projet'!$B$15,Paramètres!$A$1:$I$89,3,0)*VLOOKUP('Données projet'!$B$15,Paramètres!$A$1:$I$89,5,0)</f>
        <v>2.7533815227798186E-13</v>
      </c>
      <c r="EL193" s="13">
        <f t="shared" si="179"/>
        <v>3.6763598146902537E-12</v>
      </c>
      <c r="EM193" s="20">
        <f t="shared" si="180"/>
        <v>6.88254062580301E-12</v>
      </c>
      <c r="EN193" s="59">
        <f t="shared" si="128"/>
        <v>290.03585244760916</v>
      </c>
      <c r="EO193" s="59">
        <f ca="1">AVERAGE(OFFSET($EN$3,0,0,'Données projet'!$E$15+1,1))-AVERAGE(OFFSET($H$3,0,0,'Données projet'!$E$15+1,1))</f>
        <v>539.72194201710272</v>
      </c>
      <c r="EP193" s="59">
        <f t="shared" si="154"/>
        <v>340.76505385159362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40.956209684012236</v>
      </c>
      <c r="EW193" s="21">
        <f>EXP(-LN(2)/25)*EW192+(1-EXP(-LN(2)/25))/(LN(2)/25)*Calculateur!ER193*Calculateur!ET193*VLOOKUP('Données projet'!$B$15,Paramètres!$A$1:$I$89,3,0)*0.475*44/12</f>
        <v>5.3060896241218369</v>
      </c>
      <c r="EX193" s="21">
        <f>EXP(-LN(2)/2)*EX192+(1-EXP(-LN(2)/2))/(LN(2)/2)*ER193*EU193*VLOOKUP('Données projet'!$B$15,Paramètres!$A$1:$I$89,3,0)*0.475*44/12</f>
        <v>7.5443179727620228E-9</v>
      </c>
      <c r="EY193" s="22">
        <f t="shared" si="181"/>
        <v>46.262299315678391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>
        <f>FE193*VLOOKUP('Données projet'!$B$16,Paramètres!$A$1:$I$89,3,0)*VLOOKUP('Données projet'!$B$16,Paramètres!$A$1:$I$89,5,0)</f>
        <v>0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383.47860767209028</v>
      </c>
      <c r="FK193" s="59">
        <f t="shared" si="156"/>
        <v>370.49129421395628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6.0005715196848364</v>
      </c>
      <c r="FR193" s="21">
        <f>EXP(-LN(2)/25)*FR192+(1-EXP(-LN(2)/25))/(LN(2)/25)*Calculateur!FM193*Calculateur!FO193*VLOOKUP('Données projet'!$B$16,Paramètres!$A$1:$I$89,3,0)*0.475*44/12</f>
        <v>2.4786747389835595</v>
      </c>
      <c r="FS193" s="21">
        <f>EXP(-LN(2)/2)*FS192+(1-EXP(-LN(2)/2))/(LN(2)/2)*FM193*FP193*VLOOKUP('Données projet'!$B$16,Paramètres!$A$1:$I$89,3,0)*0.475*44/12</f>
        <v>1.7665110673969402E-15</v>
      </c>
      <c r="FT193" s="22">
        <f t="shared" si="184"/>
        <v>8.4792462586683985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1.9733333333333292</v>
      </c>
      <c r="FZ193" s="12">
        <f>IF('Données projet'!$A$244&gt;35,FZ192+FY193-GH192,IF(A193&lt;'Données projet'!$A$244,$FW$205^A193,IF(A193='Données projet'!$A$244,'Données projet'!$B$244,FZ192+FY193-GH192)))</f>
        <v>143.03666666666638</v>
      </c>
      <c r="GA193" s="17">
        <f>FZ193*VLOOKUP('Données projet'!$B$17,Paramètres!$A$1:$I$89,3,0)*VLOOKUP('Données projet'!$B$17,Paramètres!$A$1:$I$89,5,0)</f>
        <v>162.89015599999965</v>
      </c>
      <c r="GB193" s="13">
        <f t="shared" si="185"/>
        <v>41.493717402498838</v>
      </c>
      <c r="GC193" s="20">
        <f t="shared" si="186"/>
        <v>355.96857950935151</v>
      </c>
      <c r="GD193" s="59">
        <f t="shared" si="134"/>
        <v>646.00443195695379</v>
      </c>
      <c r="GE193" s="59">
        <f ca="1">AVERAGE(OFFSET($GD$3,0,0,'Données projet'!$E$17+1,1))-AVERAGE(OFFSET($H$3,0,0,'Données projet'!$E$17+1,1))</f>
        <v>640.05156427113661</v>
      </c>
      <c r="GF193" s="59">
        <f t="shared" si="158"/>
        <v>308.77220155372902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118.6799095831249</v>
      </c>
      <c r="GM193" s="21">
        <f>EXP(-LN(2)/25)*GM192+(1-EXP(-LN(2)/25))/(LN(2)/25)*Calculateur!GH193*Calculateur!GJ193*VLOOKUP('Données projet'!$B$17,Paramètres!$A$1:$I$89,3,0)*0.475*44/12</f>
        <v>45.14007818143655</v>
      </c>
      <c r="GN193" s="21">
        <f>EXP(-LN(2)/2)*GN192+(1-EXP(-LN(2)/2))/(LN(2)/2)*GH193*GK193*VLOOKUP('Données projet'!$B$17,Paramètres!$A$1:$I$89,3,0)*0.475*44/12</f>
        <v>7.9074790819903129E-7</v>
      </c>
      <c r="GO193" s="21">
        <f t="shared" si="187"/>
        <v>163.81998855530938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4.7884896048344674E-14</v>
      </c>
      <c r="P194" s="13">
        <f t="shared" si="141"/>
        <v>7.8374629847779921E-13</v>
      </c>
      <c r="Q194" s="20">
        <f t="shared" si="162"/>
        <v>1.4484243304663672E-12</v>
      </c>
      <c r="R194" s="59">
        <f t="shared" si="109"/>
        <v>290.09305636890826</v>
      </c>
      <c r="S194" s="59">
        <f ca="1">AVERAGE(OFFSET($R$3,0,0,'Données projet'!$E$9+1,1))-AVERAGE(OFFSET($H$3,0,0,'Données projet'!$E$9+1,1))</f>
        <v>456.35333554128226</v>
      </c>
      <c r="T194" s="59">
        <f t="shared" si="142"/>
        <v>296.4517290984877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22.7248572670287</v>
      </c>
      <c r="AA194" s="21">
        <f>EXP(-LN(2)/25)*AA193+(1-EXP(-LN(2)/25))/(LN(2)/25)*Calculateur!V194*Calculateur!X194*VLOOKUP('Données projet'!$B$9,Paramètres!$A$1:$I$89,3,0)*0.475*44/12</f>
        <v>2.6505922243713123</v>
      </c>
      <c r="AB194" s="21">
        <f>EXP(-LN(2)/2)*AB193+(1-EXP(-LN(2)/2))/(LN(2)/2)*V194*Y194*VLOOKUP('Données projet'!$B$9,Paramètres!$A$1:$I$89,3,0)*0.475*44/12</f>
        <v>1.1934549255346143E-12</v>
      </c>
      <c r="AC194" s="22">
        <f t="shared" si="163"/>
        <v>25.375449491401206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408.246209980743</v>
      </c>
      <c r="AO194" s="59">
        <f t="shared" si="144"/>
        <v>394.10236303013903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6.3354350469534451</v>
      </c>
      <c r="AV194" s="21">
        <f>EXP(-LN(2)/25)*AV193+(1-EXP(-LN(2)/25))/(LN(2)/25)*Calculateur!AQ194*Calculateur!AS194*VLOOKUP('Données projet'!$B$10,Paramètres!$A$1:$I$89,3,0)*0.475*44/12</f>
        <v>2.5963487285057711</v>
      </c>
      <c r="AW194" s="21">
        <f>EXP(-LN(2)/2)*AW193+(1-EXP(-LN(2)/2))/(LN(2)/2)*AQ194*AT194*VLOOKUP('Données projet'!$B$10,Paramètres!$A$1:$I$89,3,0)*0.475*44/12</f>
        <v>1.345197489781872E-15</v>
      </c>
      <c r="AX194" s="21">
        <f t="shared" si="166"/>
        <v>8.931783775459218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>
        <f>VLOOKUP(A194,'Données projet'!$A$87:$I$107,2,0)</f>
        <v>145.01</v>
      </c>
      <c r="BB194" s="12">
        <f>VLOOKUP(A194,'Données projet'!$A$87:$I$107,9,0)</f>
        <v>1.9733333333333292</v>
      </c>
      <c r="BC194" s="12">
        <f t="array" ref="BC194">INDEX(BB:BB,MIN(IF(ISNUMBER(BB194:BB390),ROW(BB194:BB390),"")))</f>
        <v>1.9733333333333292</v>
      </c>
      <c r="BD194" s="12">
        <f>IF('Données projet'!$A$88&gt;35,BD193+BC194-BL193,IF(A194&lt;'Données projet'!$A$88,$BA$205^A194,IF(A194='Données projet'!$A$88,'Données projet'!$B$88,BD193+BC194-BL193)))</f>
        <v>145.00999999999971</v>
      </c>
      <c r="BE194" s="13">
        <f>BD194*VLOOKUP('Données projet'!$B$11,Paramètres!$A$1:$I$89,3,0)*VLOOKUP('Données projet'!$B$11,Paramètres!$A$1:$I$89,5,0)</f>
        <v>147.04013999999972</v>
      </c>
      <c r="BF194" s="13">
        <f t="shared" si="167"/>
        <v>37.905168606806875</v>
      </c>
      <c r="BG194" s="20">
        <f t="shared" si="168"/>
        <v>322.11307915685478</v>
      </c>
      <c r="BH194" s="59">
        <f t="shared" si="116"/>
        <v>612.20613552576162</v>
      </c>
      <c r="BI194" s="59">
        <f ca="1">AVERAGE(OFFSET($BH$3,0,0,'Données projet'!$E$11+1,1))-AVERAGE(OFFSET($H$3,0,0,'Données projet'!$E$11+1,1))</f>
        <v>580.02848304986492</v>
      </c>
      <c r="BJ194" s="59">
        <f t="shared" si="146"/>
        <v>281.68891895586728</v>
      </c>
      <c r="BK194" s="15" t="str">
        <f>IF(ISNA(VLOOKUP(A194,'Données projet'!$A$87:$I$107,3,0)),0,VLOOKUP(A194,'Données projet'!$A$87:$I$107,3,0))</f>
        <v>CR</v>
      </c>
      <c r="BL194" s="15">
        <f>IF(ISNA(VLOOKUP(A194,'Données projet'!$A$87:$I$107,4,0)),0,VLOOKUP(A194,'Données projet'!$A$87:$I$107,4,0))</f>
        <v>145.01</v>
      </c>
      <c r="BM194" s="16">
        <f>IF(ISNA(VLOOKUP(A194,'Données projet'!$A$87:$I$107,5,0)),0%,VLOOKUP(A194,'Données projet'!$A$87:$I$107,5,0)*VLOOKUP('Données projet'!$B$11,Paramètres!$A$1:$I$89,7,0))</f>
        <v>0.19350000000000001</v>
      </c>
      <c r="BN194" s="16">
        <f>IF(ISNA(VLOOKUP(A194,'Données projet'!$A$87:$I$107,6,0)),0%,VLOOKUP(A194,'Données projet'!$A$87:$I$107,6,0)*VLOOKUP('Données projet'!$B$11,Paramètres!$A$1:$I$89,7,0))</f>
        <v>2.1500000000000002E-2</v>
      </c>
      <c r="BO194" s="16">
        <f>IF(ISNA(VLOOKUP(A194,'Données projet'!$A$87:$I$107,7,0)),0%,VLOOKUP(A194,'Données projet'!$A$87:$I$107,7,0))</f>
        <v>0.05</v>
      </c>
      <c r="BP194" s="21">
        <f>EXP(-LN(2)/35)*BP193+(1-EXP(-LN(2)/35))/(LN(2)/35)*BL194*BM194*VLOOKUP('Données projet'!$B$11,Paramètres!$A$1:$I$89,3,0)*0.475*44/12</f>
        <v>135.05483002385387</v>
      </c>
      <c r="BQ194" s="21">
        <f>EXP(-LN(2)/25)*BQ193+(1-EXP(-LN(2)/25))/(LN(2)/25)*Calculateur!BL194*Calculateur!BN194*VLOOKUP('Données projet'!$B$11,Paramètres!$A$1:$I$89,3,0)*0.475*44/12</f>
        <v>42.575167409995252</v>
      </c>
      <c r="BR194" s="21">
        <f>EXP(-LN(2)/2)*BR193+(1-EXP(-LN(2)/2))/(LN(2)/2)*BL194*BO194*VLOOKUP('Données projet'!$B$11,Paramètres!$A$1:$I$89,3,0)*0.475*44/12</f>
        <v>6.9368169787344574</v>
      </c>
      <c r="BS194" s="22">
        <f t="shared" si="169"/>
        <v>184.5668144125836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4.4337866711430253E-14</v>
      </c>
      <c r="CA194" s="13">
        <f t="shared" si="170"/>
        <v>7.3222115536967035E-13</v>
      </c>
      <c r="CB194" s="20">
        <f t="shared" si="171"/>
        <v>1.3525069634579169E-12</v>
      </c>
      <c r="CC194" s="59">
        <f t="shared" si="119"/>
        <v>290.09305636890821</v>
      </c>
      <c r="CD194" s="59">
        <f ca="1">AVERAGE(OFFSET($CC$3,0,0,'Données projet'!$E$12+1,1))-AVERAGE(OFFSET($H$3,0,0,'Données projet'!$E$12+1,1))</f>
        <v>308.85018589589453</v>
      </c>
      <c r="CE194" s="59">
        <f t="shared" si="148"/>
        <v>302.59481222418219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3.8383940579668909</v>
      </c>
      <c r="CL194" s="21">
        <f>EXP(-LN(2)/25)*CL193+(1-EXP(-LN(2)/25))/(LN(2)/25)*Calculateur!CG194*Calculateur!CI194*VLOOKUP('Données projet'!$B$12,Paramètres!$A$1:$I$89,3,0)*0.475*44/12</f>
        <v>1.4377224407472395</v>
      </c>
      <c r="CM194" s="21">
        <f>EXP(-LN(2)/2)*CM193+(1-EXP(-LN(2)/2))/(LN(2)/2)*CG194*CJ194*VLOOKUP('Données projet'!$B$12,Paramètres!$A$1:$I$89,3,0)*0.475*44/12</f>
        <v>2.634872426722652E-17</v>
      </c>
      <c r="CN194" s="22">
        <f t="shared" si="172"/>
        <v>5.2761164987141305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2.2737367544323206E-13</v>
      </c>
      <c r="CU194" s="17">
        <f>CT194*VLOOKUP('Données projet'!$B$13,Paramètres!$A$1:$I$89,3,0)*VLOOKUP('Données projet'!$B$13,Paramètres!$A$1:$I$89,5,0)</f>
        <v>1.5252226148732008E-13</v>
      </c>
      <c r="CV194" s="13">
        <f t="shared" si="173"/>
        <v>2.1814502464536512E-12</v>
      </c>
      <c r="CW194" s="20">
        <f t="shared" si="174"/>
        <v>4.0650021179971913E-12</v>
      </c>
      <c r="CX194" s="59">
        <f t="shared" si="122"/>
        <v>290.09305636891094</v>
      </c>
      <c r="CY194" s="59">
        <f ca="1">AVERAGE(OFFSET($CX$3,0,0,'Données projet'!$E$13+1,1))-AVERAGE(OFFSET($H$3,0,0,'Données projet'!$E$13+1,1))</f>
        <v>335.73816489539837</v>
      </c>
      <c r="CZ194" s="59">
        <f t="shared" si="150"/>
        <v>254.09787950201044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7.531702789817369</v>
      </c>
      <c r="DG194" s="21">
        <f>EXP(-LN(2)/25)*DG193+(1-EXP(-LN(2)/25))/(LN(2)/25)*Calculateur!DB194*Calculateur!DD194*VLOOKUP('Données projet'!$B$13,Paramètres!$A$1:$I$89,3,0)*0.475*44/12</f>
        <v>4.0128890974203628</v>
      </c>
      <c r="DH194" s="21">
        <f>EXP(-LN(2)/2)*DH193+(1-EXP(-LN(2)/2))/(LN(2)/2)*DB194*DE194*VLOOKUP('Données projet'!$B$13,Paramètres!$A$1:$I$89,3,0)*0.475*44/12</f>
        <v>3.148385248538182E-11</v>
      </c>
      <c r="DI194" s="22">
        <f t="shared" si="175"/>
        <v>11.544591887269217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2.5579538487363607E-13</v>
      </c>
      <c r="DP194" s="17">
        <f>DO194*VLOOKUP('Données projet'!$B$14,Paramètres!$A$1:$I$89,3,0)*VLOOKUP('Données projet'!$B$14,Paramètres!$A$1:$I$89,5,0)</f>
        <v>2.4740529624978082E-13</v>
      </c>
      <c r="DQ194" s="13">
        <f t="shared" si="176"/>
        <v>3.3447853361996459E-12</v>
      </c>
      <c r="DR194" s="20">
        <f t="shared" si="177"/>
        <v>6.2563986848494188E-12</v>
      </c>
      <c r="DS194" s="59">
        <f t="shared" si="125"/>
        <v>290.0930563689131</v>
      </c>
      <c r="DT194" s="59">
        <f ca="1">AVERAGE(OFFSET($DS$3,0,0,'Données projet'!$E$14+1,1))-AVERAGE(OFFSET($H$3,0,0,'Données projet'!$E$14+1,1))</f>
        <v>493.03862850474161</v>
      </c>
      <c r="DU194" s="59">
        <f t="shared" si="152"/>
        <v>312.51819065560528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36.079582179154514</v>
      </c>
      <c r="EB194" s="21">
        <f>EXP(-LN(2)/25)*EB193+(1-EXP(-LN(2)/25))/(LN(2)/25)*Calculateur!DW194*Calculateur!DY194*VLOOKUP('Données projet'!$B$14,Paramètres!$A$1:$I$89,3,0)*0.475*44/12</f>
        <v>4.6374151899642957</v>
      </c>
      <c r="EC194" s="21">
        <f>EXP(-LN(2)/2)*EC193+(1-EXP(-LN(2)/2))/(LN(2)/2)*DW194*DZ194*VLOOKUP('Données projet'!$B$14,Paramètres!$A$1:$I$89,3,0)*0.475*44/12</f>
        <v>4.793443198173769E-9</v>
      </c>
      <c r="ED194" s="22">
        <f t="shared" si="178"/>
        <v>40.71699737391225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2.5579538487363607E-13</v>
      </c>
      <c r="EK194" s="17">
        <f>EJ194*VLOOKUP('Données projet'!$B$15,Paramètres!$A$1:$I$89,3,0)*VLOOKUP('Données projet'!$B$15,Paramètres!$A$1:$I$89,5,0)</f>
        <v>2.7533815227798186E-13</v>
      </c>
      <c r="EL194" s="13">
        <f t="shared" si="179"/>
        <v>3.6763598146902537E-12</v>
      </c>
      <c r="EM194" s="20">
        <f t="shared" si="180"/>
        <v>6.88254062580301E-12</v>
      </c>
      <c r="EN194" s="59">
        <f t="shared" si="128"/>
        <v>290.09305636891372</v>
      </c>
      <c r="EO194" s="59">
        <f ca="1">AVERAGE(OFFSET($EN$3,0,0,'Données projet'!$E$15+1,1))-AVERAGE(OFFSET($H$3,0,0,'Données projet'!$E$15+1,1))</f>
        <v>539.72194201710272</v>
      </c>
      <c r="EP194" s="59">
        <f t="shared" si="154"/>
        <v>340.76505385159362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40.153083392930014</v>
      </c>
      <c r="EW194" s="21">
        <f>EXP(-LN(2)/25)*EW193+(1-EXP(-LN(2)/25))/(LN(2)/25)*Calculateur!ER194*Calculateur!ET194*VLOOKUP('Données projet'!$B$15,Paramètres!$A$1:$I$89,3,0)*0.475*44/12</f>
        <v>5.1609943243150989</v>
      </c>
      <c r="EX194" s="21">
        <f>EXP(-LN(2)/2)*EX193+(1-EXP(-LN(2)/2))/(LN(2)/2)*ER194*EU194*VLOOKUP('Données projet'!$B$15,Paramètres!$A$1:$I$89,3,0)*0.475*44/12</f>
        <v>5.3346383979675734E-9</v>
      </c>
      <c r="EY194" s="22">
        <f t="shared" si="181"/>
        <v>45.314077722579754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>
        <f>FE194*VLOOKUP('Données projet'!$B$16,Paramètres!$A$1:$I$89,3,0)*VLOOKUP('Données projet'!$B$16,Paramètres!$A$1:$I$89,5,0)</f>
        <v>0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383.47860767209028</v>
      </c>
      <c r="FK194" s="59">
        <f t="shared" si="156"/>
        <v>370.49129421395628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5.8829039721710501</v>
      </c>
      <c r="FR194" s="21">
        <f>EXP(-LN(2)/25)*FR193+(1-EXP(-LN(2)/25))/(LN(2)/25)*Calculateur!FM194*Calculateur!FO194*VLOOKUP('Données projet'!$B$16,Paramètres!$A$1:$I$89,3,0)*0.475*44/12</f>
        <v>2.4108952478982144</v>
      </c>
      <c r="FS194" s="21">
        <f>EXP(-LN(2)/2)*FS193+(1-EXP(-LN(2)/2))/(LN(2)/2)*FM194*FP194*VLOOKUP('Données projet'!$B$16,Paramètres!$A$1:$I$89,3,0)*0.475*44/12</f>
        <v>1.2491119547974629E-15</v>
      </c>
      <c r="FT194" s="22">
        <f t="shared" si="184"/>
        <v>8.2937992200692658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>
        <f>VLOOKUP(A194,'Données projet'!$A$243:$I$263,2,0)</f>
        <v>145.01</v>
      </c>
      <c r="FX194" s="12">
        <f>VLOOKUP(A194,'Données projet'!$A$243:$I$263,9,0)</f>
        <v>1.9733333333333292</v>
      </c>
      <c r="FY194" s="12">
        <f t="array" ref="FY194">INDEX(FX:FX,MIN(IF(ISNUMBER(FX194:FX390),ROW(FX194:FX390),"")))</f>
        <v>1.9733333333333292</v>
      </c>
      <c r="FZ194" s="12">
        <f>IF('Données projet'!$A$244&gt;35,FZ193+FY194-GH193,IF(A194&lt;'Données projet'!$A$244,$FW$205^A194,IF(A194='Données projet'!$A$244,'Données projet'!$B$244,FZ193+FY194-GH193)))</f>
        <v>145.00999999999971</v>
      </c>
      <c r="GA194" s="17">
        <f>FZ194*VLOOKUP('Données projet'!$B$17,Paramètres!$A$1:$I$89,3,0)*VLOOKUP('Données projet'!$B$17,Paramètres!$A$1:$I$89,5,0)</f>
        <v>165.13738799999967</v>
      </c>
      <c r="GB194" s="13">
        <f t="shared" si="185"/>
        <v>41.999127663831423</v>
      </c>
      <c r="GC194" s="20">
        <f t="shared" si="186"/>
        <v>360.76276478117251</v>
      </c>
      <c r="GD194" s="59">
        <f t="shared" si="134"/>
        <v>650.85582115007935</v>
      </c>
      <c r="GE194" s="59">
        <f ca="1">AVERAGE(OFFSET($GD$3,0,0,'Données projet'!$E$17+1,1))-AVERAGE(OFFSET($H$3,0,0,'Données projet'!$E$17+1,1))</f>
        <v>640.05156427113661</v>
      </c>
      <c r="GF194" s="59">
        <f t="shared" si="158"/>
        <v>308.77220155372902</v>
      </c>
      <c r="GG194" s="15" t="str">
        <f>IF(ISNA(VLOOKUP(A194,'Données projet'!$A$243:$I$263,3,0)),0,VLOOKUP(A194,'Données projet'!$A$243:$I$263,3,0))</f>
        <v>CR</v>
      </c>
      <c r="GH194" s="15">
        <f>IF(ISNA(VLOOKUP(A194,'Données projet'!$A$243:$I$263,4,0)),0,VLOOKUP(A194,'Données projet'!$A$243:$I$263,4,0))</f>
        <v>145.01</v>
      </c>
      <c r="GI194" s="16">
        <f>IF(ISNA(VLOOKUP(A194,'Données projet'!$A$243:$I$263,5,0)),0%,VLOOKUP(A194,'Données projet'!$A$243:$I$263,5,0)*VLOOKUP('Données projet'!$B$17,Paramètres!$A$1:$I$89,7,0))</f>
        <v>0.19350000000000001</v>
      </c>
      <c r="GJ194" s="16">
        <f>IF(ISNA(VLOOKUP(A194,'Données projet'!$A$243:$I$263,6,0)),0%,VLOOKUP(A194,'Données projet'!$A$243:$I$263,6,0)*VLOOKUP('Données projet'!$B$17,Paramètres!$A$1:$I$89,7,0))</f>
        <v>2.1500000000000002E-2</v>
      </c>
      <c r="GK194" s="16">
        <f>IF(ISNA(VLOOKUP(A194,'Données projet'!$A$243:$I$263,7,0)),0%,VLOOKUP(A194,'Données projet'!$A$243:$I$263,7,0))</f>
        <v>0.05</v>
      </c>
      <c r="GL194" s="21">
        <f>EXP(-LN(2)/35)*GL193+(1-EXP(-LN(2)/35))/(LN(2)/35)*GH194*GI194*VLOOKUP('Données projet'!$B$17,Paramètres!$A$1:$I$89,3,0)*0.475*44/12</f>
        <v>151.67696294986663</v>
      </c>
      <c r="GM194" s="21">
        <f>EXP(-LN(2)/25)*GM193+(1-EXP(-LN(2)/25))/(LN(2)/25)*Calculateur!GH194*Calculateur!GJ194*VLOOKUP('Données projet'!$B$17,Paramètres!$A$1:$I$89,3,0)*0.475*44/12</f>
        <v>47.81518801430235</v>
      </c>
      <c r="GN194" s="21">
        <f>EXP(-LN(2)/2)*GN193+(1-EXP(-LN(2)/2))/(LN(2)/2)*GH194*GK194*VLOOKUP('Données projet'!$B$17,Paramètres!$A$1:$I$89,3,0)*0.475*44/12</f>
        <v>7.7905790684248517</v>
      </c>
      <c r="GO194" s="21">
        <f t="shared" si="187"/>
        <v>207.28273003259383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4.7884896048344674E-14</v>
      </c>
      <c r="P195" s="13">
        <f t="shared" si="141"/>
        <v>7.8374629847779921E-13</v>
      </c>
      <c r="Q195" s="20">
        <f t="shared" si="162"/>
        <v>1.4484243304663672E-12</v>
      </c>
      <c r="R195" s="59">
        <f t="shared" ref="R195:R203" si="191">Q195+(I195+J195)*44/12</f>
        <v>290.14926793006708</v>
      </c>
      <c r="S195" s="59">
        <f ca="1">AVERAGE(OFFSET($R$3,0,0,'Données projet'!$E$9+1,1))-AVERAGE(OFFSET($H$3,0,0,'Données projet'!$E$9+1,1))</f>
        <v>456.35333554128226</v>
      </c>
      <c r="T195" s="59">
        <f t="shared" si="142"/>
        <v>296.4517290984877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22.279236676816559</v>
      </c>
      <c r="AA195" s="21">
        <f>EXP(-LN(2)/25)*AA194+(1-EXP(-LN(2)/25))/(LN(2)/25)*Calculateur!V195*Calculateur!X195*VLOOKUP('Données projet'!$B$9,Paramètres!$A$1:$I$89,3,0)*0.475*44/12</f>
        <v>2.5781116406072915</v>
      </c>
      <c r="AB195" s="21">
        <f>EXP(-LN(2)/2)*AB194+(1-EXP(-LN(2)/2))/(LN(2)/2)*V195*Y195*VLOOKUP('Données projet'!$B$9,Paramètres!$A$1:$I$89,3,0)*0.475*44/12</f>
        <v>8.4390007088601188E-13</v>
      </c>
      <c r="AC195" s="22">
        <f t="shared" si="163"/>
        <v>24.857348317424695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408.246209980743</v>
      </c>
      <c r="AO195" s="59">
        <f t="shared" si="144"/>
        <v>394.10236303013903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6.2112010299165057</v>
      </c>
      <c r="AV195" s="21">
        <f>EXP(-LN(2)/25)*AV194+(1-EXP(-LN(2)/25))/(LN(2)/25)*Calculateur!AQ195*Calculateur!AS195*VLOOKUP('Données projet'!$B$10,Paramètres!$A$1:$I$89,3,0)*0.475*44/12</f>
        <v>2.525351435988735</v>
      </c>
      <c r="AW195" s="21">
        <f>EXP(-LN(2)/2)*AW194+(1-EXP(-LN(2)/2))/(LN(2)/2)*AQ195*AT195*VLOOKUP('Données projet'!$B$10,Paramètres!$A$1:$I$89,3,0)*0.475*44/12</f>
        <v>9.5119826705988313E-16</v>
      </c>
      <c r="AX195" s="21">
        <f t="shared" si="166"/>
        <v>8.7365524659052429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-2.8421709430404007E-13</v>
      </c>
      <c r="BE195" s="13">
        <f>BD195*VLOOKUP('Données projet'!$B$11,Paramètres!$A$1:$I$89,3,0)*VLOOKUP('Données projet'!$B$11,Paramètres!$A$1:$I$89,5,0)</f>
        <v>-2.8819613362429665E-13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580.02848304986492</v>
      </c>
      <c r="BJ195" s="59">
        <f t="shared" si="146"/>
        <v>281.68891895586728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132.40648718239851</v>
      </c>
      <c r="BQ195" s="21">
        <f>EXP(-LN(2)/25)*BQ194+(1-EXP(-LN(2)/25))/(LN(2)/25)*Calculateur!BL195*Calculateur!BN195*VLOOKUP('Données projet'!$B$11,Paramètres!$A$1:$I$89,3,0)*0.475*44/12</f>
        <v>41.410947218238185</v>
      </c>
      <c r="BR195" s="21">
        <f>EXP(-LN(2)/2)*BR194+(1-EXP(-LN(2)/2))/(LN(2)/2)*BL195*BO195*VLOOKUP('Données projet'!$B$11,Paramètres!$A$1:$I$89,3,0)*0.475*44/12</f>
        <v>4.9050703255131136</v>
      </c>
      <c r="BS195" s="22">
        <f t="shared" si="169"/>
        <v>178.72250472614982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4.4337866711430253E-14</v>
      </c>
      <c r="CA195" s="13">
        <f t="shared" si="170"/>
        <v>7.3222115536967035E-13</v>
      </c>
      <c r="CB195" s="20">
        <f t="shared" si="171"/>
        <v>1.3525069634579169E-12</v>
      </c>
      <c r="CC195" s="59">
        <f t="shared" si="119"/>
        <v>290.14926793006703</v>
      </c>
      <c r="CD195" s="59">
        <f ca="1">AVERAGE(OFFSET($CC$3,0,0,'Données projet'!$E$12+1,1))-AVERAGE(OFFSET($H$3,0,0,'Données projet'!$E$12+1,1))</f>
        <v>308.85018589589453</v>
      </c>
      <c r="CE195" s="59">
        <f t="shared" si="148"/>
        <v>302.59481222418219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3.7631254916793622</v>
      </c>
      <c r="CL195" s="21">
        <f>EXP(-LN(2)/25)*CL194+(1-EXP(-LN(2)/25))/(LN(2)/25)*Calculateur!CG195*Calculateur!CI195*VLOOKUP('Données projet'!$B$12,Paramètres!$A$1:$I$89,3,0)*0.475*44/12</f>
        <v>1.3984078449984692</v>
      </c>
      <c r="CM195" s="21">
        <f>EXP(-LN(2)/2)*CM194+(1-EXP(-LN(2)/2))/(LN(2)/2)*CG195*CJ195*VLOOKUP('Données projet'!$B$12,Paramètres!$A$1:$I$89,3,0)*0.475*44/12</f>
        <v>1.8631361604970418E-17</v>
      </c>
      <c r="CN195" s="22">
        <f t="shared" si="172"/>
        <v>5.1615333366778309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2.2737367544323206E-13</v>
      </c>
      <c r="CU195" s="17">
        <f>CT195*VLOOKUP('Données projet'!$B$13,Paramètres!$A$1:$I$89,3,0)*VLOOKUP('Données projet'!$B$13,Paramètres!$A$1:$I$89,5,0)</f>
        <v>1.5252226148732008E-13</v>
      </c>
      <c r="CV195" s="13">
        <f t="shared" si="173"/>
        <v>2.1814502464536512E-12</v>
      </c>
      <c r="CW195" s="20">
        <f t="shared" si="174"/>
        <v>4.0650021179971913E-12</v>
      </c>
      <c r="CX195" s="59">
        <f t="shared" si="122"/>
        <v>290.14926793006975</v>
      </c>
      <c r="CY195" s="59">
        <f ca="1">AVERAGE(OFFSET($CX$3,0,0,'Données projet'!$E$13+1,1))-AVERAGE(OFFSET($H$3,0,0,'Données projet'!$E$13+1,1))</f>
        <v>335.73816489539837</v>
      </c>
      <c r="CZ195" s="59">
        <f t="shared" si="150"/>
        <v>254.09787950201044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7.3840106919941437</v>
      </c>
      <c r="DG195" s="21">
        <f>EXP(-LN(2)/25)*DG194+(1-EXP(-LN(2)/25))/(LN(2)/25)*Calculateur!DB195*Calculateur!DD195*VLOOKUP('Données projet'!$B$13,Paramètres!$A$1:$I$89,3,0)*0.475*44/12</f>
        <v>3.9031564340227369</v>
      </c>
      <c r="DH195" s="21">
        <f>EXP(-LN(2)/2)*DH194+(1-EXP(-LN(2)/2))/(LN(2)/2)*DB195*DE195*VLOOKUP('Données projet'!$B$13,Paramètres!$A$1:$I$89,3,0)*0.475*44/12</f>
        <v>2.2262445590290424E-11</v>
      </c>
      <c r="DI195" s="22">
        <f t="shared" si="175"/>
        <v>11.287167126039144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2.5579538487363607E-13</v>
      </c>
      <c r="DP195" s="17">
        <f>DO195*VLOOKUP('Données projet'!$B$14,Paramètres!$A$1:$I$89,3,0)*VLOOKUP('Données projet'!$B$14,Paramètres!$A$1:$I$89,5,0)</f>
        <v>2.4740529624978082E-13</v>
      </c>
      <c r="DQ195" s="13">
        <f t="shared" si="176"/>
        <v>3.3447853361996459E-12</v>
      </c>
      <c r="DR195" s="20">
        <f t="shared" si="177"/>
        <v>6.2563986848494188E-12</v>
      </c>
      <c r="DS195" s="59">
        <f t="shared" si="125"/>
        <v>290.14926793007191</v>
      </c>
      <c r="DT195" s="59">
        <f ca="1">AVERAGE(OFFSET($DS$3,0,0,'Données projet'!$E$14+1,1))-AVERAGE(OFFSET($H$3,0,0,'Données projet'!$E$14+1,1))</f>
        <v>493.03862850474161</v>
      </c>
      <c r="DU195" s="59">
        <f t="shared" si="152"/>
        <v>312.51819065560528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35.372083578993475</v>
      </c>
      <c r="EB195" s="21">
        <f>EXP(-LN(2)/25)*EB194+(1-EXP(-LN(2)/25))/(LN(2)/25)*Calculateur!DW195*Calculateur!DY195*VLOOKUP('Données projet'!$B$14,Paramètres!$A$1:$I$89,3,0)*0.475*44/12</f>
        <v>4.5106048277236566</v>
      </c>
      <c r="EC195" s="21">
        <f>EXP(-LN(2)/2)*EC194+(1-EXP(-LN(2)/2))/(LN(2)/2)*DW195*DZ195*VLOOKUP('Données projet'!$B$14,Paramètres!$A$1:$I$89,3,0)*0.475*44/12</f>
        <v>3.3894761906612039E-9</v>
      </c>
      <c r="ED195" s="22">
        <f t="shared" si="178"/>
        <v>39.882688410106603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2.5579538487363607E-13</v>
      </c>
      <c r="EK195" s="17">
        <f>EJ195*VLOOKUP('Données projet'!$B$15,Paramètres!$A$1:$I$89,3,0)*VLOOKUP('Données projet'!$B$15,Paramètres!$A$1:$I$89,5,0)</f>
        <v>2.7533815227798186E-13</v>
      </c>
      <c r="EL195" s="13">
        <f t="shared" si="179"/>
        <v>3.6763598146902537E-12</v>
      </c>
      <c r="EM195" s="20">
        <f t="shared" si="180"/>
        <v>6.88254062580301E-12</v>
      </c>
      <c r="EN195" s="59">
        <f t="shared" si="128"/>
        <v>290.14926793007254</v>
      </c>
      <c r="EO195" s="59">
        <f ca="1">AVERAGE(OFFSET($EN$3,0,0,'Données projet'!$E$15+1,1))-AVERAGE(OFFSET($H$3,0,0,'Données projet'!$E$15+1,1))</f>
        <v>539.72194201710272</v>
      </c>
      <c r="EP195" s="59">
        <f t="shared" si="154"/>
        <v>340.76505385159362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39.365705918557246</v>
      </c>
      <c r="EW195" s="21">
        <f>EXP(-LN(2)/25)*EW194+(1-EXP(-LN(2)/25))/(LN(2)/25)*Calculateur!ER195*Calculateur!ET195*VLOOKUP('Données projet'!$B$15,Paramètres!$A$1:$I$89,3,0)*0.475*44/12</f>
        <v>5.0198666631118067</v>
      </c>
      <c r="EX195" s="21">
        <f>EXP(-LN(2)/2)*EX194+(1-EXP(-LN(2)/2))/(LN(2)/2)*ER195*EU195*VLOOKUP('Données projet'!$B$15,Paramètres!$A$1:$I$89,3,0)*0.475*44/12</f>
        <v>3.7721589863810114E-9</v>
      </c>
      <c r="EY195" s="22">
        <f t="shared" si="181"/>
        <v>44.38557258544121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>
        <f>FE195*VLOOKUP('Données projet'!$B$16,Paramètres!$A$1:$I$89,3,0)*VLOOKUP('Données projet'!$B$16,Paramètres!$A$1:$I$89,5,0)</f>
        <v>0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383.47860767209028</v>
      </c>
      <c r="FK195" s="59">
        <f t="shared" si="156"/>
        <v>370.49129421395628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5.7675438134938917</v>
      </c>
      <c r="FR195" s="21">
        <f>EXP(-LN(2)/25)*FR194+(1-EXP(-LN(2)/25))/(LN(2)/25)*Calculateur!FM195*Calculateur!FO195*VLOOKUP('Données projet'!$B$16,Paramètres!$A$1:$I$89,3,0)*0.475*44/12</f>
        <v>2.3449691905609669</v>
      </c>
      <c r="FS195" s="21">
        <f>EXP(-LN(2)/2)*FS194+(1-EXP(-LN(2)/2))/(LN(2)/2)*FM195*FP195*VLOOKUP('Données projet'!$B$16,Paramètres!$A$1:$I$89,3,0)*0.475*44/12</f>
        <v>8.8325553369847032E-16</v>
      </c>
      <c r="FT195" s="22">
        <f t="shared" si="184"/>
        <v>8.1125130040548576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-2.8421709430404007E-13</v>
      </c>
      <c r="GA195" s="17">
        <f>FZ195*VLOOKUP('Données projet'!$B$17,Paramètres!$A$1:$I$89,3,0)*VLOOKUP('Données projet'!$B$17,Paramètres!$A$1:$I$89,5,0)</f>
        <v>-3.2366642699344083E-13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640.05156427113661</v>
      </c>
      <c r="GF195" s="59">
        <f t="shared" si="158"/>
        <v>308.77220155372902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148.70267022023216</v>
      </c>
      <c r="GM195" s="21">
        <f>EXP(-LN(2)/25)*GM194+(1-EXP(-LN(2)/25))/(LN(2)/25)*Calculateur!GH195*Calculateur!GJ195*VLOOKUP('Données projet'!$B$17,Paramètres!$A$1:$I$89,3,0)*0.475*44/12</f>
        <v>46.507679183559802</v>
      </c>
      <c r="GN195" s="21">
        <f>EXP(-LN(2)/2)*GN194+(1-EXP(-LN(2)/2))/(LN(2)/2)*GH195*GK195*VLOOKUP('Données projet'!$B$17,Paramètres!$A$1:$I$89,3,0)*0.475*44/12</f>
        <v>5.5087712886531897</v>
      </c>
      <c r="GO195" s="21">
        <f t="shared" si="187"/>
        <v>200.71912069244513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4.7884896048344674E-14</v>
      </c>
      <c r="P196" s="13">
        <f t="shared" si="141"/>
        <v>7.8374629847779921E-13</v>
      </c>
      <c r="Q196" s="20">
        <f t="shared" si="162"/>
        <v>1.4484243304663672E-12</v>
      </c>
      <c r="R196" s="59">
        <f t="shared" si="191"/>
        <v>290.20450434630993</v>
      </c>
      <c r="S196" s="59">
        <f ca="1">AVERAGE(OFFSET($R$3,0,0,'Données projet'!$E$9+1,1))-AVERAGE(OFFSET($H$3,0,0,'Données projet'!$E$9+1,1))</f>
        <v>456.35333554128226</v>
      </c>
      <c r="T196" s="59">
        <f t="shared" si="142"/>
        <v>296.4517290984877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21.842354434576759</v>
      </c>
      <c r="AA196" s="21">
        <f>EXP(-LN(2)/25)*AA195+(1-EXP(-LN(2)/25))/(LN(2)/25)*Calculateur!V196*Calculateur!X196*VLOOKUP('Données projet'!$B$9,Paramètres!$A$1:$I$89,3,0)*0.475*44/12</f>
        <v>2.5076130422178862</v>
      </c>
      <c r="AB196" s="21">
        <f>EXP(-LN(2)/2)*AB195+(1-EXP(-LN(2)/2))/(LN(2)/2)*V196*Y196*VLOOKUP('Données projet'!$B$9,Paramètres!$A$1:$I$89,3,0)*0.475*44/12</f>
        <v>5.9672746276730714E-13</v>
      </c>
      <c r="AC196" s="22">
        <f t="shared" si="163"/>
        <v>24.349967476795243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408.246209980743</v>
      </c>
      <c r="AO196" s="59">
        <f t="shared" si="144"/>
        <v>394.10236303013903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6.0894031661783918</v>
      </c>
      <c r="AV196" s="21">
        <f>EXP(-LN(2)/25)*AV195+(1-EXP(-LN(2)/25))/(LN(2)/25)*Calculateur!AQ196*Calculateur!AS196*VLOOKUP('Données projet'!$B$10,Paramètres!$A$1:$I$89,3,0)*0.475*44/12</f>
        <v>2.4562955681691627</v>
      </c>
      <c r="AW196" s="21">
        <f>EXP(-LN(2)/2)*AW195+(1-EXP(-LN(2)/2))/(LN(2)/2)*AQ196*AT196*VLOOKUP('Données projet'!$B$10,Paramètres!$A$1:$I$89,3,0)*0.475*44/12</f>
        <v>6.7259874489093599E-16</v>
      </c>
      <c r="AX196" s="21">
        <f t="shared" si="166"/>
        <v>8.545698734347555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-2.8421709430404007E-13</v>
      </c>
      <c r="BE196" s="13">
        <f>BD196*VLOOKUP('Données projet'!$B$11,Paramètres!$A$1:$I$89,3,0)*VLOOKUP('Données projet'!$B$11,Paramètres!$A$1:$I$89,5,0)</f>
        <v>-2.8819613362429665E-13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580.02848304986492</v>
      </c>
      <c r="BJ196" s="59">
        <f t="shared" si="146"/>
        <v>281.68891895586728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129.81007672873446</v>
      </c>
      <c r="BQ196" s="21">
        <f>EXP(-LN(2)/25)*BQ195+(1-EXP(-LN(2)/25))/(LN(2)/25)*Calculateur!BL196*Calculateur!BN196*VLOOKUP('Données projet'!$B$11,Paramètres!$A$1:$I$89,3,0)*0.475*44/12</f>
        <v>40.278562688848396</v>
      </c>
      <c r="BR196" s="21">
        <f>EXP(-LN(2)/2)*BR195+(1-EXP(-LN(2)/2))/(LN(2)/2)*BL196*BO196*VLOOKUP('Données projet'!$B$11,Paramètres!$A$1:$I$89,3,0)*0.475*44/12</f>
        <v>3.4684084893672291</v>
      </c>
      <c r="BS196" s="22">
        <f t="shared" si="169"/>
        <v>173.55704790695006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4.4337866711430253E-14</v>
      </c>
      <c r="CA196" s="13">
        <f t="shared" si="170"/>
        <v>7.3222115536967035E-13</v>
      </c>
      <c r="CB196" s="20">
        <f t="shared" si="171"/>
        <v>1.3525069634579169E-12</v>
      </c>
      <c r="CC196" s="59">
        <f t="shared" ref="CC196:CC203" si="195">CB196+(BT196+BU196)*44/12</f>
        <v>290.20450434630988</v>
      </c>
      <c r="CD196" s="59">
        <f ca="1">AVERAGE(OFFSET($CC$3,0,0,'Données projet'!$E$12+1,1))-AVERAGE(OFFSET($H$3,0,0,'Données projet'!$E$12+1,1))</f>
        <v>308.85018589589453</v>
      </c>
      <c r="CE196" s="59">
        <f t="shared" si="148"/>
        <v>302.59481222418219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3.6893328960674396</v>
      </c>
      <c r="CL196" s="21">
        <f>EXP(-LN(2)/25)*CL195+(1-EXP(-LN(2)/25))/(LN(2)/25)*Calculateur!CG196*Calculateur!CI196*VLOOKUP('Données projet'!$B$12,Paramètres!$A$1:$I$89,3,0)*0.475*44/12</f>
        <v>1.3601683089379135</v>
      </c>
      <c r="CM196" s="21">
        <f>EXP(-LN(2)/2)*CM195+(1-EXP(-LN(2)/2))/(LN(2)/2)*CG196*CJ196*VLOOKUP('Données projet'!$B$12,Paramètres!$A$1:$I$89,3,0)*0.475*44/12</f>
        <v>1.317436213361326E-17</v>
      </c>
      <c r="CN196" s="22">
        <f t="shared" si="172"/>
        <v>5.0495012050053534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2.2737367544323206E-13</v>
      </c>
      <c r="CU196" s="17">
        <f>CT196*VLOOKUP('Données projet'!$B$13,Paramètres!$A$1:$I$89,3,0)*VLOOKUP('Données projet'!$B$13,Paramètres!$A$1:$I$89,5,0)</f>
        <v>1.5252226148732008E-13</v>
      </c>
      <c r="CV196" s="13">
        <f t="shared" si="173"/>
        <v>2.1814502464536512E-12</v>
      </c>
      <c r="CW196" s="20">
        <f t="shared" si="174"/>
        <v>4.0650021179971913E-12</v>
      </c>
      <c r="CX196" s="59">
        <f t="shared" ref="CX196:CX203" si="196">CW196+(CO196+CP196)*44/12</f>
        <v>290.2045043463126</v>
      </c>
      <c r="CY196" s="59">
        <f ca="1">AVERAGE(OFFSET($CX$3,0,0,'Données projet'!$E$13+1,1))-AVERAGE(OFFSET($H$3,0,0,'Données projet'!$E$13+1,1))</f>
        <v>335.73816489539837</v>
      </c>
      <c r="CZ196" s="59">
        <f t="shared" si="150"/>
        <v>254.09787950201044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7.2392147461259473</v>
      </c>
      <c r="DG196" s="21">
        <f>EXP(-LN(2)/25)*DG195+(1-EXP(-LN(2)/25))/(LN(2)/25)*Calculateur!DB196*Calculateur!DD196*VLOOKUP('Données projet'!$B$13,Paramètres!$A$1:$I$89,3,0)*0.475*44/12</f>
        <v>3.796424416076309</v>
      </c>
      <c r="DH196" s="21">
        <f>EXP(-LN(2)/2)*DH195+(1-EXP(-LN(2)/2))/(LN(2)/2)*DB196*DE196*VLOOKUP('Données projet'!$B$13,Paramètres!$A$1:$I$89,3,0)*0.475*44/12</f>
        <v>1.574192624269091E-11</v>
      </c>
      <c r="DI196" s="22">
        <f t="shared" si="175"/>
        <v>11.035639162217999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2.5579538487363607E-13</v>
      </c>
      <c r="DP196" s="17">
        <f>DO196*VLOOKUP('Données projet'!$B$14,Paramètres!$A$1:$I$89,3,0)*VLOOKUP('Données projet'!$B$14,Paramètres!$A$1:$I$89,5,0)</f>
        <v>2.4740529624978082E-13</v>
      </c>
      <c r="DQ196" s="13">
        <f t="shared" si="176"/>
        <v>3.3447853361996459E-12</v>
      </c>
      <c r="DR196" s="20">
        <f t="shared" si="177"/>
        <v>6.2563986848494188E-12</v>
      </c>
      <c r="DS196" s="59">
        <f t="shared" ref="DS196:DS203" si="197">DR196+(DJ196+DK196)*44/12</f>
        <v>290.20450434631476</v>
      </c>
      <c r="DT196" s="59">
        <f ca="1">AVERAGE(OFFSET($DS$3,0,0,'Données projet'!$E$14+1,1))-AVERAGE(OFFSET($H$3,0,0,'Données projet'!$E$14+1,1))</f>
        <v>493.03862850474161</v>
      </c>
      <c r="DU196" s="59">
        <f t="shared" si="152"/>
        <v>312.51819065560528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34.678458594850056</v>
      </c>
      <c r="EB196" s="21">
        <f>EXP(-LN(2)/25)*EB195+(1-EXP(-LN(2)/25))/(LN(2)/25)*Calculateur!DW196*Calculateur!DY196*VLOOKUP('Données projet'!$B$14,Paramètres!$A$1:$I$89,3,0)*0.475*44/12</f>
        <v>4.3872621015071545</v>
      </c>
      <c r="EC196" s="21">
        <f>EXP(-LN(2)/2)*EC195+(1-EXP(-LN(2)/2))/(LN(2)/2)*DW196*DZ196*VLOOKUP('Données projet'!$B$14,Paramètres!$A$1:$I$89,3,0)*0.475*44/12</f>
        <v>2.3967215990868845E-9</v>
      </c>
      <c r="ED196" s="22">
        <f t="shared" si="178"/>
        <v>39.065720698753935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2.5579538487363607E-13</v>
      </c>
      <c r="EK196" s="17">
        <f>EJ196*VLOOKUP('Données projet'!$B$15,Paramètres!$A$1:$I$89,3,0)*VLOOKUP('Données projet'!$B$15,Paramètres!$A$1:$I$89,5,0)</f>
        <v>2.7533815227798186E-13</v>
      </c>
      <c r="EL196" s="13">
        <f t="shared" si="179"/>
        <v>3.6763598146902537E-12</v>
      </c>
      <c r="EM196" s="20">
        <f t="shared" si="180"/>
        <v>6.88254062580301E-12</v>
      </c>
      <c r="EN196" s="59">
        <f t="shared" ref="EN196:EN203" si="198">EM196+(EE196+EF196)*44/12</f>
        <v>290.20450434631539</v>
      </c>
      <c r="EO196" s="59">
        <f ca="1">AVERAGE(OFFSET($EN$3,0,0,'Données projet'!$E$15+1,1))-AVERAGE(OFFSET($H$3,0,0,'Données projet'!$E$15+1,1))</f>
        <v>539.72194201710272</v>
      </c>
      <c r="EP196" s="59">
        <f t="shared" si="154"/>
        <v>340.76505385159362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38.593768436204087</v>
      </c>
      <c r="EW196" s="21">
        <f>EXP(-LN(2)/25)*EW195+(1-EXP(-LN(2)/25))/(LN(2)/25)*Calculateur!ER196*Calculateur!ET196*VLOOKUP('Données projet'!$B$15,Paramètres!$A$1:$I$89,3,0)*0.475*44/12</f>
        <v>4.8825981452256997</v>
      </c>
      <c r="EX196" s="21">
        <f>EXP(-LN(2)/2)*EX195+(1-EXP(-LN(2)/2))/(LN(2)/2)*ER196*EU196*VLOOKUP('Données projet'!$B$15,Paramètres!$A$1:$I$89,3,0)*0.475*44/12</f>
        <v>2.6673191989837867E-9</v>
      </c>
      <c r="EY196" s="22">
        <f t="shared" si="181"/>
        <v>43.476366584097107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>
        <f>FE196*VLOOKUP('Données projet'!$B$16,Paramètres!$A$1:$I$89,3,0)*VLOOKUP('Données projet'!$B$16,Paramètres!$A$1:$I$89,5,0)</f>
        <v>0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383.47860767209028</v>
      </c>
      <c r="FK196" s="59">
        <f t="shared" si="156"/>
        <v>370.49129421395628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5.6544457971656437</v>
      </c>
      <c r="FR196" s="21">
        <f>EXP(-LN(2)/25)*FR195+(1-EXP(-LN(2)/25))/(LN(2)/25)*Calculateur!FM196*Calculateur!FO196*VLOOKUP('Données projet'!$B$16,Paramètres!$A$1:$I$89,3,0)*0.475*44/12</f>
        <v>2.2808458847285071</v>
      </c>
      <c r="FS196" s="21">
        <f>EXP(-LN(2)/2)*FS195+(1-EXP(-LN(2)/2))/(LN(2)/2)*FM196*FP196*VLOOKUP('Données projet'!$B$16,Paramètres!$A$1:$I$89,3,0)*0.475*44/12</f>
        <v>6.2455597739873153E-16</v>
      </c>
      <c r="FT196" s="22">
        <f t="shared" si="184"/>
        <v>7.9352916818941521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-2.8421709430404007E-13</v>
      </c>
      <c r="GA196" s="17">
        <f>FZ196*VLOOKUP('Données projet'!$B$17,Paramètres!$A$1:$I$89,3,0)*VLOOKUP('Données projet'!$B$17,Paramètres!$A$1:$I$89,5,0)</f>
        <v>-3.2366642699344083E-13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640.05156427113661</v>
      </c>
      <c r="GF196" s="59">
        <f t="shared" si="158"/>
        <v>308.77220155372902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145.78670155688638</v>
      </c>
      <c r="GM196" s="21">
        <f>EXP(-LN(2)/25)*GM195+(1-EXP(-LN(2)/25))/(LN(2)/25)*Calculateur!GH196*Calculateur!GJ196*VLOOKUP('Données projet'!$B$17,Paramètres!$A$1:$I$89,3,0)*0.475*44/12</f>
        <v>45.235924250552806</v>
      </c>
      <c r="GN196" s="21">
        <f>EXP(-LN(2)/2)*GN195+(1-EXP(-LN(2)/2))/(LN(2)/2)*GH196*GK196*VLOOKUP('Données projet'!$B$17,Paramètres!$A$1:$I$89,3,0)*0.475*44/12</f>
        <v>3.8952895342124267</v>
      </c>
      <c r="GO196" s="21">
        <f t="shared" si="187"/>
        <v>194.91791534165162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4.7884896048344674E-14</v>
      </c>
      <c r="P197" s="13">
        <f t="shared" ref="P197:P203" si="203">EXP(-1.0587+0.8836*LN(O197)+0.284)</f>
        <v>7.8374629847779921E-13</v>
      </c>
      <c r="Q197" s="20">
        <f t="shared" si="162"/>
        <v>1.4484243304663672E-12</v>
      </c>
      <c r="R197" s="59">
        <f t="shared" si="191"/>
        <v>290.25878253422115</v>
      </c>
      <c r="S197" s="59">
        <f ca="1">AVERAGE(OFFSET($R$3,0,0,'Données projet'!$E$9+1,1))-AVERAGE(OFFSET($H$3,0,0,'Données projet'!$E$9+1,1))</f>
        <v>456.35333554128226</v>
      </c>
      <c r="T197" s="59">
        <f t="shared" ref="T197:T203" si="204">$T$3</f>
        <v>296.4517290984877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21.414039186635424</v>
      </c>
      <c r="AA197" s="21">
        <f>EXP(-LN(2)/25)*AA196+(1-EXP(-LN(2)/25))/(LN(2)/25)*Calculateur!V197*Calculateur!X197*VLOOKUP('Données projet'!$B$9,Paramètres!$A$1:$I$89,3,0)*0.475*44/12</f>
        <v>2.4390422317087994</v>
      </c>
      <c r="AB197" s="21">
        <f>EXP(-LN(2)/2)*AB196+(1-EXP(-LN(2)/2))/(LN(2)/2)*V197*Y197*VLOOKUP('Données projet'!$B$9,Paramètres!$A$1:$I$89,3,0)*0.475*44/12</f>
        <v>4.2195003544300594E-13</v>
      </c>
      <c r="AC197" s="22">
        <f t="shared" si="163"/>
        <v>23.853081418344647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408.246209980743</v>
      </c>
      <c r="AO197" s="59">
        <f t="shared" ref="AO197:AO203" si="205">$AO$3</f>
        <v>394.10236303013903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5.9699936842588208</v>
      </c>
      <c r="AV197" s="21">
        <f>EXP(-LN(2)/25)*AV196+(1-EXP(-LN(2)/25))/(LN(2)/25)*Calculateur!AQ197*Calculateur!AS197*VLOOKUP('Données projet'!$B$10,Paramètres!$A$1:$I$89,3,0)*0.475*44/12</f>
        <v>2.389128036686607</v>
      </c>
      <c r="AW197" s="21">
        <f>EXP(-LN(2)/2)*AW196+(1-EXP(-LN(2)/2))/(LN(2)/2)*AQ197*AT197*VLOOKUP('Données projet'!$B$10,Paramètres!$A$1:$I$89,3,0)*0.475*44/12</f>
        <v>4.7559913352994157E-16</v>
      </c>
      <c r="AX197" s="21">
        <f t="shared" si="166"/>
        <v>8.3591217209454278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-2.8421709430404007E-13</v>
      </c>
      <c r="BE197" s="13">
        <f>BD197*VLOOKUP('Données projet'!$B$11,Paramètres!$A$1:$I$89,3,0)*VLOOKUP('Données projet'!$B$11,Paramètres!$A$1:$I$89,5,0)</f>
        <v>-2.8819613362429665E-13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580.02848304986492</v>
      </c>
      <c r="BJ197" s="59">
        <f t="shared" ref="BJ197:BJ203" si="206">$BJ$3</f>
        <v>281.68891895586728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127.26458030041276</v>
      </c>
      <c r="BQ197" s="21">
        <f>EXP(-LN(2)/25)*BQ196+(1-EXP(-LN(2)/25))/(LN(2)/25)*Calculateur!BL197*Calculateur!BN197*VLOOKUP('Données projet'!$B$11,Paramètres!$A$1:$I$89,3,0)*0.475*44/12</f>
        <v>39.177143273964283</v>
      </c>
      <c r="BR197" s="21">
        <f>EXP(-LN(2)/2)*BR196+(1-EXP(-LN(2)/2))/(LN(2)/2)*BL197*BO197*VLOOKUP('Données projet'!$B$11,Paramètres!$A$1:$I$89,3,0)*0.475*44/12</f>
        <v>2.4525351627565573</v>
      </c>
      <c r="BS197" s="22">
        <f t="shared" si="169"/>
        <v>168.89425873713361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4.4337866711430253E-14</v>
      </c>
      <c r="CA197" s="13">
        <f t="shared" si="170"/>
        <v>7.3222115536967035E-13</v>
      </c>
      <c r="CB197" s="20">
        <f t="shared" si="171"/>
        <v>1.3525069634579169E-12</v>
      </c>
      <c r="CC197" s="59">
        <f t="shared" si="195"/>
        <v>290.2587825342211</v>
      </c>
      <c r="CD197" s="59">
        <f ca="1">AVERAGE(OFFSET($CC$3,0,0,'Données projet'!$E$12+1,1))-AVERAGE(OFFSET($H$3,0,0,'Données projet'!$E$12+1,1))</f>
        <v>308.85018589589453</v>
      </c>
      <c r="CE197" s="59">
        <f t="shared" ref="CE197:CE203" si="207">$CE$3</f>
        <v>302.59481222418219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3.6169873282464278</v>
      </c>
      <c r="CL197" s="21">
        <f>EXP(-LN(2)/25)*CL196+(1-EXP(-LN(2)/25))/(LN(2)/25)*Calculateur!CG197*Calculateur!CI197*VLOOKUP('Données projet'!$B$12,Paramètres!$A$1:$I$89,3,0)*0.475*44/12</f>
        <v>1.3229744350018635</v>
      </c>
      <c r="CM197" s="21">
        <f>EXP(-LN(2)/2)*CM196+(1-EXP(-LN(2)/2))/(LN(2)/2)*CG197*CJ197*VLOOKUP('Données projet'!$B$12,Paramètres!$A$1:$I$89,3,0)*0.475*44/12</f>
        <v>9.3156808024852089E-18</v>
      </c>
      <c r="CN197" s="22">
        <f t="shared" si="172"/>
        <v>4.9399617632482915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2.2737367544323206E-13</v>
      </c>
      <c r="CU197" s="17">
        <f>CT197*VLOOKUP('Données projet'!$B$13,Paramètres!$A$1:$I$89,3,0)*VLOOKUP('Données projet'!$B$13,Paramètres!$A$1:$I$89,5,0)</f>
        <v>1.5252226148732008E-13</v>
      </c>
      <c r="CV197" s="13">
        <f t="shared" si="173"/>
        <v>2.1814502464536512E-12</v>
      </c>
      <c r="CW197" s="20">
        <f t="shared" si="174"/>
        <v>4.0650021179971913E-12</v>
      </c>
      <c r="CX197" s="59">
        <f t="shared" si="196"/>
        <v>290.25878253422383</v>
      </c>
      <c r="CY197" s="59">
        <f ca="1">AVERAGE(OFFSET($CX$3,0,0,'Données projet'!$E$13+1,1))-AVERAGE(OFFSET($H$3,0,0,'Données projet'!$E$13+1,1))</f>
        <v>335.73816489539837</v>
      </c>
      <c r="CZ197" s="59">
        <f t="shared" ref="CZ197:CZ203" si="208">$CZ$3</f>
        <v>254.09787950201044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7.09725816043942</v>
      </c>
      <c r="DG197" s="21">
        <f>EXP(-LN(2)/25)*DG196+(1-EXP(-LN(2)/25))/(LN(2)/25)*Calculateur!DB197*Calculateur!DD197*VLOOKUP('Données projet'!$B$13,Paramètres!$A$1:$I$89,3,0)*0.475*44/12</f>
        <v>3.692610990773419</v>
      </c>
      <c r="DH197" s="21">
        <f>EXP(-LN(2)/2)*DH196+(1-EXP(-LN(2)/2))/(LN(2)/2)*DB197*DE197*VLOOKUP('Données projet'!$B$13,Paramètres!$A$1:$I$89,3,0)*0.475*44/12</f>
        <v>1.1131222795145212E-11</v>
      </c>
      <c r="DI197" s="22">
        <f t="shared" si="175"/>
        <v>10.78986915122397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2.5579538487363607E-13</v>
      </c>
      <c r="DP197" s="17">
        <f>DO197*VLOOKUP('Données projet'!$B$14,Paramètres!$A$1:$I$89,3,0)*VLOOKUP('Données projet'!$B$14,Paramètres!$A$1:$I$89,5,0)</f>
        <v>2.4740529624978082E-13</v>
      </c>
      <c r="DQ197" s="13">
        <f t="shared" si="176"/>
        <v>3.3447853361996459E-12</v>
      </c>
      <c r="DR197" s="20">
        <f t="shared" si="177"/>
        <v>6.2563986848494188E-12</v>
      </c>
      <c r="DS197" s="59">
        <f t="shared" si="197"/>
        <v>290.25878253422599</v>
      </c>
      <c r="DT197" s="59">
        <f ca="1">AVERAGE(OFFSET($DS$3,0,0,'Données projet'!$E$14+1,1))-AVERAGE(OFFSET($H$3,0,0,'Données projet'!$E$14+1,1))</f>
        <v>493.03862850474161</v>
      </c>
      <c r="DU197" s="59">
        <f t="shared" ref="DU197:DU203" si="209">$DU$3</f>
        <v>312.51819065560528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33.998435173576226</v>
      </c>
      <c r="EB197" s="21">
        <f>EXP(-LN(2)/25)*EB196+(1-EXP(-LN(2)/25))/(LN(2)/25)*Calculateur!DW197*Calculateur!DY197*VLOOKUP('Données projet'!$B$14,Paramètres!$A$1:$I$89,3,0)*0.475*44/12</f>
        <v>4.2672921886253548</v>
      </c>
      <c r="EC197" s="21">
        <f>EXP(-LN(2)/2)*EC196+(1-EXP(-LN(2)/2))/(LN(2)/2)*DW197*DZ197*VLOOKUP('Données projet'!$B$14,Paramètres!$A$1:$I$89,3,0)*0.475*44/12</f>
        <v>1.6947380953306019E-9</v>
      </c>
      <c r="ED197" s="22">
        <f t="shared" si="178"/>
        <v>38.265727363896318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2.5579538487363607E-13</v>
      </c>
      <c r="EK197" s="17">
        <f>EJ197*VLOOKUP('Données projet'!$B$15,Paramètres!$A$1:$I$89,3,0)*VLOOKUP('Données projet'!$B$15,Paramètres!$A$1:$I$89,5,0)</f>
        <v>2.7533815227798186E-13</v>
      </c>
      <c r="EL197" s="13">
        <f t="shared" si="179"/>
        <v>3.6763598146902537E-12</v>
      </c>
      <c r="EM197" s="20">
        <f t="shared" si="180"/>
        <v>6.88254062580301E-12</v>
      </c>
      <c r="EN197" s="59">
        <f t="shared" si="198"/>
        <v>290.25878253422661</v>
      </c>
      <c r="EO197" s="59">
        <f ca="1">AVERAGE(OFFSET($EN$3,0,0,'Données projet'!$E$15+1,1))-AVERAGE(OFFSET($H$3,0,0,'Données projet'!$E$15+1,1))</f>
        <v>539.72194201710272</v>
      </c>
      <c r="EP197" s="59">
        <f t="shared" ref="EP197:EP203" si="210">$EP$3</f>
        <v>340.76505385159362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37.836968177044504</v>
      </c>
      <c r="EW197" s="21">
        <f>EXP(-LN(2)/25)*EW196+(1-EXP(-LN(2)/25))/(LN(2)/25)*Calculateur!ER197*Calculateur!ET197*VLOOKUP('Données projet'!$B$15,Paramètres!$A$1:$I$89,3,0)*0.475*44/12</f>
        <v>4.7490832421798261</v>
      </c>
      <c r="EX197" s="21">
        <f>EXP(-LN(2)/2)*EX196+(1-EXP(-LN(2)/2))/(LN(2)/2)*ER197*EU197*VLOOKUP('Données projet'!$B$15,Paramètres!$A$1:$I$89,3,0)*0.475*44/12</f>
        <v>1.8860794931905057E-9</v>
      </c>
      <c r="EY197" s="22">
        <f t="shared" si="181"/>
        <v>42.586051421110412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>
        <f>FE197*VLOOKUP('Données projet'!$B$16,Paramètres!$A$1:$I$89,3,0)*VLOOKUP('Données projet'!$B$16,Paramètres!$A$1:$I$89,5,0)</f>
        <v>0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383.47860767209028</v>
      </c>
      <c r="FK197" s="59">
        <f t="shared" ref="FK197:FK203" si="211">$FK$3</f>
        <v>370.49129421395628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5.5435655639546138</v>
      </c>
      <c r="FR197" s="21">
        <f>EXP(-LN(2)/25)*FR196+(1-EXP(-LN(2)/25))/(LN(2)/25)*Calculateur!FM197*Calculateur!FO197*VLOOKUP('Données projet'!$B$16,Paramètres!$A$1:$I$89,3,0)*0.475*44/12</f>
        <v>2.2184760340661338</v>
      </c>
      <c r="FS197" s="21">
        <f>EXP(-LN(2)/2)*FS196+(1-EXP(-LN(2)/2))/(LN(2)/2)*FM197*FP197*VLOOKUP('Données projet'!$B$16,Paramètres!$A$1:$I$89,3,0)*0.475*44/12</f>
        <v>4.4162776684923521E-16</v>
      </c>
      <c r="FT197" s="22">
        <f t="shared" si="184"/>
        <v>7.7620415980207476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-2.8421709430404007E-13</v>
      </c>
      <c r="GA197" s="17">
        <f>FZ197*VLOOKUP('Données projet'!$B$17,Paramètres!$A$1:$I$89,3,0)*VLOOKUP('Données projet'!$B$17,Paramètres!$A$1:$I$89,5,0)</f>
        <v>-3.2366642699344083E-13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640.05156427113661</v>
      </c>
      <c r="GF197" s="59">
        <f t="shared" ref="GF197:GF203" si="212">$GF$3</f>
        <v>308.77220155372902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142.92791326046355</v>
      </c>
      <c r="GM197" s="21">
        <f>EXP(-LN(2)/25)*GM196+(1-EXP(-LN(2)/25))/(LN(2)/25)*Calculateur!GH197*Calculateur!GJ197*VLOOKUP('Données projet'!$B$17,Paramètres!$A$1:$I$89,3,0)*0.475*44/12</f>
        <v>43.998945523067569</v>
      </c>
      <c r="GN197" s="21">
        <f>EXP(-LN(2)/2)*GN196+(1-EXP(-LN(2)/2))/(LN(2)/2)*GH197*GK197*VLOOKUP('Données projet'!$B$17,Paramètres!$A$1:$I$89,3,0)*0.475*44/12</f>
        <v>2.7543856443265953</v>
      </c>
      <c r="GO197" s="21">
        <f t="shared" si="187"/>
        <v>189.68124442785771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4.7884896048344674E-14</v>
      </c>
      <c r="P198" s="13">
        <f t="shared" si="203"/>
        <v>7.8374629847779921E-13</v>
      </c>
      <c r="Q198" s="20">
        <f t="shared" si="162"/>
        <v>1.4484243304663672E-12</v>
      </c>
      <c r="R198" s="59">
        <f t="shared" si="191"/>
        <v>290.31211911691992</v>
      </c>
      <c r="S198" s="59">
        <f ca="1">AVERAGE(OFFSET($R$3,0,0,'Données projet'!$E$9+1,1))-AVERAGE(OFFSET($H$3,0,0,'Données projet'!$E$9+1,1))</f>
        <v>456.35333554128226</v>
      </c>
      <c r="T198" s="59">
        <f t="shared" si="204"/>
        <v>296.4517290984877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20.994122939459714</v>
      </c>
      <c r="AA198" s="21">
        <f>EXP(-LN(2)/25)*AA197+(1-EXP(-LN(2)/25))/(LN(2)/25)*Calculateur!V198*Calculateur!X198*VLOOKUP('Données projet'!$B$9,Paramètres!$A$1:$I$89,3,0)*0.475*44/12</f>
        <v>2.3723464936190659</v>
      </c>
      <c r="AB198" s="21">
        <f>EXP(-LN(2)/2)*AB197+(1-EXP(-LN(2)/2))/(LN(2)/2)*V198*Y198*VLOOKUP('Données projet'!$B$9,Paramètres!$A$1:$I$89,3,0)*0.475*44/12</f>
        <v>2.9836373138365357E-13</v>
      </c>
      <c r="AC198" s="22">
        <f t="shared" si="163"/>
        <v>23.366469433079079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408.246209980743</v>
      </c>
      <c r="AO198" s="59">
        <f t="shared" si="205"/>
        <v>394.10236303013903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5.8529257494471008</v>
      </c>
      <c r="AV198" s="21">
        <f>EXP(-LN(2)/25)*AV197+(1-EXP(-LN(2)/25))/(LN(2)/25)*Calculateur!AQ198*Calculateur!AS198*VLOOKUP('Données projet'!$B$10,Paramètres!$A$1:$I$89,3,0)*0.475*44/12</f>
        <v>2.3237972048846287</v>
      </c>
      <c r="AW198" s="21">
        <f>EXP(-LN(2)/2)*AW197+(1-EXP(-LN(2)/2))/(LN(2)/2)*AQ198*AT198*VLOOKUP('Données projet'!$B$10,Paramètres!$A$1:$I$89,3,0)*0.475*44/12</f>
        <v>3.3629937244546799E-16</v>
      </c>
      <c r="AX198" s="21">
        <f t="shared" si="166"/>
        <v>8.1767229543317299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-2.8421709430404007E-13</v>
      </c>
      <c r="BE198" s="13">
        <f>BD198*VLOOKUP('Données projet'!$B$11,Paramètres!$A$1:$I$89,3,0)*VLOOKUP('Données projet'!$B$11,Paramètres!$A$1:$I$89,5,0)</f>
        <v>-2.8819613362429665E-13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580.02848304986492</v>
      </c>
      <c r="BJ198" s="59">
        <f t="shared" si="206"/>
        <v>281.68891895586728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124.76899950445095</v>
      </c>
      <c r="BQ198" s="21">
        <f>EXP(-LN(2)/25)*BQ197+(1-EXP(-LN(2)/25))/(LN(2)/25)*Calculateur!BL198*Calculateur!BN198*VLOOKUP('Données projet'!$B$11,Paramètres!$A$1:$I$89,3,0)*0.475*44/12</f>
        <v>38.105842230901303</v>
      </c>
      <c r="BR198" s="21">
        <f>EXP(-LN(2)/2)*BR197+(1-EXP(-LN(2)/2))/(LN(2)/2)*BL198*BO198*VLOOKUP('Données projet'!$B$11,Paramètres!$A$1:$I$89,3,0)*0.475*44/12</f>
        <v>1.7342042446836148</v>
      </c>
      <c r="BS198" s="22">
        <f t="shared" si="169"/>
        <v>164.60904598003586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4.4337866711430253E-14</v>
      </c>
      <c r="CA198" s="13">
        <f t="shared" si="170"/>
        <v>7.3222115536967035E-13</v>
      </c>
      <c r="CB198" s="20">
        <f t="shared" si="171"/>
        <v>1.3525069634579169E-12</v>
      </c>
      <c r="CC198" s="59">
        <f t="shared" si="195"/>
        <v>290.31211911691986</v>
      </c>
      <c r="CD198" s="59">
        <f ca="1">AVERAGE(OFFSET($CC$3,0,0,'Données projet'!$E$12+1,1))-AVERAGE(OFFSET($H$3,0,0,'Données projet'!$E$12+1,1))</f>
        <v>308.85018589589453</v>
      </c>
      <c r="CE198" s="59">
        <f t="shared" si="207"/>
        <v>302.59481222418219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3.5460604128839468</v>
      </c>
      <c r="CL198" s="21">
        <f>EXP(-LN(2)/25)*CL197+(1-EXP(-LN(2)/25))/(LN(2)/25)*Calculateur!CG198*Calculateur!CI198*VLOOKUP('Données projet'!$B$12,Paramètres!$A$1:$I$89,3,0)*0.475*44/12</f>
        <v>1.2867976295045358</v>
      </c>
      <c r="CM198" s="21">
        <f>EXP(-LN(2)/2)*CM197+(1-EXP(-LN(2)/2))/(LN(2)/2)*CG198*CJ198*VLOOKUP('Données projet'!$B$12,Paramètres!$A$1:$I$89,3,0)*0.475*44/12</f>
        <v>6.5871810668066301E-18</v>
      </c>
      <c r="CN198" s="22">
        <f t="shared" si="172"/>
        <v>4.8328580423884828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2.2737367544323206E-13</v>
      </c>
      <c r="CU198" s="17">
        <f>CT198*VLOOKUP('Données projet'!$B$13,Paramètres!$A$1:$I$89,3,0)*VLOOKUP('Données projet'!$B$13,Paramètres!$A$1:$I$89,5,0)</f>
        <v>1.5252226148732008E-13</v>
      </c>
      <c r="CV198" s="13">
        <f t="shared" si="173"/>
        <v>2.1814502464536512E-12</v>
      </c>
      <c r="CW198" s="20">
        <f t="shared" si="174"/>
        <v>4.0650021179971913E-12</v>
      </c>
      <c r="CX198" s="59">
        <f t="shared" si="196"/>
        <v>290.31211911692259</v>
      </c>
      <c r="CY198" s="59">
        <f ca="1">AVERAGE(OFFSET($CX$3,0,0,'Données projet'!$E$13+1,1))-AVERAGE(OFFSET($H$3,0,0,'Données projet'!$E$13+1,1))</f>
        <v>335.73816489539837</v>
      </c>
      <c r="CZ198" s="59">
        <f t="shared" si="208"/>
        <v>254.09787950201044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6.9580852568132379</v>
      </c>
      <c r="DG198" s="21">
        <f>EXP(-LN(2)/25)*DG197+(1-EXP(-LN(2)/25))/(LN(2)/25)*Calculateur!DB198*Calculateur!DD198*VLOOKUP('Données projet'!$B$13,Paramètres!$A$1:$I$89,3,0)*0.475*44/12</f>
        <v>3.5916363490447476</v>
      </c>
      <c r="DH198" s="21">
        <f>EXP(-LN(2)/2)*DH197+(1-EXP(-LN(2)/2))/(LN(2)/2)*DB198*DE198*VLOOKUP('Données projet'!$B$13,Paramètres!$A$1:$I$89,3,0)*0.475*44/12</f>
        <v>7.8709631213454551E-12</v>
      </c>
      <c r="DI198" s="22">
        <f t="shared" si="175"/>
        <v>10.549721605865857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2.5579538487363607E-13</v>
      </c>
      <c r="DP198" s="17">
        <f>DO198*VLOOKUP('Données projet'!$B$14,Paramètres!$A$1:$I$89,3,0)*VLOOKUP('Données projet'!$B$14,Paramètres!$A$1:$I$89,5,0)</f>
        <v>2.4740529624978082E-13</v>
      </c>
      <c r="DQ198" s="13">
        <f t="shared" si="176"/>
        <v>3.3447853361996459E-12</v>
      </c>
      <c r="DR198" s="20">
        <f t="shared" si="177"/>
        <v>6.2563986848494188E-12</v>
      </c>
      <c r="DS198" s="59">
        <f t="shared" si="197"/>
        <v>290.31211911692475</v>
      </c>
      <c r="DT198" s="59">
        <f ca="1">AVERAGE(OFFSET($DS$3,0,0,'Données projet'!$E$14+1,1))-AVERAGE(OFFSET($H$3,0,0,'Données projet'!$E$14+1,1))</f>
        <v>493.03862850474161</v>
      </c>
      <c r="DU198" s="59">
        <f t="shared" si="209"/>
        <v>312.51819065560528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33.331746596820246</v>
      </c>
      <c r="EB198" s="21">
        <f>EXP(-LN(2)/25)*EB197+(1-EXP(-LN(2)/25))/(LN(2)/25)*Calculateur!DW198*Calculateur!DY198*VLOOKUP('Données projet'!$B$14,Paramètres!$A$1:$I$89,3,0)*0.475*44/12</f>
        <v>4.1506028593202515</v>
      </c>
      <c r="EC198" s="21">
        <f>EXP(-LN(2)/2)*EC197+(1-EXP(-LN(2)/2))/(LN(2)/2)*DW198*DZ198*VLOOKUP('Données projet'!$B$14,Paramètres!$A$1:$I$89,3,0)*0.475*44/12</f>
        <v>1.1983607995434422E-9</v>
      </c>
      <c r="ED198" s="22">
        <f t="shared" si="178"/>
        <v>37.482349457338856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2.5579538487363607E-13</v>
      </c>
      <c r="EK198" s="17">
        <f>EJ198*VLOOKUP('Données projet'!$B$15,Paramètres!$A$1:$I$89,3,0)*VLOOKUP('Données projet'!$B$15,Paramètres!$A$1:$I$89,5,0)</f>
        <v>2.7533815227798186E-13</v>
      </c>
      <c r="EL198" s="13">
        <f t="shared" si="179"/>
        <v>3.6763598146902537E-12</v>
      </c>
      <c r="EM198" s="20">
        <f t="shared" si="180"/>
        <v>6.88254062580301E-12</v>
      </c>
      <c r="EN198" s="59">
        <f t="shared" si="198"/>
        <v>290.31211911692537</v>
      </c>
      <c r="EO198" s="59">
        <f ca="1">AVERAGE(OFFSET($EN$3,0,0,'Données projet'!$E$15+1,1))-AVERAGE(OFFSET($H$3,0,0,'Données projet'!$E$15+1,1))</f>
        <v>539.72194201710272</v>
      </c>
      <c r="EP198" s="59">
        <f t="shared" si="210"/>
        <v>340.76505385159362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37.095008309364459</v>
      </c>
      <c r="EW198" s="21">
        <f>EXP(-LN(2)/25)*EW197+(1-EXP(-LN(2)/25))/(LN(2)/25)*Calculateur!ER198*Calculateur!ET198*VLOOKUP('Données projet'!$B$15,Paramètres!$A$1:$I$89,3,0)*0.475*44/12</f>
        <v>4.619219311178985</v>
      </c>
      <c r="EX198" s="21">
        <f>EXP(-LN(2)/2)*EX197+(1-EXP(-LN(2)/2))/(LN(2)/2)*ER198*EU198*VLOOKUP('Données projet'!$B$15,Paramètres!$A$1:$I$89,3,0)*0.475*44/12</f>
        <v>1.3336595994918933E-9</v>
      </c>
      <c r="EY198" s="22">
        <f t="shared" si="181"/>
        <v>41.714227621877107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>
        <f>FE198*VLOOKUP('Données projet'!$B$16,Paramètres!$A$1:$I$89,3,0)*VLOOKUP('Données projet'!$B$16,Paramètres!$A$1:$I$89,5,0)</f>
        <v>0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383.47860767209028</v>
      </c>
      <c r="FK198" s="59">
        <f t="shared" si="211"/>
        <v>370.49129421395628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5.4348596244865881</v>
      </c>
      <c r="FR198" s="21">
        <f>EXP(-LN(2)/25)*FR197+(1-EXP(-LN(2)/25))/(LN(2)/25)*Calculateur!FM198*Calculateur!FO198*VLOOKUP('Données projet'!$B$16,Paramètres!$A$1:$I$89,3,0)*0.475*44/12</f>
        <v>2.1578116902500111</v>
      </c>
      <c r="FS198" s="21">
        <f>EXP(-LN(2)/2)*FS197+(1-EXP(-LN(2)/2))/(LN(2)/2)*FM198*FP198*VLOOKUP('Données projet'!$B$16,Paramètres!$A$1:$I$89,3,0)*0.475*44/12</f>
        <v>3.1227798869936581E-16</v>
      </c>
      <c r="FT198" s="22">
        <f t="shared" si="184"/>
        <v>7.5926713147365987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-2.8421709430404007E-13</v>
      </c>
      <c r="GA198" s="17">
        <f>FZ198*VLOOKUP('Données projet'!$B$17,Paramètres!$A$1:$I$89,3,0)*VLOOKUP('Données projet'!$B$17,Paramètres!$A$1:$I$89,5,0)</f>
        <v>-3.2366642699344083E-13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640.05156427113661</v>
      </c>
      <c r="GF198" s="59">
        <f t="shared" si="212"/>
        <v>308.77220155372902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140.12518405884489</v>
      </c>
      <c r="GM198" s="21">
        <f>EXP(-LN(2)/25)*GM197+(1-EXP(-LN(2)/25))/(LN(2)/25)*Calculateur!GH198*Calculateur!GJ198*VLOOKUP('Données projet'!$B$17,Paramètres!$A$1:$I$89,3,0)*0.475*44/12</f>
        <v>42.7957920439353</v>
      </c>
      <c r="GN198" s="21">
        <f>EXP(-LN(2)/2)*GN197+(1-EXP(-LN(2)/2))/(LN(2)/2)*GH198*GK198*VLOOKUP('Données projet'!$B$17,Paramètres!$A$1:$I$89,3,0)*0.475*44/12</f>
        <v>1.9476447671062136</v>
      </c>
      <c r="GO198" s="21">
        <f t="shared" si="187"/>
        <v>184.86862086988643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4.7884896048344674E-14</v>
      </c>
      <c r="P199" s="13">
        <f t="shared" si="203"/>
        <v>7.8374629847779921E-13</v>
      </c>
      <c r="Q199" s="20">
        <f t="shared" si="162"/>
        <v>1.4484243304663672E-12</v>
      </c>
      <c r="R199" s="59">
        <f t="shared" si="191"/>
        <v>290.36453042915161</v>
      </c>
      <c r="S199" s="59">
        <f ca="1">AVERAGE(OFFSET($R$3,0,0,'Données projet'!$E$9+1,1))-AVERAGE(OFFSET($H$3,0,0,'Données projet'!$E$9+1,1))</f>
        <v>456.35333554128226</v>
      </c>
      <c r="T199" s="59">
        <f t="shared" si="204"/>
        <v>296.4517290984877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20.582440993767499</v>
      </c>
      <c r="AA199" s="21">
        <f>EXP(-LN(2)/25)*AA198+(1-EXP(-LN(2)/25))/(LN(2)/25)*Calculateur!V199*Calculateur!X199*VLOOKUP('Données projet'!$B$9,Paramètres!$A$1:$I$89,3,0)*0.475*44/12</f>
        <v>2.3074745539947723</v>
      </c>
      <c r="AB199" s="21">
        <f>EXP(-LN(2)/2)*AB198+(1-EXP(-LN(2)/2))/(LN(2)/2)*V199*Y199*VLOOKUP('Données projet'!$B$9,Paramètres!$A$1:$I$89,3,0)*0.475*44/12</f>
        <v>2.1097501772150297E-13</v>
      </c>
      <c r="AC199" s="22">
        <f t="shared" si="163"/>
        <v>22.889915547762481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408.246209980743</v>
      </c>
      <c r="AO199" s="59">
        <f t="shared" si="205"/>
        <v>394.10236303013903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5.7381534454326486</v>
      </c>
      <c r="AV199" s="21">
        <f>EXP(-LN(2)/25)*AV198+(1-EXP(-LN(2)/25))/(LN(2)/25)*Calculateur!AQ199*Calculateur!AS199*VLOOKUP('Données projet'!$B$10,Paramètres!$A$1:$I$89,3,0)*0.475*44/12</f>
        <v>2.2602528481138746</v>
      </c>
      <c r="AW199" s="21">
        <f>EXP(-LN(2)/2)*AW198+(1-EXP(-LN(2)/2))/(LN(2)/2)*AQ199*AT199*VLOOKUP('Données projet'!$B$10,Paramètres!$A$1:$I$89,3,0)*0.475*44/12</f>
        <v>2.3779956676497078E-16</v>
      </c>
      <c r="AX199" s="21">
        <f t="shared" si="166"/>
        <v>7.9984062935465232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-2.8421709430404007E-13</v>
      </c>
      <c r="BE199" s="13">
        <f>BD199*VLOOKUP('Données projet'!$B$11,Paramètres!$A$1:$I$89,3,0)*VLOOKUP('Données projet'!$B$11,Paramètres!$A$1:$I$89,5,0)</f>
        <v>-2.8819613362429665E-13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580.02848304986492</v>
      </c>
      <c r="BJ199" s="59">
        <f t="shared" si="206"/>
        <v>281.68891895586728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122.32235552574396</v>
      </c>
      <c r="BQ199" s="21">
        <f>EXP(-LN(2)/25)*BQ198+(1-EXP(-LN(2)/25))/(LN(2)/25)*Calculateur!BL199*Calculateur!BN199*VLOOKUP('Données projet'!$B$11,Paramètres!$A$1:$I$89,3,0)*0.475*44/12</f>
        <v>37.063835971198152</v>
      </c>
      <c r="BR199" s="21">
        <f>EXP(-LN(2)/2)*BR198+(1-EXP(-LN(2)/2))/(LN(2)/2)*BL199*BO199*VLOOKUP('Données projet'!$B$11,Paramètres!$A$1:$I$89,3,0)*0.475*44/12</f>
        <v>1.2262675813782788</v>
      </c>
      <c r="BS199" s="22">
        <f t="shared" si="169"/>
        <v>160.61245907832037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4.4337866711430253E-14</v>
      </c>
      <c r="CA199" s="13">
        <f t="shared" si="170"/>
        <v>7.3222115536967035E-13</v>
      </c>
      <c r="CB199" s="20">
        <f t="shared" si="171"/>
        <v>1.3525069634579169E-12</v>
      </c>
      <c r="CC199" s="59">
        <f t="shared" si="195"/>
        <v>290.36453042915156</v>
      </c>
      <c r="CD199" s="59">
        <f ca="1">AVERAGE(OFFSET($CC$3,0,0,'Données projet'!$E$12+1,1))-AVERAGE(OFFSET($H$3,0,0,'Données projet'!$E$12+1,1))</f>
        <v>308.85018589589453</v>
      </c>
      <c r="CE199" s="59">
        <f t="shared" si="207"/>
        <v>302.59481222418219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3.4765243310705776</v>
      </c>
      <c r="CL199" s="21">
        <f>EXP(-LN(2)/25)*CL198+(1-EXP(-LN(2)/25))/(LN(2)/25)*Calculateur!CG199*Calculateur!CI199*VLOOKUP('Données projet'!$B$12,Paramètres!$A$1:$I$89,3,0)*0.475*44/12</f>
        <v>1.251610080655988</v>
      </c>
      <c r="CM199" s="21">
        <f>EXP(-LN(2)/2)*CM198+(1-EXP(-LN(2)/2))/(LN(2)/2)*CG199*CJ199*VLOOKUP('Données projet'!$B$12,Paramètres!$A$1:$I$89,3,0)*0.475*44/12</f>
        <v>4.6578404012426044E-18</v>
      </c>
      <c r="CN199" s="22">
        <f t="shared" si="172"/>
        <v>4.7281344117265656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2.2737367544323206E-13</v>
      </c>
      <c r="CU199" s="17">
        <f>CT199*VLOOKUP('Données projet'!$B$13,Paramètres!$A$1:$I$89,3,0)*VLOOKUP('Données projet'!$B$13,Paramètres!$A$1:$I$89,5,0)</f>
        <v>1.5252226148732008E-13</v>
      </c>
      <c r="CV199" s="13">
        <f t="shared" si="173"/>
        <v>2.1814502464536512E-12</v>
      </c>
      <c r="CW199" s="20">
        <f t="shared" si="174"/>
        <v>4.0650021179971913E-12</v>
      </c>
      <c r="CX199" s="59">
        <f t="shared" si="196"/>
        <v>290.36453042915429</v>
      </c>
      <c r="CY199" s="59">
        <f ca="1">AVERAGE(OFFSET($CX$3,0,0,'Données projet'!$E$13+1,1))-AVERAGE(OFFSET($H$3,0,0,'Données projet'!$E$13+1,1))</f>
        <v>335.73816489539837</v>
      </c>
      <c r="CZ199" s="59">
        <f t="shared" si="208"/>
        <v>254.09787950201044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6.8216414489400758</v>
      </c>
      <c r="DG199" s="21">
        <f>EXP(-LN(2)/25)*DG198+(1-EXP(-LN(2)/25))/(LN(2)/25)*Calculateur!DB199*Calculateur!DD199*VLOOKUP('Données projet'!$B$13,Paramètres!$A$1:$I$89,3,0)*0.475*44/12</f>
        <v>3.493422864204172</v>
      </c>
      <c r="DH199" s="21">
        <f>EXP(-LN(2)/2)*DH198+(1-EXP(-LN(2)/2))/(LN(2)/2)*DB199*DE199*VLOOKUP('Données projet'!$B$13,Paramètres!$A$1:$I$89,3,0)*0.475*44/12</f>
        <v>5.5656113975726059E-12</v>
      </c>
      <c r="DI199" s="22">
        <f t="shared" si="175"/>
        <v>10.315064313149813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2.5579538487363607E-13</v>
      </c>
      <c r="DP199" s="17">
        <f>DO199*VLOOKUP('Données projet'!$B$14,Paramètres!$A$1:$I$89,3,0)*VLOOKUP('Données projet'!$B$14,Paramètres!$A$1:$I$89,5,0)</f>
        <v>2.4740529624978082E-13</v>
      </c>
      <c r="DQ199" s="13">
        <f t="shared" si="176"/>
        <v>3.3447853361996459E-12</v>
      </c>
      <c r="DR199" s="20">
        <f t="shared" si="177"/>
        <v>6.2563986848494188E-12</v>
      </c>
      <c r="DS199" s="59">
        <f t="shared" si="197"/>
        <v>290.36453042915645</v>
      </c>
      <c r="DT199" s="59">
        <f ca="1">AVERAGE(OFFSET($DS$3,0,0,'Données projet'!$E$14+1,1))-AVERAGE(OFFSET($H$3,0,0,'Données projet'!$E$14+1,1))</f>
        <v>493.03862850474161</v>
      </c>
      <c r="DU199" s="59">
        <f t="shared" si="209"/>
        <v>312.51819065560528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32.678131376414569</v>
      </c>
      <c r="EB199" s="21">
        <f>EXP(-LN(2)/25)*EB198+(1-EXP(-LN(2)/25))/(LN(2)/25)*Calculateur!DW199*Calculateur!DY199*VLOOKUP('Données projet'!$B$14,Paramètres!$A$1:$I$89,3,0)*0.475*44/12</f>
        <v>4.0371044058614212</v>
      </c>
      <c r="EC199" s="21">
        <f>EXP(-LN(2)/2)*EC198+(1-EXP(-LN(2)/2))/(LN(2)/2)*DW199*DZ199*VLOOKUP('Données projet'!$B$14,Paramètres!$A$1:$I$89,3,0)*0.475*44/12</f>
        <v>8.4736904766530097E-10</v>
      </c>
      <c r="ED199" s="22">
        <f t="shared" si="178"/>
        <v>36.715235783123362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2.5579538487363607E-13</v>
      </c>
      <c r="EK199" s="17">
        <f>EJ199*VLOOKUP('Données projet'!$B$15,Paramètres!$A$1:$I$89,3,0)*VLOOKUP('Données projet'!$B$15,Paramètres!$A$1:$I$89,5,0)</f>
        <v>2.7533815227798186E-13</v>
      </c>
      <c r="EL199" s="13">
        <f t="shared" si="179"/>
        <v>3.6763598146902537E-12</v>
      </c>
      <c r="EM199" s="20">
        <f t="shared" si="180"/>
        <v>6.88254062580301E-12</v>
      </c>
      <c r="EN199" s="59">
        <f t="shared" si="198"/>
        <v>290.36453042915707</v>
      </c>
      <c r="EO199" s="59">
        <f ca="1">AVERAGE(OFFSET($EN$3,0,0,'Données projet'!$E$15+1,1))-AVERAGE(OFFSET($H$3,0,0,'Données projet'!$E$15+1,1))</f>
        <v>539.72194201710272</v>
      </c>
      <c r="EP199" s="59">
        <f t="shared" si="210"/>
        <v>340.76505385159362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36.367597822138784</v>
      </c>
      <c r="EW199" s="21">
        <f>EXP(-LN(2)/25)*EW198+(1-EXP(-LN(2)/25))/(LN(2)/25)*Calculateur!ER199*Calculateur!ET199*VLOOKUP('Données projet'!$B$15,Paramètres!$A$1:$I$89,3,0)*0.475*44/12</f>
        <v>4.4929065162006099</v>
      </c>
      <c r="EX199" s="21">
        <f>EXP(-LN(2)/2)*EX198+(1-EXP(-LN(2)/2))/(LN(2)/2)*ER199*EU199*VLOOKUP('Données projet'!$B$15,Paramètres!$A$1:$I$89,3,0)*0.475*44/12</f>
        <v>9.4303974659525285E-10</v>
      </c>
      <c r="EY199" s="22">
        <f t="shared" si="181"/>
        <v>40.860504339282436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>
        <f>FE199*VLOOKUP('Données projet'!$B$16,Paramètres!$A$1:$I$89,3,0)*VLOOKUP('Données projet'!$B$16,Paramètres!$A$1:$I$89,5,0)</f>
        <v>0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383.47860767209028</v>
      </c>
      <c r="FK199" s="59">
        <f t="shared" si="211"/>
        <v>370.49129421395628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5.3282853421874545</v>
      </c>
      <c r="FR199" s="21">
        <f>EXP(-LN(2)/25)*FR198+(1-EXP(-LN(2)/25))/(LN(2)/25)*Calculateur!FM199*Calculateur!FO199*VLOOKUP('Données projet'!$B$16,Paramètres!$A$1:$I$89,3,0)*0.475*44/12</f>
        <v>2.0988062161057393</v>
      </c>
      <c r="FS199" s="21">
        <f>EXP(-LN(2)/2)*FS198+(1-EXP(-LN(2)/2))/(LN(2)/2)*FM199*FP199*VLOOKUP('Données projet'!$B$16,Paramètres!$A$1:$I$89,3,0)*0.475*44/12</f>
        <v>2.2081388342461763E-16</v>
      </c>
      <c r="FT199" s="22">
        <f t="shared" si="184"/>
        <v>7.4270915582931938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-2.8421709430404007E-13</v>
      </c>
      <c r="GA199" s="17">
        <f>FZ199*VLOOKUP('Données projet'!$B$17,Paramètres!$A$1:$I$89,3,0)*VLOOKUP('Données projet'!$B$17,Paramètres!$A$1:$I$89,5,0)</f>
        <v>-3.2366642699344083E-13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640.05156427113661</v>
      </c>
      <c r="GF199" s="59">
        <f t="shared" si="212"/>
        <v>308.77220155372902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137.37741466737396</v>
      </c>
      <c r="GM199" s="21">
        <f>EXP(-LN(2)/25)*GM198+(1-EXP(-LN(2)/25))/(LN(2)/25)*Calculateur!GH199*Calculateur!GJ199*VLOOKUP('Données projet'!$B$17,Paramètres!$A$1:$I$89,3,0)*0.475*44/12</f>
        <v>41.625538859960997</v>
      </c>
      <c r="GN199" s="21">
        <f>EXP(-LN(2)/2)*GN198+(1-EXP(-LN(2)/2))/(LN(2)/2)*GH199*GK199*VLOOKUP('Données projet'!$B$17,Paramètres!$A$1:$I$89,3,0)*0.475*44/12</f>
        <v>1.3771928221632979</v>
      </c>
      <c r="GO199" s="21">
        <f t="shared" si="187"/>
        <v>180.38014634949826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4.7884896048344674E-14</v>
      </c>
      <c r="P200" s="13">
        <f t="shared" si="203"/>
        <v>7.8374629847779921E-13</v>
      </c>
      <c r="Q200" s="20">
        <f t="shared" si="162"/>
        <v>1.4484243304663672E-12</v>
      </c>
      <c r="R200" s="59">
        <f t="shared" si="191"/>
        <v>290.41603252229021</v>
      </c>
      <c r="S200" s="59">
        <f ca="1">AVERAGE(OFFSET($R$3,0,0,'Données projet'!$E$9+1,1))-AVERAGE(OFFSET($H$3,0,0,'Données projet'!$E$9+1,1))</f>
        <v>456.35333554128226</v>
      </c>
      <c r="T200" s="59">
        <f t="shared" si="204"/>
        <v>296.4517290984877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20.178831879929113</v>
      </c>
      <c r="AA200" s="21">
        <f>EXP(-LN(2)/25)*AA199+(1-EXP(-LN(2)/25))/(LN(2)/25)*Calculateur!V200*Calculateur!X200*VLOOKUP('Données projet'!$B$9,Paramètres!$A$1:$I$89,3,0)*0.475*44/12</f>
        <v>2.2443765409709724</v>
      </c>
      <c r="AB200" s="21">
        <f>EXP(-LN(2)/2)*AB199+(1-EXP(-LN(2)/2))/(LN(2)/2)*V200*Y200*VLOOKUP('Données projet'!$B$9,Paramètres!$A$1:$I$89,3,0)*0.475*44/12</f>
        <v>1.4918186569182679E-13</v>
      </c>
      <c r="AC200" s="22">
        <f t="shared" si="163"/>
        <v>22.423208420900234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408.246209980743</v>
      </c>
      <c r="AO200" s="59">
        <f t="shared" si="205"/>
        <v>394.10236303013903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5.6256317562957268</v>
      </c>
      <c r="AV200" s="21">
        <f>EXP(-LN(2)/25)*AV199+(1-EXP(-LN(2)/25))/(LN(2)/25)*Calculateur!AQ200*Calculateur!AS200*VLOOKUP('Données projet'!$B$10,Paramètres!$A$1:$I$89,3,0)*0.475*44/12</f>
        <v>2.1984461151206691</v>
      </c>
      <c r="AW200" s="21">
        <f>EXP(-LN(2)/2)*AW199+(1-EXP(-LN(2)/2))/(LN(2)/2)*AQ200*AT200*VLOOKUP('Données projet'!$B$10,Paramètres!$A$1:$I$89,3,0)*0.475*44/12</f>
        <v>1.68149686222734E-16</v>
      </c>
      <c r="AX200" s="21">
        <f t="shared" si="166"/>
        <v>7.8240778714163959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-2.8421709430404007E-13</v>
      </c>
      <c r="BE200" s="13">
        <f>BD200*VLOOKUP('Données projet'!$B$11,Paramètres!$A$1:$I$89,3,0)*VLOOKUP('Données projet'!$B$11,Paramètres!$A$1:$I$89,5,0)</f>
        <v>-2.8819613362429665E-13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580.02848304986492</v>
      </c>
      <c r="BJ200" s="59">
        <f t="shared" si="206"/>
        <v>281.68891895586728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119.92368874315393</v>
      </c>
      <c r="BQ200" s="21">
        <f>EXP(-LN(2)/25)*BQ199+(1-EXP(-LN(2)/25))/(LN(2)/25)*Calculateur!BL200*Calculateur!BN200*VLOOKUP('Données projet'!$B$11,Paramètres!$A$1:$I$89,3,0)*0.475*44/12</f>
        <v>36.050323427463319</v>
      </c>
      <c r="BR200" s="21">
        <f>EXP(-LN(2)/2)*BR199+(1-EXP(-LN(2)/2))/(LN(2)/2)*BL200*BO200*VLOOKUP('Données projet'!$B$11,Paramètres!$A$1:$I$89,3,0)*0.475*44/12</f>
        <v>0.8671021223418075</v>
      </c>
      <c r="BS200" s="22">
        <f t="shared" si="169"/>
        <v>156.84111429295905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4.4337866711430253E-14</v>
      </c>
      <c r="CA200" s="13">
        <f t="shared" si="170"/>
        <v>7.3222115536967035E-13</v>
      </c>
      <c r="CB200" s="20">
        <f t="shared" si="171"/>
        <v>1.3525069634579169E-12</v>
      </c>
      <c r="CC200" s="59">
        <f t="shared" si="195"/>
        <v>290.41603252229015</v>
      </c>
      <c r="CD200" s="59">
        <f ca="1">AVERAGE(OFFSET($CC$3,0,0,'Données projet'!$E$12+1,1))-AVERAGE(OFFSET($H$3,0,0,'Données projet'!$E$12+1,1))</f>
        <v>308.85018589589453</v>
      </c>
      <c r="CE200" s="59">
        <f t="shared" si="207"/>
        <v>302.59481222418219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3.4083518094087464</v>
      </c>
      <c r="CL200" s="21">
        <f>EXP(-LN(2)/25)*CL199+(1-EXP(-LN(2)/25))/(LN(2)/25)*Calculateur!CG200*Calculateur!CI200*VLOOKUP('Données projet'!$B$12,Paramètres!$A$1:$I$89,3,0)*0.475*44/12</f>
        <v>1.2173847371811364</v>
      </c>
      <c r="CM200" s="21">
        <f>EXP(-LN(2)/2)*CM199+(1-EXP(-LN(2)/2))/(LN(2)/2)*CG200*CJ200*VLOOKUP('Données projet'!$B$12,Paramètres!$A$1:$I$89,3,0)*0.475*44/12</f>
        <v>3.2935905334033151E-18</v>
      </c>
      <c r="CN200" s="22">
        <f t="shared" si="172"/>
        <v>4.6257365465898825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2.2737367544323206E-13</v>
      </c>
      <c r="CU200" s="17">
        <f>CT200*VLOOKUP('Données projet'!$B$13,Paramètres!$A$1:$I$89,3,0)*VLOOKUP('Données projet'!$B$13,Paramètres!$A$1:$I$89,5,0)</f>
        <v>1.5252226148732008E-13</v>
      </c>
      <c r="CV200" s="13">
        <f t="shared" si="173"/>
        <v>2.1814502464536512E-12</v>
      </c>
      <c r="CW200" s="20">
        <f t="shared" si="174"/>
        <v>4.0650021179971913E-12</v>
      </c>
      <c r="CX200" s="59">
        <f t="shared" si="196"/>
        <v>290.41603252229288</v>
      </c>
      <c r="CY200" s="59">
        <f ca="1">AVERAGE(OFFSET($CX$3,0,0,'Données projet'!$E$13+1,1))-AVERAGE(OFFSET($H$3,0,0,'Données projet'!$E$13+1,1))</f>
        <v>335.73816489539837</v>
      </c>
      <c r="CZ200" s="59">
        <f t="shared" si="208"/>
        <v>254.09787950201044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6.687873220916801</v>
      </c>
      <c r="DG200" s="21">
        <f>EXP(-LN(2)/25)*DG199+(1-EXP(-LN(2)/25))/(LN(2)/25)*Calculateur!DB200*Calculateur!DD200*VLOOKUP('Données projet'!$B$13,Paramètres!$A$1:$I$89,3,0)*0.475*44/12</f>
        <v>3.3978950322713848</v>
      </c>
      <c r="DH200" s="21">
        <f>EXP(-LN(2)/2)*DH199+(1-EXP(-LN(2)/2))/(LN(2)/2)*DB200*DE200*VLOOKUP('Données projet'!$B$13,Paramètres!$A$1:$I$89,3,0)*0.475*44/12</f>
        <v>3.9354815606727275E-12</v>
      </c>
      <c r="DI200" s="22">
        <f t="shared" si="175"/>
        <v>10.08576825319212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2.5579538487363607E-13</v>
      </c>
      <c r="DP200" s="17">
        <f>DO200*VLOOKUP('Données projet'!$B$14,Paramètres!$A$1:$I$89,3,0)*VLOOKUP('Données projet'!$B$14,Paramètres!$A$1:$I$89,5,0)</f>
        <v>2.4740529624978082E-13</v>
      </c>
      <c r="DQ200" s="13">
        <f t="shared" si="176"/>
        <v>3.3447853361996459E-12</v>
      </c>
      <c r="DR200" s="20">
        <f t="shared" si="177"/>
        <v>6.2563986848494188E-12</v>
      </c>
      <c r="DS200" s="59">
        <f t="shared" si="197"/>
        <v>290.41603252229504</v>
      </c>
      <c r="DT200" s="59">
        <f ca="1">AVERAGE(OFFSET($DS$3,0,0,'Données projet'!$E$14+1,1))-AVERAGE(OFFSET($H$3,0,0,'Données projet'!$E$14+1,1))</f>
        <v>493.03862850474161</v>
      </c>
      <c r="DU200" s="59">
        <f t="shared" si="209"/>
        <v>312.51819065560528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32.037333151815126</v>
      </c>
      <c r="EB200" s="21">
        <f>EXP(-LN(2)/25)*EB199+(1-EXP(-LN(2)/25))/(LN(2)/25)*Calculateur!DW200*Calculateur!DY200*VLOOKUP('Données projet'!$B$14,Paramètres!$A$1:$I$89,3,0)*0.475*44/12</f>
        <v>3.9267095735810469</v>
      </c>
      <c r="EC200" s="21">
        <f>EXP(-LN(2)/2)*EC199+(1-EXP(-LN(2)/2))/(LN(2)/2)*DW200*DZ200*VLOOKUP('Données projet'!$B$14,Paramètres!$A$1:$I$89,3,0)*0.475*44/12</f>
        <v>5.9918039977172112E-10</v>
      </c>
      <c r="ED200" s="22">
        <f t="shared" si="178"/>
        <v>35.964042725995355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2.5579538487363607E-13</v>
      </c>
      <c r="EK200" s="17">
        <f>EJ200*VLOOKUP('Données projet'!$B$15,Paramètres!$A$1:$I$89,3,0)*VLOOKUP('Données projet'!$B$15,Paramètres!$A$1:$I$89,5,0)</f>
        <v>2.7533815227798186E-13</v>
      </c>
      <c r="EL200" s="13">
        <f t="shared" si="179"/>
        <v>3.6763598146902537E-12</v>
      </c>
      <c r="EM200" s="20">
        <f t="shared" si="180"/>
        <v>6.88254062580301E-12</v>
      </c>
      <c r="EN200" s="59">
        <f t="shared" si="198"/>
        <v>290.41603252229567</v>
      </c>
      <c r="EO200" s="59">
        <f ca="1">AVERAGE(OFFSET($EN$3,0,0,'Données projet'!$E$15+1,1))-AVERAGE(OFFSET($H$3,0,0,'Données projet'!$E$15+1,1))</f>
        <v>539.72194201710272</v>
      </c>
      <c r="EP200" s="59">
        <f t="shared" si="210"/>
        <v>340.76505385159362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35.654451410891021</v>
      </c>
      <c r="EW200" s="21">
        <f>EXP(-LN(2)/25)*EW199+(1-EXP(-LN(2)/25))/(LN(2)/25)*Calculateur!ER200*Calculateur!ET200*VLOOKUP('Données projet'!$B$15,Paramètres!$A$1:$I$89,3,0)*0.475*44/12</f>
        <v>4.370047751243419</v>
      </c>
      <c r="EX200" s="21">
        <f>EXP(-LN(2)/2)*EX199+(1-EXP(-LN(2)/2))/(LN(2)/2)*ER200*EU200*VLOOKUP('Données projet'!$B$15,Paramètres!$A$1:$I$89,3,0)*0.475*44/12</f>
        <v>6.6682979974594667E-10</v>
      </c>
      <c r="EY200" s="22">
        <f t="shared" si="181"/>
        <v>40.02449916280127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>
        <f>FE200*VLOOKUP('Données projet'!$B$16,Paramètres!$A$1:$I$89,3,0)*VLOOKUP('Données projet'!$B$16,Paramètres!$A$1:$I$89,5,0)</f>
        <v>0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383.47860767209028</v>
      </c>
      <c r="FK200" s="59">
        <f t="shared" si="211"/>
        <v>370.49129421395628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5.2238009165603128</v>
      </c>
      <c r="FR200" s="21">
        <f>EXP(-LN(2)/25)*FR199+(1-EXP(-LN(2)/25))/(LN(2)/25)*Calculateur!FM200*Calculateur!FO200*VLOOKUP('Données projet'!$B$16,Paramètres!$A$1:$I$89,3,0)*0.475*44/12</f>
        <v>2.0414142497549057</v>
      </c>
      <c r="FS200" s="21">
        <f>EXP(-LN(2)/2)*FS199+(1-EXP(-LN(2)/2))/(LN(2)/2)*FM200*FP200*VLOOKUP('Données projet'!$B$16,Paramètres!$A$1:$I$89,3,0)*0.475*44/12</f>
        <v>1.5613899434968293E-16</v>
      </c>
      <c r="FT200" s="22">
        <f t="shared" si="184"/>
        <v>7.2652151663152189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-2.8421709430404007E-13</v>
      </c>
      <c r="GA200" s="17">
        <f>FZ200*VLOOKUP('Données projet'!$B$17,Paramètres!$A$1:$I$89,3,0)*VLOOKUP('Données projet'!$B$17,Paramètres!$A$1:$I$89,5,0)</f>
        <v>-3.2366642699344083E-13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640.05156427113661</v>
      </c>
      <c r="GF200" s="59">
        <f t="shared" si="212"/>
        <v>308.77220155372902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134.68352735769594</v>
      </c>
      <c r="GM200" s="21">
        <f>EXP(-LN(2)/25)*GM199+(1-EXP(-LN(2)/25))/(LN(2)/25)*Calculateur!GH200*Calculateur!GJ200*VLOOKUP('Données projet'!$B$17,Paramètres!$A$1:$I$89,3,0)*0.475*44/12</f>
        <v>40.487286310843409</v>
      </c>
      <c r="GN200" s="21">
        <f>EXP(-LN(2)/2)*GN199+(1-EXP(-LN(2)/2))/(LN(2)/2)*GH200*GK200*VLOOKUP('Données projet'!$B$17,Paramètres!$A$1:$I$89,3,0)*0.475*44/12</f>
        <v>0.97382238355310702</v>
      </c>
      <c r="GO200" s="21">
        <f t="shared" si="187"/>
        <v>176.14463605209247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4.7884896048344674E-14</v>
      </c>
      <c r="P201" s="13">
        <f t="shared" si="203"/>
        <v>7.8374629847779921E-13</v>
      </c>
      <c r="Q201" s="20">
        <f t="shared" si="162"/>
        <v>1.4484243304663672E-12</v>
      </c>
      <c r="R201" s="59">
        <f t="shared" si="191"/>
        <v>290.46664116925433</v>
      </c>
      <c r="S201" s="59">
        <f ca="1">AVERAGE(OFFSET($R$3,0,0,'Données projet'!$E$9+1,1))-AVERAGE(OFFSET($H$3,0,0,'Données projet'!$E$9+1,1))</f>
        <v>456.35333554128226</v>
      </c>
      <c r="T201" s="59">
        <f t="shared" si="204"/>
        <v>296.4517290984877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19.78313729463585</v>
      </c>
      <c r="AA201" s="21">
        <f>EXP(-LN(2)/25)*AA200+(1-EXP(-LN(2)/25))/(LN(2)/25)*Calculateur!V201*Calculateur!X201*VLOOKUP('Données projet'!$B$9,Paramètres!$A$1:$I$89,3,0)*0.475*44/12</f>
        <v>2.1830039464314885</v>
      </c>
      <c r="AB201" s="21">
        <f>EXP(-LN(2)/2)*AB200+(1-EXP(-LN(2)/2))/(LN(2)/2)*V201*Y201*VLOOKUP('Données projet'!$B$9,Paramètres!$A$1:$I$89,3,0)*0.475*44/12</f>
        <v>1.0548750886075149E-13</v>
      </c>
      <c r="AC201" s="22">
        <f t="shared" si="163"/>
        <v>21.966141241067444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408.246209980743</v>
      </c>
      <c r="AO201" s="59">
        <f t="shared" si="205"/>
        <v>394.10236303013903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5.5153165488513265</v>
      </c>
      <c r="AV201" s="21">
        <f>EXP(-LN(2)/25)*AV200+(1-EXP(-LN(2)/25))/(LN(2)/25)*Calculateur!AQ201*Calculateur!AS201*VLOOKUP('Données projet'!$B$10,Paramètres!$A$1:$I$89,3,0)*0.475*44/12</f>
        <v>2.1383294904914378</v>
      </c>
      <c r="AW201" s="21">
        <f>EXP(-LN(2)/2)*AW200+(1-EXP(-LN(2)/2))/(LN(2)/2)*AQ201*AT201*VLOOKUP('Données projet'!$B$10,Paramètres!$A$1:$I$89,3,0)*0.475*44/12</f>
        <v>1.1889978338248539E-16</v>
      </c>
      <c r="AX201" s="21">
        <f t="shared" si="166"/>
        <v>7.6536460393427639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-2.8421709430404007E-13</v>
      </c>
      <c r="BE201" s="13">
        <f>BD201*VLOOKUP('Données projet'!$B$11,Paramètres!$A$1:$I$89,3,0)*VLOOKUP('Données projet'!$B$11,Paramètres!$A$1:$I$89,5,0)</f>
        <v>-2.8819613362429665E-13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580.02848304986492</v>
      </c>
      <c r="BJ201" s="59">
        <f t="shared" si="206"/>
        <v>281.68891895586728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117.57205835312823</v>
      </c>
      <c r="BQ201" s="21">
        <f>EXP(-LN(2)/25)*BQ200+(1-EXP(-LN(2)/25))/(LN(2)/25)*Calculateur!BL201*Calculateur!BN201*VLOOKUP('Données projet'!$B$11,Paramètres!$A$1:$I$89,3,0)*0.475*44/12</f>
        <v>35.064525437535217</v>
      </c>
      <c r="BR201" s="21">
        <f>EXP(-LN(2)/2)*BR200+(1-EXP(-LN(2)/2))/(LN(2)/2)*BL201*BO201*VLOOKUP('Données projet'!$B$11,Paramètres!$A$1:$I$89,3,0)*0.475*44/12</f>
        <v>0.61313379068913954</v>
      </c>
      <c r="BS201" s="22">
        <f t="shared" si="169"/>
        <v>153.2497175813526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4.4337866711430253E-14</v>
      </c>
      <c r="CA201" s="13">
        <f t="shared" si="170"/>
        <v>7.3222115536967035E-13</v>
      </c>
      <c r="CB201" s="20">
        <f t="shared" si="171"/>
        <v>1.3525069634579169E-12</v>
      </c>
      <c r="CC201" s="59">
        <f t="shared" si="195"/>
        <v>290.46664116925427</v>
      </c>
      <c r="CD201" s="59">
        <f ca="1">AVERAGE(OFFSET($CC$3,0,0,'Données projet'!$E$12+1,1))-AVERAGE(OFFSET($H$3,0,0,'Données projet'!$E$12+1,1))</f>
        <v>308.85018589589453</v>
      </c>
      <c r="CE201" s="59">
        <f t="shared" si="207"/>
        <v>302.59481222418219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3.3415161093155712</v>
      </c>
      <c r="CL201" s="21">
        <f>EXP(-LN(2)/25)*CL200+(1-EXP(-LN(2)/25))/(LN(2)/25)*Calculateur!CG201*Calculateur!CI201*VLOOKUP('Données projet'!$B$12,Paramètres!$A$1:$I$89,3,0)*0.475*44/12</f>
        <v>1.1840952875234372</v>
      </c>
      <c r="CM201" s="21">
        <f>EXP(-LN(2)/2)*CM200+(1-EXP(-LN(2)/2))/(LN(2)/2)*CG201*CJ201*VLOOKUP('Données projet'!$B$12,Paramètres!$A$1:$I$89,3,0)*0.475*44/12</f>
        <v>2.3289202006213022E-18</v>
      </c>
      <c r="CN201" s="22">
        <f t="shared" si="172"/>
        <v>4.5256113968390084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2.2737367544323206E-13</v>
      </c>
      <c r="CU201" s="17">
        <f>CT201*VLOOKUP('Données projet'!$B$13,Paramètres!$A$1:$I$89,3,0)*VLOOKUP('Données projet'!$B$13,Paramètres!$A$1:$I$89,5,0)</f>
        <v>1.5252226148732008E-13</v>
      </c>
      <c r="CV201" s="13">
        <f t="shared" si="173"/>
        <v>2.1814502464536512E-12</v>
      </c>
      <c r="CW201" s="20">
        <f t="shared" si="174"/>
        <v>4.0650021179971913E-12</v>
      </c>
      <c r="CX201" s="59">
        <f t="shared" si="196"/>
        <v>290.466641169257</v>
      </c>
      <c r="CY201" s="59">
        <f ca="1">AVERAGE(OFFSET($CX$3,0,0,'Données projet'!$E$13+1,1))-AVERAGE(OFFSET($H$3,0,0,'Données projet'!$E$13+1,1))</f>
        <v>335.73816489539837</v>
      </c>
      <c r="CZ201" s="59">
        <f t="shared" si="208"/>
        <v>254.09787950201044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6.5567281062545</v>
      </c>
      <c r="DG201" s="21">
        <f>EXP(-LN(2)/25)*DG200+(1-EXP(-LN(2)/25))/(LN(2)/25)*Calculateur!DB201*Calculateur!DD201*VLOOKUP('Données projet'!$B$13,Paramètres!$A$1:$I$89,3,0)*0.475*44/12</f>
        <v>3.3049794139263899</v>
      </c>
      <c r="DH201" s="21">
        <f>EXP(-LN(2)/2)*DH200+(1-EXP(-LN(2)/2))/(LN(2)/2)*DB201*DE201*VLOOKUP('Données projet'!$B$13,Paramètres!$A$1:$I$89,3,0)*0.475*44/12</f>
        <v>2.782805698786303E-12</v>
      </c>
      <c r="DI201" s="22">
        <f t="shared" si="175"/>
        <v>9.861707520183673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2.5579538487363607E-13</v>
      </c>
      <c r="DP201" s="17">
        <f>DO201*VLOOKUP('Données projet'!$B$14,Paramètres!$A$1:$I$89,3,0)*VLOOKUP('Données projet'!$B$14,Paramètres!$A$1:$I$89,5,0)</f>
        <v>2.4740529624978082E-13</v>
      </c>
      <c r="DQ201" s="13">
        <f t="shared" si="176"/>
        <v>3.3447853361996459E-12</v>
      </c>
      <c r="DR201" s="20">
        <f t="shared" si="177"/>
        <v>6.2563986848494188E-12</v>
      </c>
      <c r="DS201" s="59">
        <f t="shared" si="197"/>
        <v>290.46664116925916</v>
      </c>
      <c r="DT201" s="59">
        <f ca="1">AVERAGE(OFFSET($DS$3,0,0,'Données projet'!$E$14+1,1))-AVERAGE(OFFSET($H$3,0,0,'Données projet'!$E$14+1,1))</f>
        <v>493.03862850474161</v>
      </c>
      <c r="DU201" s="59">
        <f t="shared" si="209"/>
        <v>312.51819065560528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31.409100589551755</v>
      </c>
      <c r="EB201" s="21">
        <f>EXP(-LN(2)/25)*EB200+(1-EXP(-LN(2)/25))/(LN(2)/25)*Calculateur!DW201*Calculateur!DY201*VLOOKUP('Données projet'!$B$14,Paramètres!$A$1:$I$89,3,0)*0.475*44/12</f>
        <v>3.8193334937947911</v>
      </c>
      <c r="EC201" s="21">
        <f>EXP(-LN(2)/2)*EC200+(1-EXP(-LN(2)/2))/(LN(2)/2)*DW201*DZ201*VLOOKUP('Données projet'!$B$14,Paramètres!$A$1:$I$89,3,0)*0.475*44/12</f>
        <v>4.2368452383265048E-10</v>
      </c>
      <c r="ED201" s="22">
        <f t="shared" si="178"/>
        <v>35.228434083770232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2.5579538487363607E-13</v>
      </c>
      <c r="EK201" s="17">
        <f>EJ201*VLOOKUP('Données projet'!$B$15,Paramètres!$A$1:$I$89,3,0)*VLOOKUP('Données projet'!$B$15,Paramètres!$A$1:$I$89,5,0)</f>
        <v>2.7533815227798186E-13</v>
      </c>
      <c r="EL201" s="13">
        <f t="shared" si="179"/>
        <v>3.6763598146902537E-12</v>
      </c>
      <c r="EM201" s="20">
        <f t="shared" si="180"/>
        <v>6.88254062580301E-12</v>
      </c>
      <c r="EN201" s="59">
        <f t="shared" si="198"/>
        <v>290.46664116925979</v>
      </c>
      <c r="EO201" s="59">
        <f ca="1">AVERAGE(OFFSET($EN$3,0,0,'Données projet'!$E$15+1,1))-AVERAGE(OFFSET($H$3,0,0,'Données projet'!$E$15+1,1))</f>
        <v>539.72194201710272</v>
      </c>
      <c r="EP201" s="59">
        <f t="shared" si="210"/>
        <v>340.76505385159362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34.955289365791465</v>
      </c>
      <c r="EW201" s="21">
        <f>EXP(-LN(2)/25)*EW200+(1-EXP(-LN(2)/25))/(LN(2)/25)*Calculateur!ER201*Calculateur!ET201*VLOOKUP('Données projet'!$B$15,Paramètres!$A$1:$I$89,3,0)*0.475*44/12</f>
        <v>4.2505485656748441</v>
      </c>
      <c r="EX201" s="21">
        <f>EXP(-LN(2)/2)*EX200+(1-EXP(-LN(2)/2))/(LN(2)/2)*ER201*EU201*VLOOKUP('Données projet'!$B$15,Paramètres!$A$1:$I$89,3,0)*0.475*44/12</f>
        <v>4.7151987329762642E-10</v>
      </c>
      <c r="EY201" s="22">
        <f t="shared" si="181"/>
        <v>39.205837931937829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>
        <f>FE201*VLOOKUP('Données projet'!$B$16,Paramètres!$A$1:$I$89,3,0)*VLOOKUP('Données projet'!$B$16,Paramètres!$A$1:$I$89,5,0)</f>
        <v>0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383.47860767209028</v>
      </c>
      <c r="FK201" s="59">
        <f t="shared" si="211"/>
        <v>370.49129421395628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5.1213653667905126</v>
      </c>
      <c r="FR201" s="21">
        <f>EXP(-LN(2)/25)*FR200+(1-EXP(-LN(2)/25))/(LN(2)/25)*Calculateur!FM201*Calculateur!FO201*VLOOKUP('Données projet'!$B$16,Paramètres!$A$1:$I$89,3,0)*0.475*44/12</f>
        <v>1.9855916697420481</v>
      </c>
      <c r="FS201" s="21">
        <f>EXP(-LN(2)/2)*FS200+(1-EXP(-LN(2)/2))/(LN(2)/2)*FM201*FP201*VLOOKUP('Données projet'!$B$16,Paramètres!$A$1:$I$89,3,0)*0.475*44/12</f>
        <v>1.1040694171230884E-16</v>
      </c>
      <c r="FT201" s="22">
        <f t="shared" si="184"/>
        <v>7.1069570365325605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-2.8421709430404007E-13</v>
      </c>
      <c r="GA201" s="17">
        <f>FZ201*VLOOKUP('Données projet'!$B$17,Paramètres!$A$1:$I$89,3,0)*VLOOKUP('Données projet'!$B$17,Paramètres!$A$1:$I$89,5,0)</f>
        <v>-3.2366642699344083E-13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640.05156427113661</v>
      </c>
      <c r="GF201" s="59">
        <f t="shared" si="212"/>
        <v>308.77220155372902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132.04246553505169</v>
      </c>
      <c r="GM201" s="21">
        <f>EXP(-LN(2)/25)*GM200+(1-EXP(-LN(2)/25))/(LN(2)/25)*Calculateur!GH201*Calculateur!GJ201*VLOOKUP('Données projet'!$B$17,Paramètres!$A$1:$I$89,3,0)*0.475*44/12</f>
        <v>39.380159337539546</v>
      </c>
      <c r="GN201" s="21">
        <f>EXP(-LN(2)/2)*GN200+(1-EXP(-LN(2)/2))/(LN(2)/2)*GH201*GK201*VLOOKUP('Données projet'!$B$17,Paramètres!$A$1:$I$89,3,0)*0.475*44/12</f>
        <v>0.68859641108164904</v>
      </c>
      <c r="GO201" s="21">
        <f t="shared" si="187"/>
        <v>172.11122128367288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4.7884896048344674E-14</v>
      </c>
      <c r="P202" s="13">
        <f t="shared" si="203"/>
        <v>7.8374629847779921E-13</v>
      </c>
      <c r="Q202" s="20">
        <f t="shared" si="162"/>
        <v>1.4484243304663672E-12</v>
      </c>
      <c r="R202" s="59">
        <f t="shared" si="191"/>
        <v>290.51637186933755</v>
      </c>
      <c r="S202" s="59">
        <f ca="1">AVERAGE(OFFSET($R$3,0,0,'Données projet'!$E$9+1,1))-AVERAGE(OFFSET($H$3,0,0,'Données projet'!$E$9+1,1))</f>
        <v>456.35333554128226</v>
      </c>
      <c r="T202" s="59">
        <f t="shared" si="204"/>
        <v>296.4517290984877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19.395202038810321</v>
      </c>
      <c r="AA202" s="21">
        <f>EXP(-LN(2)/25)*AA201+(1-EXP(-LN(2)/25))/(LN(2)/25)*Calculateur!V202*Calculateur!X202*VLOOKUP('Données projet'!$B$9,Paramètres!$A$1:$I$89,3,0)*0.475*44/12</f>
        <v>2.1233095887171314</v>
      </c>
      <c r="AB202" s="21">
        <f>EXP(-LN(2)/2)*AB201+(1-EXP(-LN(2)/2))/(LN(2)/2)*V202*Y202*VLOOKUP('Données projet'!$B$9,Paramètres!$A$1:$I$89,3,0)*0.475*44/12</f>
        <v>7.4590932845913393E-14</v>
      </c>
      <c r="AC202" s="22">
        <f t="shared" si="163"/>
        <v>21.518511627527527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408.246209980743</v>
      </c>
      <c r="AO202" s="59">
        <f t="shared" si="205"/>
        <v>394.10236303013903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5.4071645553392784</v>
      </c>
      <c r="AV202" s="21">
        <f>EXP(-LN(2)/25)*AV201+(1-EXP(-LN(2)/25))/(LN(2)/25)*Calculateur!AQ202*Calculateur!AS202*VLOOKUP('Données projet'!$B$10,Paramètres!$A$1:$I$89,3,0)*0.475*44/12</f>
        <v>2.0798567581240888</v>
      </c>
      <c r="AW202" s="21">
        <f>EXP(-LN(2)/2)*AW201+(1-EXP(-LN(2)/2))/(LN(2)/2)*AQ202*AT202*VLOOKUP('Données projet'!$B$10,Paramètres!$A$1:$I$89,3,0)*0.475*44/12</f>
        <v>8.4074843111366999E-17</v>
      </c>
      <c r="AX202" s="21">
        <f t="shared" si="166"/>
        <v>7.4870213134633676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-2.8421709430404007E-13</v>
      </c>
      <c r="BE202" s="13">
        <f>BD202*VLOOKUP('Données projet'!$B$11,Paramètres!$A$1:$I$89,3,0)*VLOOKUP('Données projet'!$B$11,Paramètres!$A$1:$I$89,5,0)</f>
        <v>-2.8819613362429665E-13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580.02848304986492</v>
      </c>
      <c r="BJ202" s="59">
        <f t="shared" si="206"/>
        <v>281.68891895586728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115.26654200069802</v>
      </c>
      <c r="BQ202" s="21">
        <f>EXP(-LN(2)/25)*BQ201+(1-EXP(-LN(2)/25))/(LN(2)/25)*Calculateur!BL202*Calculateur!BN202*VLOOKUP('Données projet'!$B$11,Paramètres!$A$1:$I$89,3,0)*0.475*44/12</f>
        <v>34.105684145482563</v>
      </c>
      <c r="BR202" s="21">
        <f>EXP(-LN(2)/2)*BR201+(1-EXP(-LN(2)/2))/(LN(2)/2)*BL202*BO202*VLOOKUP('Données projet'!$B$11,Paramètres!$A$1:$I$89,3,0)*0.475*44/12</f>
        <v>0.43355106117090386</v>
      </c>
      <c r="BS202" s="22">
        <f t="shared" si="169"/>
        <v>149.8057772073515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4.4337866711430253E-14</v>
      </c>
      <c r="CA202" s="13">
        <f t="shared" si="170"/>
        <v>7.3222115536967035E-13</v>
      </c>
      <c r="CB202" s="20">
        <f t="shared" si="171"/>
        <v>1.3525069634579169E-12</v>
      </c>
      <c r="CC202" s="59">
        <f t="shared" si="195"/>
        <v>290.51637186933749</v>
      </c>
      <c r="CD202" s="59">
        <f ca="1">AVERAGE(OFFSET($CC$3,0,0,'Données projet'!$E$12+1,1))-AVERAGE(OFFSET($H$3,0,0,'Données projet'!$E$12+1,1))</f>
        <v>308.85018589589453</v>
      </c>
      <c r="CE202" s="59">
        <f t="shared" si="207"/>
        <v>302.59481222418219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3.2759910165354715</v>
      </c>
      <c r="CL202" s="21">
        <f>EXP(-LN(2)/25)*CL201+(1-EXP(-LN(2)/25))/(LN(2)/25)*Calculateur!CG202*Calculateur!CI202*VLOOKUP('Données projet'!$B$12,Paramètres!$A$1:$I$89,3,0)*0.475*44/12</f>
        <v>1.151716139617244</v>
      </c>
      <c r="CM202" s="21">
        <f>EXP(-LN(2)/2)*CM201+(1-EXP(-LN(2)/2))/(LN(2)/2)*CG202*CJ202*VLOOKUP('Données projet'!$B$12,Paramètres!$A$1:$I$89,3,0)*0.475*44/12</f>
        <v>1.6467952667016575E-18</v>
      </c>
      <c r="CN202" s="22">
        <f t="shared" si="172"/>
        <v>4.4277071561527155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2.2737367544323206E-13</v>
      </c>
      <c r="CU202" s="17">
        <f>CT202*VLOOKUP('Données projet'!$B$13,Paramètres!$A$1:$I$89,3,0)*VLOOKUP('Données projet'!$B$13,Paramètres!$A$1:$I$89,5,0)</f>
        <v>1.5252226148732008E-13</v>
      </c>
      <c r="CV202" s="13">
        <f t="shared" si="173"/>
        <v>2.1814502464536512E-12</v>
      </c>
      <c r="CW202" s="20">
        <f t="shared" si="174"/>
        <v>4.0650021179971913E-12</v>
      </c>
      <c r="CX202" s="59">
        <f t="shared" si="196"/>
        <v>290.51637186934022</v>
      </c>
      <c r="CY202" s="59">
        <f ca="1">AVERAGE(OFFSET($CX$3,0,0,'Données projet'!$E$13+1,1))-AVERAGE(OFFSET($H$3,0,0,'Données projet'!$E$13+1,1))</f>
        <v>335.73816489539837</v>
      </c>
      <c r="CZ202" s="59">
        <f t="shared" si="208"/>
        <v>254.09787950201044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6.4281546673001051</v>
      </c>
      <c r="DG202" s="21">
        <f>EXP(-LN(2)/25)*DG201+(1-EXP(-LN(2)/25))/(LN(2)/25)*Calculateur!DB202*Calculateur!DD202*VLOOKUP('Données projet'!$B$13,Paramètres!$A$1:$I$89,3,0)*0.475*44/12</f>
        <v>3.2146045780512589</v>
      </c>
      <c r="DH202" s="21">
        <f>EXP(-LN(2)/2)*DH201+(1-EXP(-LN(2)/2))/(LN(2)/2)*DB202*DE202*VLOOKUP('Données projet'!$B$13,Paramètres!$A$1:$I$89,3,0)*0.475*44/12</f>
        <v>1.9677407803363638E-12</v>
      </c>
      <c r="DI202" s="22">
        <f t="shared" si="175"/>
        <v>9.6427592453533322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2.5579538487363607E-13</v>
      </c>
      <c r="DP202" s="17">
        <f>DO202*VLOOKUP('Données projet'!$B$14,Paramètres!$A$1:$I$89,3,0)*VLOOKUP('Données projet'!$B$14,Paramètres!$A$1:$I$89,5,0)</f>
        <v>2.4740529624978082E-13</v>
      </c>
      <c r="DQ202" s="13">
        <f t="shared" si="176"/>
        <v>3.3447853361996459E-12</v>
      </c>
      <c r="DR202" s="20">
        <f t="shared" si="177"/>
        <v>6.2563986848494188E-12</v>
      </c>
      <c r="DS202" s="59">
        <f t="shared" si="197"/>
        <v>290.51637186934238</v>
      </c>
      <c r="DT202" s="59">
        <f ca="1">AVERAGE(OFFSET($DS$3,0,0,'Données projet'!$E$14+1,1))-AVERAGE(OFFSET($H$3,0,0,'Données projet'!$E$14+1,1))</f>
        <v>493.03862850474161</v>
      </c>
      <c r="DU202" s="59">
        <f t="shared" si="209"/>
        <v>312.51819065560528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30.793187284650344</v>
      </c>
      <c r="EB202" s="21">
        <f>EXP(-LN(2)/25)*EB201+(1-EXP(-LN(2)/25))/(LN(2)/25)*Calculateur!DW202*Calculateur!DY202*VLOOKUP('Données projet'!$B$14,Paramètres!$A$1:$I$89,3,0)*0.475*44/12</f>
        <v>3.7148936185569532</v>
      </c>
      <c r="EC202" s="21">
        <f>EXP(-LN(2)/2)*EC201+(1-EXP(-LN(2)/2))/(LN(2)/2)*DW202*DZ202*VLOOKUP('Données projet'!$B$14,Paramètres!$A$1:$I$89,3,0)*0.475*44/12</f>
        <v>2.9959019988586056E-10</v>
      </c>
      <c r="ED202" s="22">
        <f t="shared" si="178"/>
        <v>34.508080903506894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2.5579538487363607E-13</v>
      </c>
      <c r="EK202" s="17">
        <f>EJ202*VLOOKUP('Données projet'!$B$15,Paramètres!$A$1:$I$89,3,0)*VLOOKUP('Données projet'!$B$15,Paramètres!$A$1:$I$89,5,0)</f>
        <v>2.7533815227798186E-13</v>
      </c>
      <c r="EL202" s="13">
        <f t="shared" si="179"/>
        <v>3.6763598146902537E-12</v>
      </c>
      <c r="EM202" s="20">
        <f t="shared" si="180"/>
        <v>6.88254062580301E-12</v>
      </c>
      <c r="EN202" s="59">
        <f t="shared" si="198"/>
        <v>290.516371869343</v>
      </c>
      <c r="EO202" s="59">
        <f ca="1">AVERAGE(OFFSET($EN$3,0,0,'Données projet'!$E$15+1,1))-AVERAGE(OFFSET($H$3,0,0,'Données projet'!$E$15+1,1))</f>
        <v>539.72194201710272</v>
      </c>
      <c r="EP202" s="59">
        <f t="shared" si="210"/>
        <v>340.76505385159362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34.269837461949571</v>
      </c>
      <c r="EW202" s="21">
        <f>EXP(-LN(2)/25)*EW201+(1-EXP(-LN(2)/25))/(LN(2)/25)*Calculateur!ER202*Calculateur!ET202*VLOOKUP('Données projet'!$B$15,Paramètres!$A$1:$I$89,3,0)*0.475*44/12</f>
        <v>4.1343170916198311</v>
      </c>
      <c r="EX202" s="21">
        <f>EXP(-LN(2)/2)*EX201+(1-EXP(-LN(2)/2))/(LN(2)/2)*ER202*EU202*VLOOKUP('Données projet'!$B$15,Paramètres!$A$1:$I$89,3,0)*0.475*44/12</f>
        <v>3.3341489987297334E-10</v>
      </c>
      <c r="EY202" s="22">
        <f t="shared" si="181"/>
        <v>38.404154553902814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>
        <f>FE202*VLOOKUP('Données projet'!$B$16,Paramètres!$A$1:$I$89,3,0)*VLOOKUP('Données projet'!$B$16,Paramètres!$A$1:$I$89,5,0)</f>
        <v>0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383.47860767209028</v>
      </c>
      <c r="FK202" s="59">
        <f t="shared" si="211"/>
        <v>370.49129421395628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5.0209385156721824</v>
      </c>
      <c r="FR202" s="21">
        <f>EXP(-LN(2)/25)*FR201+(1-EXP(-LN(2)/25))/(LN(2)/25)*Calculateur!FM202*Calculateur!FO202*VLOOKUP('Données projet'!$B$16,Paramètres!$A$1:$I$89,3,0)*0.475*44/12</f>
        <v>1.931295561115224</v>
      </c>
      <c r="FS202" s="21">
        <f>EXP(-LN(2)/2)*FS201+(1-EXP(-LN(2)/2))/(LN(2)/2)*FM202*FP202*VLOOKUP('Données projet'!$B$16,Paramètres!$A$1:$I$89,3,0)*0.475*44/12</f>
        <v>7.8069497174841478E-17</v>
      </c>
      <c r="FT202" s="22">
        <f t="shared" si="184"/>
        <v>6.9522340767874065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-2.8421709430404007E-13</v>
      </c>
      <c r="GA202" s="17">
        <f>FZ202*VLOOKUP('Données projet'!$B$17,Paramètres!$A$1:$I$89,3,0)*VLOOKUP('Données projet'!$B$17,Paramètres!$A$1:$I$89,5,0)</f>
        <v>-3.2366642699344083E-13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640.05156427113661</v>
      </c>
      <c r="GF202" s="59">
        <f t="shared" si="212"/>
        <v>308.77220155372902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129.45319332386083</v>
      </c>
      <c r="GM202" s="21">
        <f>EXP(-LN(2)/25)*GM201+(1-EXP(-LN(2)/25))/(LN(2)/25)*Calculateur!GH202*Calculateur!GJ202*VLOOKUP('Données projet'!$B$17,Paramètres!$A$1:$I$89,3,0)*0.475*44/12</f>
        <v>38.303306809541951</v>
      </c>
      <c r="GN202" s="21">
        <f>EXP(-LN(2)/2)*GN201+(1-EXP(-LN(2)/2))/(LN(2)/2)*GH202*GK202*VLOOKUP('Données projet'!$B$17,Paramètres!$A$1:$I$89,3,0)*0.475*44/12</f>
        <v>0.48691119177655356</v>
      </c>
      <c r="GO202" s="21">
        <f t="shared" si="187"/>
        <v>168.24341132517932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4.7884896048344674E-14</v>
      </c>
      <c r="P203" s="13">
        <f t="shared" si="203"/>
        <v>7.8374629847779921E-13</v>
      </c>
      <c r="Q203" s="20">
        <f t="shared" si="162"/>
        <v>1.4484243304663672E-12</v>
      </c>
      <c r="R203" s="59">
        <f t="shared" si="191"/>
        <v>290.56523985295553</v>
      </c>
      <c r="S203" s="59">
        <f ca="1">AVERAGE(OFFSET($R$3,0,0,'Données projet'!$E$9+1,1))-AVERAGE(OFFSET($H$3,0,0,'Données projet'!$E$9+1,1))</f>
        <v>456.35333554128226</v>
      </c>
      <c r="T203" s="59">
        <f t="shared" si="204"/>
        <v>296.4517290984877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19.014873956734387</v>
      </c>
      <c r="AA203" s="21">
        <f>EXP(-LN(2)/25)*AA202+(1-EXP(-LN(2)/25))/(LN(2)/25)*Calculateur!V203*Calculateur!X203*VLOOKUP('Données projet'!$B$9,Paramètres!$A$1:$I$89,3,0)*0.475*44/12</f>
        <v>2.0652475763536629</v>
      </c>
      <c r="AB203" s="21">
        <f>EXP(-LN(2)/2)*AB202+(1-EXP(-LN(2)/2))/(LN(2)/2)*V203*Y203*VLOOKUP('Données projet'!$B$9,Paramètres!$A$1:$I$89,3,0)*0.475*44/12</f>
        <v>5.2743754430375743E-14</v>
      </c>
      <c r="AC203" s="22">
        <f t="shared" si="163"/>
        <v>21.080121533088104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408.246209980743</v>
      </c>
      <c r="AO203" s="59">
        <f t="shared" si="205"/>
        <v>394.10236303013903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5.301133356453799</v>
      </c>
      <c r="AV203" s="21">
        <f>EXP(-LN(2)/25)*AV202+(1-EXP(-LN(2)/25))/(LN(2)/25)*Calculateur!AQ203*Calculateur!AS203*VLOOKUP('Données projet'!$B$10,Paramètres!$A$1:$I$89,3,0)*0.475*44/12</f>
        <v>2.0229829656982723</v>
      </c>
      <c r="AW203" s="21">
        <f>EXP(-LN(2)/2)*AW202+(1-EXP(-LN(2)/2))/(LN(2)/2)*AQ203*AT203*VLOOKUP('Données projet'!$B$10,Paramètres!$A$1:$I$89,3,0)*0.475*44/12</f>
        <v>5.9449891691242696E-17</v>
      </c>
      <c r="AX203" s="21">
        <f t="shared" si="166"/>
        <v>7.3241163221520713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-2.8421709430404007E-13</v>
      </c>
      <c r="BE203" s="13">
        <f>BD203*VLOOKUP('Données projet'!$B$11,Paramètres!$A$1:$I$89,3,0)*VLOOKUP('Données projet'!$B$11,Paramètres!$A$1:$I$89,5,0)</f>
        <v>-2.8819613362429665E-13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580.02848304986492</v>
      </c>
      <c r="BJ203" s="59">
        <f t="shared" si="206"/>
        <v>281.68891895586728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113.00623541771284</v>
      </c>
      <c r="BQ203" s="21">
        <f>EXP(-LN(2)/25)*BQ202+(1-EXP(-LN(2)/25))/(LN(2)/25)*Calculateur!BL203*Calculateur!BN203*VLOOKUP('Données projet'!$B$11,Paramètres!$A$1:$I$89,3,0)*0.475*44/12</f>
        <v>33.173062418984365</v>
      </c>
      <c r="BR203" s="21">
        <f>EXP(-LN(2)/2)*BR202+(1-EXP(-LN(2)/2))/(LN(2)/2)*BL203*BO203*VLOOKUP('Données projet'!$B$11,Paramètres!$A$1:$I$89,3,0)*0.475*44/12</f>
        <v>0.30656689534456982</v>
      </c>
      <c r="BS203" s="22">
        <f t="shared" si="169"/>
        <v>146.48586473204176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4.4337866711430253E-14</v>
      </c>
      <c r="CA203" s="13">
        <f t="shared" si="170"/>
        <v>7.3222115536967035E-13</v>
      </c>
      <c r="CB203" s="20">
        <f t="shared" si="171"/>
        <v>1.3525069634579169E-12</v>
      </c>
      <c r="CC203" s="59">
        <f t="shared" si="195"/>
        <v>290.56523985295547</v>
      </c>
      <c r="CD203" s="59">
        <f ca="1">AVERAGE(OFFSET($CC$3,0,0,'Données projet'!$E$12+1,1))-AVERAGE(OFFSET($H$3,0,0,'Données projet'!$E$12+1,1))</f>
        <v>308.85018589589453</v>
      </c>
      <c r="CE203" s="59">
        <f t="shared" si="207"/>
        <v>302.59481222418219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3.2117508308584295</v>
      </c>
      <c r="CL203" s="21">
        <f>EXP(-LN(2)/25)*CL202+(1-EXP(-LN(2)/25))/(LN(2)/25)*Calculateur!CG203*Calculateur!CI203*VLOOKUP('Données projet'!$B$12,Paramètres!$A$1:$I$89,3,0)*0.475*44/12</f>
        <v>1.1202224012132909</v>
      </c>
      <c r="CM203" s="21">
        <f>EXP(-LN(2)/2)*CM202+(1-EXP(-LN(2)/2))/(LN(2)/2)*CG203*CJ203*VLOOKUP('Données projet'!$B$12,Paramètres!$A$1:$I$89,3,0)*0.475*44/12</f>
        <v>1.1644601003106511E-18</v>
      </c>
      <c r="CN203" s="22">
        <f t="shared" si="172"/>
        <v>4.3319732320717206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2.2737367544323206E-13</v>
      </c>
      <c r="CU203" s="17">
        <f>CT203*VLOOKUP('Données projet'!$B$13,Paramètres!$A$1:$I$89,3,0)*VLOOKUP('Données projet'!$B$13,Paramètres!$A$1:$I$89,5,0)</f>
        <v>1.5252226148732008E-13</v>
      </c>
      <c r="CV203" s="13">
        <f t="shared" si="173"/>
        <v>2.1814502464536512E-12</v>
      </c>
      <c r="CW203" s="20">
        <f t="shared" si="174"/>
        <v>4.0650021179971913E-12</v>
      </c>
      <c r="CX203" s="59">
        <f t="shared" si="196"/>
        <v>290.5652398529582</v>
      </c>
      <c r="CY203" s="59">
        <f ca="1">AVERAGE(OFFSET($CX$3,0,0,'Données projet'!$E$13+1,1))-AVERAGE(OFFSET($H$3,0,0,'Données projet'!$E$13+1,1))</f>
        <v>335.73816489539837</v>
      </c>
      <c r="CZ203" s="59">
        <f t="shared" si="208"/>
        <v>254.09787950201044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6.3021024750615515</v>
      </c>
      <c r="DG203" s="21">
        <f>EXP(-LN(2)/25)*DG202+(1-EXP(-LN(2)/25))/(LN(2)/25)*Calculateur!DB203*Calculateur!DD203*VLOOKUP('Données projet'!$B$13,Paramètres!$A$1:$I$89,3,0)*0.475*44/12</f>
        <v>3.1267010468157395</v>
      </c>
      <c r="DH203" s="21">
        <f>EXP(-LN(2)/2)*DH202+(1-EXP(-LN(2)/2))/(LN(2)/2)*DB203*DE203*VLOOKUP('Données projet'!$B$13,Paramètres!$A$1:$I$89,3,0)*0.475*44/12</f>
        <v>1.3914028493931515E-12</v>
      </c>
      <c r="DI203" s="22">
        <f t="shared" si="175"/>
        <v>9.4288035218786828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2.5579538487363607E-13</v>
      </c>
      <c r="DP203" s="17">
        <f>DO203*VLOOKUP('Données projet'!$B$14,Paramètres!$A$1:$I$89,3,0)*VLOOKUP('Données projet'!$B$14,Paramètres!$A$1:$I$89,5,0)</f>
        <v>2.4740529624978082E-13</v>
      </c>
      <c r="DQ203" s="13">
        <f t="shared" si="176"/>
        <v>3.3447853361996459E-12</v>
      </c>
      <c r="DR203" s="20">
        <f t="shared" si="177"/>
        <v>6.2563986848494188E-12</v>
      </c>
      <c r="DS203" s="59">
        <f t="shared" si="197"/>
        <v>290.56523985296036</v>
      </c>
      <c r="DT203" s="59">
        <f ca="1">AVERAGE(OFFSET($DS$3,0,0,'Données projet'!$E$14+1,1))-AVERAGE(OFFSET($H$3,0,0,'Données projet'!$E$14+1,1))</f>
        <v>493.03862850474161</v>
      </c>
      <c r="DU203" s="59">
        <f t="shared" si="209"/>
        <v>312.51819065560528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30.189351663988027</v>
      </c>
      <c r="EB203" s="21">
        <f>EXP(-LN(2)/25)*EB202+(1-EXP(-LN(2)/25))/(LN(2)/25)*Calculateur!DW203*Calculateur!DY203*VLOOKUP('Données projet'!$B$14,Paramètres!$A$1:$I$89,3,0)*0.475*44/12</f>
        <v>3.6133096571997485</v>
      </c>
      <c r="EC203" s="21">
        <f>EXP(-LN(2)/2)*EC202+(1-EXP(-LN(2)/2))/(LN(2)/2)*DW203*DZ203*VLOOKUP('Données projet'!$B$14,Paramètres!$A$1:$I$89,3,0)*0.475*44/12</f>
        <v>2.1184226191632524E-10</v>
      </c>
      <c r="ED203" s="22">
        <f t="shared" si="178"/>
        <v>33.802661321399619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2.5579538487363607E-13</v>
      </c>
      <c r="EK203" s="17">
        <f>EJ203*VLOOKUP('Données projet'!$B$15,Paramètres!$A$1:$I$89,3,0)*VLOOKUP('Données projet'!$B$15,Paramètres!$A$1:$I$89,5,0)</f>
        <v>2.7533815227798186E-13</v>
      </c>
      <c r="EL203" s="13">
        <f t="shared" si="179"/>
        <v>3.6763598146902537E-12</v>
      </c>
      <c r="EM203" s="20">
        <f t="shared" si="180"/>
        <v>6.88254062580301E-12</v>
      </c>
      <c r="EN203" s="59">
        <f t="shared" si="198"/>
        <v>290.56523985296099</v>
      </c>
      <c r="EO203" s="59">
        <f ca="1">AVERAGE(OFFSET($EN$3,0,0,'Données projet'!$E$15+1,1))-AVERAGE(OFFSET($H$3,0,0,'Données projet'!$E$15+1,1))</f>
        <v>539.72194201710272</v>
      </c>
      <c r="EP203" s="59">
        <f t="shared" si="210"/>
        <v>340.76505385159362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33.59782685185764</v>
      </c>
      <c r="EW203" s="21">
        <f>EXP(-LN(2)/25)*EW202+(1-EXP(-LN(2)/25))/(LN(2)/25)*Calculateur!ER203*Calculateur!ET203*VLOOKUP('Données projet'!$B$15,Paramètres!$A$1:$I$89,3,0)*0.475*44/12</f>
        <v>4.0212639733352002</v>
      </c>
      <c r="EX203" s="21">
        <f>EXP(-LN(2)/2)*EX202+(1-EXP(-LN(2)/2))/(LN(2)/2)*ER203*EU203*VLOOKUP('Données projet'!$B$15,Paramètres!$A$1:$I$89,3,0)*0.475*44/12</f>
        <v>2.3575993664881321E-10</v>
      </c>
      <c r="EY203" s="22">
        <f t="shared" si="181"/>
        <v>37.6190908254286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>
        <f>FE203*VLOOKUP('Données projet'!$B$16,Paramètres!$A$1:$I$89,3,0)*VLOOKUP('Données projet'!$B$16,Paramètres!$A$1:$I$89,5,0)</f>
        <v>0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383.47860767209028</v>
      </c>
      <c r="FK203" s="59">
        <f t="shared" si="211"/>
        <v>370.49129421395628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4.922480973849952</v>
      </c>
      <c r="FR203" s="21">
        <f>EXP(-LN(2)/25)*FR202+(1-EXP(-LN(2)/25))/(LN(2)/25)*Calculateur!FM203*Calculateur!FO203*VLOOKUP('Données projet'!$B$16,Paramètres!$A$1:$I$89,3,0)*0.475*44/12</f>
        <v>1.8784841824341088</v>
      </c>
      <c r="FS203" s="21">
        <f>EXP(-LN(2)/2)*FS202+(1-EXP(-LN(2)/2))/(LN(2)/2)*FM203*FP203*VLOOKUP('Données projet'!$B$16,Paramètres!$A$1:$I$89,3,0)*0.475*44/12</f>
        <v>5.5203470856154426E-17</v>
      </c>
      <c r="FT203" s="22">
        <f t="shared" si="184"/>
        <v>6.800965156284061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-2.8421709430404007E-13</v>
      </c>
      <c r="GA203" s="17">
        <f>FZ203*VLOOKUP('Données projet'!$B$17,Paramètres!$A$1:$I$89,3,0)*VLOOKUP('Données projet'!$B$17,Paramètres!$A$1:$I$89,5,0)</f>
        <v>-3.2366642699344083E-13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640.05156427113661</v>
      </c>
      <c r="GF203" s="59">
        <f t="shared" si="212"/>
        <v>308.77220155372902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126.91469516143133</v>
      </c>
      <c r="GM203" s="21">
        <f>EXP(-LN(2)/25)*GM202+(1-EXP(-LN(2)/25))/(LN(2)/25)*Calculateur!GH203*Calculateur!GJ203*VLOOKUP('Données projet'!$B$17,Paramètres!$A$1:$I$89,3,0)*0.475*44/12</f>
        <v>37.255900870551663</v>
      </c>
      <c r="GN203" s="21">
        <f>EXP(-LN(2)/2)*GN202+(1-EXP(-LN(2)/2))/(LN(2)/2)*GH203*GK203*VLOOKUP('Données projet'!$B$17,Paramètres!$A$1:$I$89,3,0)*0.475*44/12</f>
        <v>0.34429820554082458</v>
      </c>
      <c r="GO203" s="21">
        <f t="shared" si="187"/>
        <v>164.51489423752383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1.175998897105349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1.3208724756526424</v>
      </c>
      <c r="BA205" s="82">
        <f>EXP(LN('Données projet'!B88)/'Données projet'!A88)</f>
        <v>1.0924684246274448</v>
      </c>
      <c r="BV205" s="82">
        <f>EXP(LN('Données projet'!B114)/'Données projet'!A114)</f>
        <v>1.2788040393997409</v>
      </c>
      <c r="CQ205" s="82">
        <f>EXP(LN('Données projet'!B140)/'Données projet'!A140)</f>
        <v>1.2979700365523266</v>
      </c>
      <c r="DL205" s="82">
        <f>EXP(LN('Données projet'!B166)/'Données projet'!A166)</f>
        <v>1.141469227569226</v>
      </c>
      <c r="EG205" s="82">
        <f>EXP(LN('Données projet'!B192)/'Données projet'!A192)</f>
        <v>1.141469227569226</v>
      </c>
      <c r="FB205" s="82">
        <f>EXP(LN('Données projet'!B218)/'Données projet'!A218)</f>
        <v>1.3208724756526424</v>
      </c>
      <c r="FW205" s="82">
        <f>EXP(LN('Données projet'!B244)/'Données projet'!A244)</f>
        <v>1.0924684246274448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312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53125" style="4" bestFit="1" customWidth="1"/>
    <col min="7" max="7" width="11.46484375" style="4" bestFit="1" customWidth="1"/>
    <col min="8" max="8" width="39" style="4" bestFit="1" customWidth="1"/>
    <col min="9" max="9" width="16.531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80" zoomScaleNormal="80" workbookViewId="0">
      <selection activeCell="T25" sqref="T25:V25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5312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4" t="s">
        <v>315</v>
      </c>
      <c r="I4" s="264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pédonculé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3106.2606206153159</v>
      </c>
      <c r="U10" s="178">
        <f>'Données projet'!D9</f>
        <v>3.4322580645161289</v>
      </c>
      <c r="V10" s="177">
        <f>U10*T10</f>
        <v>10661.488065595793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champêtre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1371.2956653254626</v>
      </c>
      <c r="U11" s="178">
        <f>'Données projet'!D10</f>
        <v>1.7161290322580645</v>
      </c>
      <c r="V11" s="177">
        <f t="shared" ref="V11" si="0">U11*T11</f>
        <v>2353.3203030746645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270.72656648937749</v>
      </c>
      <c r="U12" s="178">
        <f>'Données projet'!D11</f>
        <v>0.82374193548387109</v>
      </c>
      <c r="V12" s="177">
        <f t="shared" ref="V12:V19" si="1">U12*T12</f>
        <v>223.00882586686274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1233.0254912665655</v>
      </c>
      <c r="U13" s="178">
        <f>'Données projet'!D12</f>
        <v>1.2699354838709678</v>
      </c>
      <c r="V13" s="177">
        <f t="shared" si="1"/>
        <v>1565.8628238768435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Chêne pédonculé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Tilleul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422.22976786012157</v>
      </c>
      <c r="U14" s="178">
        <f>'Données projet'!D13</f>
        <v>2.1280000000000001</v>
      </c>
      <c r="V14" s="177">
        <f t="shared" si="1"/>
        <v>898.50494600633874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836.70585584645994</v>
      </c>
      <c r="U15" s="178">
        <f>'Données projet'!D14</f>
        <v>0.30890322580645163</v>
      </c>
      <c r="V15" s="177">
        <f t="shared" si="1"/>
        <v>258.46113792211941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836.70585584645994</v>
      </c>
      <c r="U16" s="178">
        <f>'Données projet'!D15</f>
        <v>0.30890322580645163</v>
      </c>
      <c r="V16" s="177">
        <f t="shared" si="1"/>
        <v>258.46113792211941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Noyer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1537.4378761653293</v>
      </c>
      <c r="U17" s="178">
        <f>'Données projet'!D16</f>
        <v>0.54916129032258065</v>
      </c>
      <c r="V17" s="177">
        <f t="shared" si="1"/>
        <v>844.3013678657602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>Chêne vert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270.72656648937749</v>
      </c>
      <c r="U18" s="178">
        <f>'Données projet'!D17</f>
        <v>0.10296774193548389</v>
      </c>
      <c r="V18" s="177">
        <f t="shared" si="1"/>
        <v>27.876103233357842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(4000+25000+25500+11000+7100)/'Données projet'!C5</f>
        <v>6823.3082706766918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3</v>
      </c>
      <c r="I21" s="191">
        <f>13500/3/'Données projet'!C5</f>
        <v>422.93233082706763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4</v>
      </c>
      <c r="I22" s="191">
        <v>422.93233082706763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31</v>
      </c>
      <c r="B23" s="181">
        <f>'Données projet'!D36</f>
        <v>65.77000000000001</v>
      </c>
      <c r="C23" s="193">
        <v>14.625000000000002</v>
      </c>
      <c r="D23" s="182">
        <f>B23*C23</f>
        <v>961.88625000000025</v>
      </c>
      <c r="E23" s="193">
        <v>60</v>
      </c>
      <c r="F23" s="230"/>
      <c r="H23" s="190">
        <v>5</v>
      </c>
      <c r="I23" s="191">
        <v>422.93233082706763</v>
      </c>
      <c r="J23" s="257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-63710.289972832106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37</v>
      </c>
      <c r="B24" s="181">
        <f>'Données projet'!D37</f>
        <v>43.890000000000015</v>
      </c>
      <c r="C24" s="193">
        <v>14.625000000000002</v>
      </c>
      <c r="D24" s="182">
        <f t="shared" ref="D24:D42" si="2">B24*C24</f>
        <v>641.89125000000024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47148.408291713204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44</v>
      </c>
      <c r="B25" s="181">
        <f>'Données projet'!D38</f>
        <v>56.45999999999998</v>
      </c>
      <c r="C25" s="193">
        <v>47.069099999999999</v>
      </c>
      <c r="D25" s="182">
        <f t="shared" si="2"/>
        <v>2657.521385999999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200</v>
      </c>
      <c r="Q25" s="234"/>
      <c r="R25" s="23"/>
      <c r="S25" s="186" t="s">
        <v>266</v>
      </c>
      <c r="T25" s="303">
        <f ca="1">T23-T24</f>
        <v>-110858.69826454531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51</v>
      </c>
      <c r="B26" s="181">
        <f>'Données projet'!D39</f>
        <v>55.400000000000006</v>
      </c>
      <c r="C26" s="193">
        <v>47.069099999999999</v>
      </c>
      <c r="D26" s="182">
        <f t="shared" si="2"/>
        <v>2607.6281400000003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58</v>
      </c>
      <c r="B27" s="181">
        <f>'Données projet'!D40</f>
        <v>53.97</v>
      </c>
      <c r="C27" s="193">
        <v>47.069099999999999</v>
      </c>
      <c r="D27" s="182">
        <f t="shared" si="2"/>
        <v>2540.3193269999997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65</v>
      </c>
      <c r="B28" s="181">
        <f>'Données projet'!D41</f>
        <v>56.629999999999995</v>
      </c>
      <c r="C28" s="193">
        <v>47.069099999999999</v>
      </c>
      <c r="D28" s="182">
        <f t="shared" si="2"/>
        <v>2665.5231329999997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72</v>
      </c>
      <c r="B29" s="181">
        <f>'Données projet'!D42</f>
        <v>66.109999999999957</v>
      </c>
      <c r="C29" s="193">
        <v>47.069099999999999</v>
      </c>
      <c r="D29" s="182">
        <f t="shared" si="2"/>
        <v>3111.7382009999978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81</v>
      </c>
      <c r="B30" s="181">
        <f>'Données projet'!D43</f>
        <v>87.399999999999977</v>
      </c>
      <c r="C30" s="193">
        <v>135.13499999999999</v>
      </c>
      <c r="D30" s="182">
        <f t="shared" si="2"/>
        <v>11810.798999999995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4431.2413808001129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90</v>
      </c>
      <c r="B31" s="181">
        <f>'Données projet'!D44</f>
        <v>88.75</v>
      </c>
      <c r="C31" s="193">
        <v>135.13499999999999</v>
      </c>
      <c r="D31" s="182">
        <f t="shared" si="2"/>
        <v>11993.231249999999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99</v>
      </c>
      <c r="B32" s="181">
        <f>'Données projet'!D45</f>
        <v>226.42000000000002</v>
      </c>
      <c r="C32" s="193">
        <v>190.06649999999999</v>
      </c>
      <c r="D32" s="182">
        <f t="shared" si="2"/>
        <v>43034.856930000002</v>
      </c>
      <c r="E32" s="193">
        <v>60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101</v>
      </c>
      <c r="B33" s="181">
        <f>'Données projet'!D46</f>
        <v>82.539999999999992</v>
      </c>
      <c r="C33" s="193">
        <v>190.06649999999999</v>
      </c>
      <c r="D33" s="182">
        <f t="shared" si="2"/>
        <v>15688.088909999999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103</v>
      </c>
      <c r="B34" s="181">
        <f>'Données projet'!D47</f>
        <v>58.600000000000009</v>
      </c>
      <c r="C34" s="193">
        <v>190.06649999999999</v>
      </c>
      <c r="D34" s="182">
        <f t="shared" si="2"/>
        <v>11137.896900000002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191.38755980861245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106</v>
      </c>
      <c r="B35" s="181">
        <f>'Données projet'!D48</f>
        <v>131.46</v>
      </c>
      <c r="C35" s="193">
        <v>190.06649999999999</v>
      </c>
      <c r="D35" s="182">
        <f t="shared" si="2"/>
        <v>24986.142090000001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183.14599024747605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175.25932081098188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167.71226871864297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160.49020930013683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153.57914765563336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146.96569153649125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140.63702539377158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134.58088554427903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128.78553640600865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123.23974775694609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Erable champêtre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117.93277297315417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112.85432820397527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107.99457244399551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103.34408846315358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98.893864558041756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94.635277089035171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90.560073769411659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86.660357674078142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82.92857193691691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15</v>
      </c>
      <c r="B54" s="181">
        <f>'Données projet'!D62</f>
        <v>32</v>
      </c>
      <c r="C54" s="191">
        <v>13.1625</v>
      </c>
      <c r="D54" s="179">
        <f>B54*C54</f>
        <v>421.2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79.357485107097517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20</v>
      </c>
      <c r="B55" s="181">
        <f>'Données projet'!D63</f>
        <v>35</v>
      </c>
      <c r="C55" s="191">
        <v>13.1625</v>
      </c>
      <c r="D55" s="179">
        <f t="shared" ref="D55:D73" si="4">B55*C55</f>
        <v>460.6875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75.940177135978502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25</v>
      </c>
      <c r="B56" s="181">
        <f>'Données projet'!D64</f>
        <v>35</v>
      </c>
      <c r="C56" s="191">
        <v>13.1625</v>
      </c>
      <c r="D56" s="179">
        <f t="shared" si="4"/>
        <v>460.6875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72.67002596744355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30</v>
      </c>
      <c r="B57" s="181">
        <f>'Données projet'!D65</f>
        <v>35</v>
      </c>
      <c r="C57" s="191">
        <v>21.206250000000001</v>
      </c>
      <c r="D57" s="179">
        <f t="shared" si="4"/>
        <v>742.21875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69.540694705687613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35</v>
      </c>
      <c r="B58" s="181">
        <f>'Données projet'!D66</f>
        <v>35</v>
      </c>
      <c r="C58" s="191">
        <v>21.206250000000001</v>
      </c>
      <c r="D58" s="179">
        <f t="shared" si="4"/>
        <v>742.21875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66.546119335586241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40</v>
      </c>
      <c r="B59" s="181">
        <f>'Données projet'!D67</f>
        <v>35</v>
      </c>
      <c r="C59" s="191">
        <v>21.206250000000001</v>
      </c>
      <c r="D59" s="179">
        <f t="shared" si="4"/>
        <v>742.21875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63.680496971852875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45</v>
      </c>
      <c r="B60" s="181">
        <f>'Données projet'!D68</f>
        <v>24</v>
      </c>
      <c r="C60" s="191">
        <v>21.206250000000001</v>
      </c>
      <c r="D60" s="179">
        <f t="shared" si="4"/>
        <v>508.95000000000005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60.938274614213277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50</v>
      </c>
      <c r="B61" s="181">
        <f>'Données projet'!D69</f>
        <v>19</v>
      </c>
      <c r="C61" s="191">
        <v>21.206250000000001</v>
      </c>
      <c r="D61" s="179">
        <f t="shared" si="4"/>
        <v>402.91874999999999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58.314138386806981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55</v>
      </c>
      <c r="B62" s="181">
        <f>'Données projet'!D70</f>
        <v>16</v>
      </c>
      <c r="C62" s="191">
        <v>37.659374999999997</v>
      </c>
      <c r="D62" s="179">
        <f t="shared" si="4"/>
        <v>602.54999999999995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55.803003240963605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60</v>
      </c>
      <c r="B63" s="181">
        <f>'Données projet'!D71</f>
        <v>14</v>
      </c>
      <c r="C63" s="191">
        <v>37.659374999999997</v>
      </c>
      <c r="D63" s="179">
        <f t="shared" si="4"/>
        <v>527.23124999999993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53.4000031014006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65</v>
      </c>
      <c r="B64" s="181">
        <f>'Données projet'!D72</f>
        <v>13</v>
      </c>
      <c r="C64" s="191">
        <v>37.659374999999997</v>
      </c>
      <c r="D64" s="179">
        <f t="shared" si="4"/>
        <v>489.57187499999998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51.100481436746975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70</v>
      </c>
      <c r="B65" s="181">
        <f>'Données projet'!D73</f>
        <v>13</v>
      </c>
      <c r="C65" s="191">
        <v>37.659374999999997</v>
      </c>
      <c r="D65" s="179">
        <f t="shared" si="4"/>
        <v>489.57187499999998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48.899982236121538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75</v>
      </c>
      <c r="B66" s="181">
        <f>'Données projet'!D74</f>
        <v>12</v>
      </c>
      <c r="C66" s="191">
        <v>37.659374999999997</v>
      </c>
      <c r="D66" s="179">
        <f t="shared" si="4"/>
        <v>451.91249999999997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46.79424137427899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80</v>
      </c>
      <c r="B67" s="181">
        <f>'Données projet'!D75</f>
        <v>330</v>
      </c>
      <c r="C67" s="191">
        <v>37.659374999999997</v>
      </c>
      <c r="D67" s="179">
        <f t="shared" si="4"/>
        <v>12427.593749999998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44.779178348592339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42.850888371858694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41.005634805606419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39.23984191924059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37.550087960995789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35.933098527268697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34.385740217482017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32.905014562183752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31.488052212616033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30.132107380493814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28.834552517218963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27.592873222219101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26.404663370544601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25.267620450281914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24.179541100748253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23.138316842821293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22.141929993130429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21.188449754191801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60</v>
      </c>
      <c r="B85" s="181">
        <f>'Données projet'!D88</f>
        <v>72.87</v>
      </c>
      <c r="C85" s="191">
        <v>14.625000000000002</v>
      </c>
      <c r="D85" s="179">
        <f>B85*C85</f>
        <v>1065.7237500000001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20.276028472910816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69</v>
      </c>
      <c r="B86" s="181">
        <f>'Données projet'!D89</f>
        <v>42.22</v>
      </c>
      <c r="C86" s="191">
        <v>14.625000000000002</v>
      </c>
      <c r="D86" s="179">
        <f t="shared" ref="D86:D104" si="6">B86*C86</f>
        <v>617.46750000000009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19.402898060201739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77</v>
      </c>
      <c r="B87" s="181">
        <f>'Données projet'!D90</f>
        <v>33.950000000000017</v>
      </c>
      <c r="C87" s="191">
        <v>14.625000000000002</v>
      </c>
      <c r="D87" s="179">
        <f t="shared" si="6"/>
        <v>496.5187500000003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18.567366564786358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86</v>
      </c>
      <c r="B88" s="181">
        <f>'Données projet'!D91</f>
        <v>37.54000000000002</v>
      </c>
      <c r="C88" s="191">
        <v>47.069099999999999</v>
      </c>
      <c r="D88" s="179">
        <f t="shared" si="6"/>
        <v>1766.9740140000008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17.7678148945324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95</v>
      </c>
      <c r="B89" s="181">
        <f>'Données projet'!D92</f>
        <v>42.199999999999989</v>
      </c>
      <c r="C89" s="191">
        <v>47.069099999999999</v>
      </c>
      <c r="D89" s="179">
        <f t="shared" si="6"/>
        <v>1986.3160199999995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17.002693678978375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104</v>
      </c>
      <c r="B90" s="181">
        <f>'Données projet'!D93</f>
        <v>39.400000000000006</v>
      </c>
      <c r="C90" s="191">
        <v>47.069099999999999</v>
      </c>
      <c r="D90" s="179">
        <f t="shared" si="6"/>
        <v>1854.5225400000002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16.270520266964954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113</v>
      </c>
      <c r="B91" s="181">
        <f>'Données projet'!D94</f>
        <v>41.639999999999986</v>
      </c>
      <c r="C91" s="191">
        <v>47.069099999999999</v>
      </c>
      <c r="D91" s="179">
        <f t="shared" si="6"/>
        <v>1959.9573239999993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15.569875853554985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122</v>
      </c>
      <c r="B92" s="181">
        <f>'Données projet'!D95</f>
        <v>45.829999999999984</v>
      </c>
      <c r="C92" s="191">
        <v>47.069099999999999</v>
      </c>
      <c r="D92" s="179">
        <f t="shared" si="6"/>
        <v>2157.176852999999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14.899402730674627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132</v>
      </c>
      <c r="B93" s="181">
        <f>'Données projet'!D96</f>
        <v>48.699999999999989</v>
      </c>
      <c r="C93" s="191">
        <v>47.069099999999999</v>
      </c>
      <c r="D93" s="179">
        <f t="shared" si="6"/>
        <v>2292.2651699999992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14.25780165614797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144</v>
      </c>
      <c r="B94" s="181">
        <f>'Données projet'!D97</f>
        <v>60.949999999999989</v>
      </c>
      <c r="C94" s="191">
        <v>47.069099999999999</v>
      </c>
      <c r="D94" s="179">
        <f t="shared" si="6"/>
        <v>2868.8616449999995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13.643829336026764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156</v>
      </c>
      <c r="B95" s="181">
        <f>'Données projet'!D98</f>
        <v>65.69</v>
      </c>
      <c r="C95" s="191">
        <v>135.13499999999999</v>
      </c>
      <c r="D95" s="179">
        <f t="shared" si="6"/>
        <v>8877.0181499999999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13.056296015336622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168</v>
      </c>
      <c r="B96" s="181">
        <f>'Données projet'!D99</f>
        <v>71.37</v>
      </c>
      <c r="C96" s="191">
        <v>135.13499999999999</v>
      </c>
      <c r="D96" s="179">
        <f t="shared" si="6"/>
        <v>9644.5849500000004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12.494063172570927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180</v>
      </c>
      <c r="B97" s="181">
        <f>'Données projet'!D100</f>
        <v>175.59000000000003</v>
      </c>
      <c r="C97" s="191">
        <v>135.13499999999999</v>
      </c>
      <c r="D97" s="179">
        <f t="shared" si="6"/>
        <v>23728.354650000001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11.956041313465009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184</v>
      </c>
      <c r="B98" s="181">
        <f>'Données projet'!D101</f>
        <v>101.19999999999999</v>
      </c>
      <c r="C98" s="191">
        <v>135.13499999999999</v>
      </c>
      <c r="D98" s="179">
        <f t="shared" si="6"/>
        <v>13675.661999999998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11.441187859775129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188</v>
      </c>
      <c r="B99" s="181">
        <f>'Données projet'!D102</f>
        <v>72.180000000000007</v>
      </c>
      <c r="C99" s="191">
        <v>135.13499999999999</v>
      </c>
      <c r="D99" s="179">
        <f t="shared" si="6"/>
        <v>9754.0442999999996</v>
      </c>
      <c r="E99" s="193">
        <v>60</v>
      </c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10.948505128971417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191</v>
      </c>
      <c r="B100" s="181">
        <f>'Données projet'!D103</f>
        <v>145.01</v>
      </c>
      <c r="C100" s="191">
        <v>190.06649999999999</v>
      </c>
      <c r="D100" s="179">
        <f t="shared" si="6"/>
        <v>27561.543164999995</v>
      </c>
      <c r="E100" s="193">
        <v>60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10.477038400929585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10.025874067875202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9.5941378639954102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15</v>
      </c>
      <c r="B116" s="181">
        <f>'Données projet'!D114</f>
        <v>3</v>
      </c>
      <c r="C116" s="191">
        <v>13.1625</v>
      </c>
      <c r="D116" s="179">
        <f>B116*C116</f>
        <v>39.487499999999997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20</v>
      </c>
      <c r="B117" s="181">
        <f>'Données projet'!D115</f>
        <v>25</v>
      </c>
      <c r="C117" s="191">
        <v>13.1625</v>
      </c>
      <c r="D117" s="179">
        <f t="shared" ref="D117:D135" si="8">B117*C117</f>
        <v>329.0625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25</v>
      </c>
      <c r="B118" s="181">
        <f>'Données projet'!D116</f>
        <v>27</v>
      </c>
      <c r="C118" s="191">
        <v>13.1625</v>
      </c>
      <c r="D118" s="179">
        <f t="shared" si="8"/>
        <v>355.38749999999999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31</v>
      </c>
      <c r="B119" s="181">
        <f>'Données projet'!D117</f>
        <v>36</v>
      </c>
      <c r="C119" s="191">
        <v>21.206250000000001</v>
      </c>
      <c r="D119" s="179">
        <f t="shared" si="8"/>
        <v>763.42500000000007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37</v>
      </c>
      <c r="B120" s="181">
        <f>'Données projet'!D118</f>
        <v>36</v>
      </c>
      <c r="C120" s="191">
        <v>21.206250000000001</v>
      </c>
      <c r="D120" s="179">
        <f t="shared" si="8"/>
        <v>763.42500000000007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44</v>
      </c>
      <c r="B121" s="181">
        <f>'Données projet'!D119</f>
        <v>43</v>
      </c>
      <c r="C121" s="191">
        <v>21.206250000000001</v>
      </c>
      <c r="D121" s="179">
        <f t="shared" si="8"/>
        <v>911.86874999999998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52</v>
      </c>
      <c r="B122" s="181">
        <f>'Données projet'!D120</f>
        <v>48</v>
      </c>
      <c r="C122" s="191">
        <v>21.206250000000001</v>
      </c>
      <c r="D122" s="179">
        <f t="shared" si="8"/>
        <v>1017.9000000000001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60</v>
      </c>
      <c r="B123" s="181">
        <f>'Données projet'!D121</f>
        <v>47</v>
      </c>
      <c r="C123" s="191">
        <v>24.862500000000001</v>
      </c>
      <c r="D123" s="179">
        <f t="shared" si="8"/>
        <v>1168.5375000000001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69</v>
      </c>
      <c r="B124" s="181">
        <f>'Données projet'!D122</f>
        <v>328</v>
      </c>
      <c r="C124" s="191">
        <v>26.690625000000001</v>
      </c>
      <c r="D124" s="179">
        <f t="shared" si="8"/>
        <v>8754.5249999999996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>Tilleul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15</v>
      </c>
      <c r="B147" s="175">
        <f>'Données projet'!D140</f>
        <v>10.256410256410255</v>
      </c>
      <c r="C147" s="191">
        <v>13.1625</v>
      </c>
      <c r="D147" s="182">
        <f>B147*C147</f>
        <v>134.99999999999997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20</v>
      </c>
      <c r="B148" s="175">
        <f>'Données projet'!D141</f>
        <v>14.102564102564102</v>
      </c>
      <c r="C148" s="191">
        <v>13.1625</v>
      </c>
      <c r="D148" s="182">
        <f t="shared" ref="D148:D166" si="10">B148*C148</f>
        <v>185.625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25</v>
      </c>
      <c r="B149" s="175">
        <f>'Données projet'!D142</f>
        <v>16.025641025641026</v>
      </c>
      <c r="C149" s="191">
        <v>13.1625</v>
      </c>
      <c r="D149" s="182">
        <f t="shared" si="10"/>
        <v>210.9375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30</v>
      </c>
      <c r="B150" s="175">
        <f>'Données projet'!D143</f>
        <v>16.666666666666668</v>
      </c>
      <c r="C150" s="191">
        <v>13.1625</v>
      </c>
      <c r="D150" s="182">
        <f t="shared" si="10"/>
        <v>219.375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35</v>
      </c>
      <c r="B151" s="175">
        <f>'Données projet'!D144</f>
        <v>17.307692307692307</v>
      </c>
      <c r="C151" s="191">
        <v>13.1625</v>
      </c>
      <c r="D151" s="182">
        <f t="shared" si="10"/>
        <v>227.81249999999997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40</v>
      </c>
      <c r="B152" s="175">
        <f>'Données projet'!D145</f>
        <v>17.307692307692307</v>
      </c>
      <c r="C152" s="191">
        <v>13.1625</v>
      </c>
      <c r="D152" s="182">
        <f t="shared" si="10"/>
        <v>227.81249999999997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45</v>
      </c>
      <c r="B153" s="175">
        <f>'Données projet'!D146</f>
        <v>16.666666666666668</v>
      </c>
      <c r="C153" s="191">
        <v>13.1625</v>
      </c>
      <c r="D153" s="182">
        <f t="shared" si="10"/>
        <v>219.375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50</v>
      </c>
      <c r="B154" s="175">
        <f>'Données projet'!D147</f>
        <v>16.025641025641026</v>
      </c>
      <c r="C154" s="191">
        <v>13.1625</v>
      </c>
      <c r="D154" s="182">
        <f t="shared" si="10"/>
        <v>210.9375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55</v>
      </c>
      <c r="B155" s="175">
        <f>'Données projet'!D148</f>
        <v>15.384615384615383</v>
      </c>
      <c r="C155" s="191">
        <v>13.1625</v>
      </c>
      <c r="D155" s="182">
        <f t="shared" si="10"/>
        <v>202.49999999999997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60</v>
      </c>
      <c r="B156" s="175">
        <f>'Données projet'!D149</f>
        <v>14.743589743589743</v>
      </c>
      <c r="C156" s="191">
        <v>21.206250000000001</v>
      </c>
      <c r="D156" s="182">
        <f t="shared" si="10"/>
        <v>312.65625</v>
      </c>
      <c r="E156" s="193">
        <v>60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65</v>
      </c>
      <c r="B157" s="175">
        <f>'Données projet'!D150</f>
        <v>13.461538461538462</v>
      </c>
      <c r="C157" s="191">
        <v>21.206250000000001</v>
      </c>
      <c r="D157" s="182">
        <f t="shared" si="10"/>
        <v>285.46875</v>
      </c>
      <c r="E157" s="193">
        <v>60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70</v>
      </c>
      <c r="B158" s="175">
        <f>'Données projet'!D151</f>
        <v>14.102564102564102</v>
      </c>
      <c r="C158" s="191">
        <v>21.206250000000001</v>
      </c>
      <c r="D158" s="182">
        <f t="shared" si="10"/>
        <v>299.0625</v>
      </c>
      <c r="E158" s="193">
        <v>60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75</v>
      </c>
      <c r="B159" s="175">
        <f>'Données projet'!D152</f>
        <v>13.461538461538462</v>
      </c>
      <c r="C159" s="191">
        <v>21.206250000000001</v>
      </c>
      <c r="D159" s="182">
        <f t="shared" si="10"/>
        <v>285.46875</v>
      </c>
      <c r="E159" s="193">
        <v>60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80</v>
      </c>
      <c r="B160" s="175">
        <f>'Données projet'!D153</f>
        <v>12.820512820512819</v>
      </c>
      <c r="C160" s="191">
        <v>21.206250000000001</v>
      </c>
      <c r="D160" s="182">
        <f t="shared" si="10"/>
        <v>271.875</v>
      </c>
      <c r="E160" s="193">
        <v>60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85</v>
      </c>
      <c r="B161" s="175">
        <f>'Données projet'!D154</f>
        <v>12.179487179487179</v>
      </c>
      <c r="C161" s="191">
        <v>21.206250000000001</v>
      </c>
      <c r="D161" s="182">
        <f t="shared" si="10"/>
        <v>258.28125</v>
      </c>
      <c r="E161" s="193">
        <v>60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90</v>
      </c>
      <c r="B162" s="175">
        <f>'Données projet'!D155</f>
        <v>12.179487179487179</v>
      </c>
      <c r="C162" s="191">
        <v>21.206250000000001</v>
      </c>
      <c r="D162" s="182">
        <f t="shared" si="10"/>
        <v>258.28125</v>
      </c>
      <c r="E162" s="193">
        <v>60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95</v>
      </c>
      <c r="B163" s="175">
        <f>'Données projet'!D156</f>
        <v>11.538461538461538</v>
      </c>
      <c r="C163" s="191">
        <v>21.206250000000001</v>
      </c>
      <c r="D163" s="182">
        <f t="shared" si="10"/>
        <v>244.6875</v>
      </c>
      <c r="E163" s="193">
        <v>60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100</v>
      </c>
      <c r="B164" s="175">
        <f>'Données projet'!D157</f>
        <v>10.897435897435898</v>
      </c>
      <c r="C164" s="191">
        <v>21.206250000000001</v>
      </c>
      <c r="D164" s="182">
        <f t="shared" si="10"/>
        <v>231.09375000000003</v>
      </c>
      <c r="E164" s="193">
        <v>60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105</v>
      </c>
      <c r="B165" s="175">
        <f>'Données projet'!D158</f>
        <v>10.897435897435898</v>
      </c>
      <c r="C165" s="191">
        <v>21.206250000000001</v>
      </c>
      <c r="D165" s="182">
        <f t="shared" si="10"/>
        <v>231.09375000000003</v>
      </c>
      <c r="E165" s="193">
        <v>60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110</v>
      </c>
      <c r="B166" s="175">
        <f>'Données projet'!D159</f>
        <v>307.05128205128204</v>
      </c>
      <c r="C166" s="191">
        <v>21.206250000000001</v>
      </c>
      <c r="D166" s="182">
        <f t="shared" si="10"/>
        <v>6511.40625</v>
      </c>
      <c r="E166" s="193">
        <v>60</v>
      </c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38</v>
      </c>
      <c r="B178" s="181">
        <f>'Données projet'!D166</f>
        <v>71.569999999999993</v>
      </c>
      <c r="C178" s="193">
        <v>15</v>
      </c>
      <c r="D178" s="179">
        <f>B178*C178</f>
        <v>1073.55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45</v>
      </c>
      <c r="B179" s="181">
        <f>'Données projet'!D167</f>
        <v>41.69</v>
      </c>
      <c r="C179" s="193">
        <v>15</v>
      </c>
      <c r="D179" s="179">
        <f t="shared" ref="D179:D197" si="11">B179*C179</f>
        <v>625.34999999999991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52</v>
      </c>
      <c r="B180" s="181">
        <f>'Données projet'!D168</f>
        <v>44.400000000000006</v>
      </c>
      <c r="C180" s="193">
        <v>28</v>
      </c>
      <c r="D180" s="179">
        <f t="shared" si="11"/>
        <v>1243.2000000000003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59</v>
      </c>
      <c r="B181" s="181">
        <f>'Données projet'!D169</f>
        <v>41.81</v>
      </c>
      <c r="C181" s="193">
        <v>28</v>
      </c>
      <c r="D181" s="179">
        <f t="shared" si="11"/>
        <v>1170.68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67</v>
      </c>
      <c r="B182" s="181">
        <f>'Données projet'!D170</f>
        <v>42.550000000000011</v>
      </c>
      <c r="C182" s="193">
        <v>28</v>
      </c>
      <c r="D182" s="179">
        <f t="shared" si="11"/>
        <v>1191.4000000000003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75</v>
      </c>
      <c r="B183" s="181">
        <f>'Données projet'!D171</f>
        <v>43.519999999999982</v>
      </c>
      <c r="C183" s="193">
        <v>28</v>
      </c>
      <c r="D183" s="179">
        <f t="shared" si="11"/>
        <v>1218.5599999999995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83</v>
      </c>
      <c r="B184" s="181">
        <f>'Données projet'!D172</f>
        <v>49.980000000000018</v>
      </c>
      <c r="C184" s="193">
        <v>28</v>
      </c>
      <c r="D184" s="179">
        <f t="shared" si="11"/>
        <v>1399.4400000000005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93</v>
      </c>
      <c r="B185" s="181">
        <f>'Données projet'!D173</f>
        <v>67.45999999999998</v>
      </c>
      <c r="C185" s="193">
        <v>43</v>
      </c>
      <c r="D185" s="179">
        <f t="shared" si="11"/>
        <v>2900.7799999999993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103</v>
      </c>
      <c r="B186" s="181">
        <f>'Données projet'!D174</f>
        <v>67.759999999999991</v>
      </c>
      <c r="C186" s="193">
        <v>43</v>
      </c>
      <c r="D186" s="179">
        <f t="shared" si="11"/>
        <v>2913.6799999999994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113</v>
      </c>
      <c r="B187" s="181">
        <f>'Données projet'!D175</f>
        <v>68.670000000000016</v>
      </c>
      <c r="C187" s="193">
        <v>43</v>
      </c>
      <c r="D187" s="179">
        <f t="shared" si="11"/>
        <v>2952.8100000000009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123</v>
      </c>
      <c r="B188" s="181">
        <f>'Données projet'!D176</f>
        <v>203.78999999999996</v>
      </c>
      <c r="C188" s="193">
        <v>76</v>
      </c>
      <c r="D188" s="179">
        <f t="shared" si="11"/>
        <v>15488.039999999997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125</v>
      </c>
      <c r="B189" s="181">
        <f>'Données projet'!D177</f>
        <v>70.609999999999985</v>
      </c>
      <c r="C189" s="193">
        <v>76</v>
      </c>
      <c r="D189" s="179">
        <f t="shared" si="11"/>
        <v>5366.3599999999988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127</v>
      </c>
      <c r="B190" s="181">
        <f>'Données projet'!D178</f>
        <v>46.039999999999992</v>
      </c>
      <c r="C190" s="193">
        <v>76</v>
      </c>
      <c r="D190" s="179">
        <f t="shared" si="11"/>
        <v>3499.0399999999995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130</v>
      </c>
      <c r="B191" s="181">
        <f>'Données projet'!D179</f>
        <v>112.75</v>
      </c>
      <c r="C191" s="193">
        <v>76</v>
      </c>
      <c r="D191" s="179">
        <f t="shared" si="11"/>
        <v>8569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38</v>
      </c>
      <c r="B209" s="181">
        <f>'Données projet'!D192</f>
        <v>71.569999999999993</v>
      </c>
      <c r="C209" s="193">
        <v>15</v>
      </c>
      <c r="D209" s="179">
        <f>B209*C209</f>
        <v>1073.55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45</v>
      </c>
      <c r="B210" s="181">
        <f>'Données projet'!D193</f>
        <v>41.69</v>
      </c>
      <c r="C210" s="193">
        <v>15</v>
      </c>
      <c r="D210" s="179">
        <f t="shared" ref="D210:D228" si="12">B210*C210</f>
        <v>625.34999999999991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52</v>
      </c>
      <c r="B211" s="181">
        <f>'Données projet'!D194</f>
        <v>44.400000000000006</v>
      </c>
      <c r="C211" s="193">
        <v>28</v>
      </c>
      <c r="D211" s="179">
        <f t="shared" si="12"/>
        <v>1243.2000000000003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59</v>
      </c>
      <c r="B212" s="181">
        <f>'Données projet'!D195</f>
        <v>41.81</v>
      </c>
      <c r="C212" s="193">
        <v>28</v>
      </c>
      <c r="D212" s="179">
        <f t="shared" si="12"/>
        <v>1170.68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67</v>
      </c>
      <c r="B213" s="181">
        <f>'Données projet'!D196</f>
        <v>42.550000000000011</v>
      </c>
      <c r="C213" s="193">
        <v>28</v>
      </c>
      <c r="D213" s="179">
        <f t="shared" si="12"/>
        <v>1191.4000000000003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75</v>
      </c>
      <c r="B214" s="181">
        <f>'Données projet'!D197</f>
        <v>43.519999999999982</v>
      </c>
      <c r="C214" s="193">
        <v>28</v>
      </c>
      <c r="D214" s="179">
        <f t="shared" si="12"/>
        <v>1218.5599999999995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83</v>
      </c>
      <c r="B215" s="181">
        <f>'Données projet'!D198</f>
        <v>49.980000000000018</v>
      </c>
      <c r="C215" s="193">
        <v>28</v>
      </c>
      <c r="D215" s="179">
        <f t="shared" si="12"/>
        <v>1399.4400000000005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93</v>
      </c>
      <c r="B216" s="181">
        <f>'Données projet'!D199</f>
        <v>67.45999999999998</v>
      </c>
      <c r="C216" s="193">
        <v>43</v>
      </c>
      <c r="D216" s="179">
        <f t="shared" si="12"/>
        <v>2900.7799999999993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103</v>
      </c>
      <c r="B217" s="181">
        <f>'Données projet'!D200</f>
        <v>67.759999999999991</v>
      </c>
      <c r="C217" s="193">
        <v>43</v>
      </c>
      <c r="D217" s="179">
        <f t="shared" si="12"/>
        <v>2913.6799999999994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113</v>
      </c>
      <c r="B218" s="181">
        <f>'Données projet'!D201</f>
        <v>68.670000000000016</v>
      </c>
      <c r="C218" s="193">
        <v>43</v>
      </c>
      <c r="D218" s="179">
        <f t="shared" si="12"/>
        <v>2952.8100000000009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123</v>
      </c>
      <c r="B219" s="181">
        <f>'Données projet'!D202</f>
        <v>203.78999999999996</v>
      </c>
      <c r="C219" s="193">
        <v>76</v>
      </c>
      <c r="D219" s="179">
        <f t="shared" si="12"/>
        <v>15488.039999999997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125</v>
      </c>
      <c r="B220" s="181">
        <f>'Données projet'!D203</f>
        <v>70.609999999999985</v>
      </c>
      <c r="C220" s="193">
        <v>76</v>
      </c>
      <c r="D220" s="179">
        <f t="shared" si="12"/>
        <v>5366.3599999999988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127</v>
      </c>
      <c r="B221" s="181">
        <f>'Données projet'!D204</f>
        <v>46.039999999999992</v>
      </c>
      <c r="C221" s="193">
        <v>76</v>
      </c>
      <c r="D221" s="179">
        <f t="shared" si="12"/>
        <v>3499.0399999999995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130</v>
      </c>
      <c r="B222" s="181">
        <f>'Données projet'!D205</f>
        <v>112.75</v>
      </c>
      <c r="C222" s="193">
        <v>76</v>
      </c>
      <c r="D222" s="179">
        <f t="shared" si="12"/>
        <v>8569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>Noyer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15</v>
      </c>
      <c r="B240" s="181">
        <f>'Données projet'!D218</f>
        <v>32</v>
      </c>
      <c r="C240" s="193">
        <v>13.1625</v>
      </c>
      <c r="D240" s="179">
        <f>B240*C240</f>
        <v>421.2</v>
      </c>
      <c r="E240" s="193">
        <v>60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20</v>
      </c>
      <c r="B241" s="181">
        <f>'Données projet'!D219</f>
        <v>35</v>
      </c>
      <c r="C241" s="193">
        <v>13.1625</v>
      </c>
      <c r="D241" s="179">
        <f t="shared" ref="D241:D259" si="13">B241*C241</f>
        <v>460.6875</v>
      </c>
      <c r="E241" s="193">
        <v>60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25</v>
      </c>
      <c r="B242" s="181">
        <f>'Données projet'!D220</f>
        <v>35</v>
      </c>
      <c r="C242" s="193">
        <v>13.1625</v>
      </c>
      <c r="D242" s="179">
        <f t="shared" si="13"/>
        <v>460.6875</v>
      </c>
      <c r="E242" s="193">
        <v>60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30</v>
      </c>
      <c r="B243" s="181">
        <f>'Données projet'!D221</f>
        <v>35</v>
      </c>
      <c r="C243" s="193">
        <v>21.206250000000001</v>
      </c>
      <c r="D243" s="179">
        <f t="shared" si="13"/>
        <v>742.21875</v>
      </c>
      <c r="E243" s="193">
        <v>60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35</v>
      </c>
      <c r="B244" s="181">
        <f>'Données projet'!D222</f>
        <v>35</v>
      </c>
      <c r="C244" s="193">
        <v>21.206250000000001</v>
      </c>
      <c r="D244" s="179">
        <f t="shared" si="13"/>
        <v>742.21875</v>
      </c>
      <c r="E244" s="193">
        <v>60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40</v>
      </c>
      <c r="B245" s="181">
        <f>'Données projet'!D223</f>
        <v>35</v>
      </c>
      <c r="C245" s="193">
        <v>21.206250000000001</v>
      </c>
      <c r="D245" s="179">
        <f t="shared" si="13"/>
        <v>742.21875</v>
      </c>
      <c r="E245" s="193">
        <v>60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45</v>
      </c>
      <c r="B246" s="181">
        <f>'Données projet'!D224</f>
        <v>24</v>
      </c>
      <c r="C246" s="193">
        <v>21.206250000000001</v>
      </c>
      <c r="D246" s="179">
        <f t="shared" si="13"/>
        <v>508.95000000000005</v>
      </c>
      <c r="E246" s="193">
        <v>60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50</v>
      </c>
      <c r="B247" s="181">
        <f>'Données projet'!D225</f>
        <v>19</v>
      </c>
      <c r="C247" s="193">
        <v>21.206250000000001</v>
      </c>
      <c r="D247" s="179">
        <f t="shared" si="13"/>
        <v>402.91874999999999</v>
      </c>
      <c r="E247" s="193">
        <v>60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55</v>
      </c>
      <c r="B248" s="181">
        <f>'Données projet'!D226</f>
        <v>16</v>
      </c>
      <c r="C248" s="193">
        <v>37.659374999999997</v>
      </c>
      <c r="D248" s="179">
        <f t="shared" si="13"/>
        <v>602.54999999999995</v>
      </c>
      <c r="E248" s="193">
        <v>60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60</v>
      </c>
      <c r="B249" s="181">
        <f>'Données projet'!D227</f>
        <v>14</v>
      </c>
      <c r="C249" s="193">
        <v>37.659374999999997</v>
      </c>
      <c r="D249" s="179">
        <f t="shared" si="13"/>
        <v>527.23124999999993</v>
      </c>
      <c r="E249" s="193">
        <v>60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65</v>
      </c>
      <c r="B250" s="181">
        <f>'Données projet'!D228</f>
        <v>13</v>
      </c>
      <c r="C250" s="193">
        <v>37.659374999999997</v>
      </c>
      <c r="D250" s="179">
        <f t="shared" si="13"/>
        <v>489.57187499999998</v>
      </c>
      <c r="E250" s="193">
        <v>60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70</v>
      </c>
      <c r="B251" s="181">
        <f>'Données projet'!D229</f>
        <v>13</v>
      </c>
      <c r="C251" s="193">
        <v>37.659374999999997</v>
      </c>
      <c r="D251" s="179">
        <f t="shared" si="13"/>
        <v>489.57187499999998</v>
      </c>
      <c r="E251" s="193">
        <v>60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75</v>
      </c>
      <c r="B252" s="181">
        <f>'Données projet'!D230</f>
        <v>12</v>
      </c>
      <c r="C252" s="193">
        <v>37.659374999999997</v>
      </c>
      <c r="D252" s="179">
        <f t="shared" si="13"/>
        <v>451.91249999999997</v>
      </c>
      <c r="E252" s="193">
        <v>60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80</v>
      </c>
      <c r="B253" s="181">
        <f>'Données projet'!D231</f>
        <v>330</v>
      </c>
      <c r="C253" s="193">
        <v>37.659374999999997</v>
      </c>
      <c r="D253" s="179">
        <f t="shared" si="13"/>
        <v>12427.593749999998</v>
      </c>
      <c r="E253" s="193">
        <v>60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>Chêne vert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60</v>
      </c>
      <c r="B271" s="181">
        <f>'Données projet'!D244</f>
        <v>72.87</v>
      </c>
      <c r="C271" s="193">
        <v>14.625000000000002</v>
      </c>
      <c r="D271" s="179">
        <f>B271*C271</f>
        <v>1065.7237500000001</v>
      </c>
      <c r="E271" s="193">
        <v>60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69</v>
      </c>
      <c r="B272" s="181">
        <f>'Données projet'!D245</f>
        <v>42.22</v>
      </c>
      <c r="C272" s="193">
        <v>14.625000000000002</v>
      </c>
      <c r="D272" s="179">
        <f t="shared" ref="D272:D290" si="14">B272*C272</f>
        <v>617.46750000000009</v>
      </c>
      <c r="E272" s="193">
        <v>60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77</v>
      </c>
      <c r="B273" s="181">
        <f>'Données projet'!D246</f>
        <v>33.950000000000017</v>
      </c>
      <c r="C273" s="193">
        <v>14.625000000000002</v>
      </c>
      <c r="D273" s="179">
        <f t="shared" si="14"/>
        <v>496.5187500000003</v>
      </c>
      <c r="E273" s="193">
        <v>60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86</v>
      </c>
      <c r="B274" s="181">
        <f>'Données projet'!D247</f>
        <v>37.54000000000002</v>
      </c>
      <c r="C274" s="193">
        <v>47.069099999999999</v>
      </c>
      <c r="D274" s="179">
        <f t="shared" si="14"/>
        <v>1766.9740140000008</v>
      </c>
      <c r="E274" s="193">
        <v>60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95</v>
      </c>
      <c r="B275" s="181">
        <f>'Données projet'!D248</f>
        <v>42.199999999999989</v>
      </c>
      <c r="C275" s="193">
        <v>47.069099999999999</v>
      </c>
      <c r="D275" s="179">
        <f t="shared" si="14"/>
        <v>1986.3160199999995</v>
      </c>
      <c r="E275" s="193">
        <v>60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104</v>
      </c>
      <c r="B276" s="181">
        <f>'Données projet'!D249</f>
        <v>39.400000000000006</v>
      </c>
      <c r="C276" s="193">
        <v>47.069099999999999</v>
      </c>
      <c r="D276" s="179">
        <f t="shared" si="14"/>
        <v>1854.5225400000002</v>
      </c>
      <c r="E276" s="193">
        <v>60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113</v>
      </c>
      <c r="B277" s="181">
        <f>'Données projet'!D250</f>
        <v>41.639999999999986</v>
      </c>
      <c r="C277" s="193">
        <v>47.069099999999999</v>
      </c>
      <c r="D277" s="179">
        <f t="shared" si="14"/>
        <v>1959.9573239999993</v>
      </c>
      <c r="E277" s="193">
        <v>60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122</v>
      </c>
      <c r="B278" s="181">
        <f>'Données projet'!D251</f>
        <v>45.829999999999984</v>
      </c>
      <c r="C278" s="193">
        <v>47.069099999999999</v>
      </c>
      <c r="D278" s="179">
        <f t="shared" si="14"/>
        <v>2157.176852999999</v>
      </c>
      <c r="E278" s="193">
        <v>60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132</v>
      </c>
      <c r="B279" s="181">
        <f>'Données projet'!D252</f>
        <v>48.699999999999989</v>
      </c>
      <c r="C279" s="193">
        <v>47.069099999999999</v>
      </c>
      <c r="D279" s="179">
        <f t="shared" si="14"/>
        <v>2292.2651699999992</v>
      </c>
      <c r="E279" s="193">
        <v>60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144</v>
      </c>
      <c r="B280" s="181">
        <f>'Données projet'!D253</f>
        <v>60.949999999999989</v>
      </c>
      <c r="C280" s="193">
        <v>47.069099999999999</v>
      </c>
      <c r="D280" s="179">
        <f t="shared" si="14"/>
        <v>2868.8616449999995</v>
      </c>
      <c r="E280" s="193">
        <v>60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156</v>
      </c>
      <c r="B281" s="181">
        <f>'Données projet'!D254</f>
        <v>65.69</v>
      </c>
      <c r="C281" s="193">
        <v>135.13499999999999</v>
      </c>
      <c r="D281" s="179">
        <f t="shared" si="14"/>
        <v>8877.0181499999999</v>
      </c>
      <c r="E281" s="193">
        <v>60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168</v>
      </c>
      <c r="B282" s="181">
        <f>'Données projet'!D255</f>
        <v>71.37</v>
      </c>
      <c r="C282" s="193">
        <v>135.13499999999999</v>
      </c>
      <c r="D282" s="179">
        <f t="shared" si="14"/>
        <v>9644.5849500000004</v>
      </c>
      <c r="E282" s="193">
        <v>60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180</v>
      </c>
      <c r="B283" s="181">
        <f>'Données projet'!D256</f>
        <v>175.59000000000003</v>
      </c>
      <c r="C283" s="193">
        <v>135.13499999999999</v>
      </c>
      <c r="D283" s="179">
        <f t="shared" si="14"/>
        <v>23728.354650000001</v>
      </c>
      <c r="E283" s="193">
        <v>60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184</v>
      </c>
      <c r="B284" s="181">
        <f>'Données projet'!D257</f>
        <v>101.19999999999999</v>
      </c>
      <c r="C284" s="193">
        <v>135.13499999999999</v>
      </c>
      <c r="D284" s="179">
        <f t="shared" si="14"/>
        <v>13675.661999999998</v>
      </c>
      <c r="E284" s="193">
        <v>60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188</v>
      </c>
      <c r="B285" s="181">
        <f>'Données projet'!D258</f>
        <v>72.180000000000007</v>
      </c>
      <c r="C285" s="193">
        <v>135.13499999999999</v>
      </c>
      <c r="D285" s="179">
        <f t="shared" si="14"/>
        <v>9754.0442999999996</v>
      </c>
      <c r="E285" s="193">
        <v>60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191</v>
      </c>
      <c r="B286" s="181">
        <f>'Données projet'!D259</f>
        <v>145.01</v>
      </c>
      <c r="C286" s="193">
        <v>190.06649999999999</v>
      </c>
      <c r="D286" s="179">
        <f t="shared" si="14"/>
        <v>27561.543164999995</v>
      </c>
      <c r="E286" s="193">
        <v>60</v>
      </c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10" sqref="B10:I10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Chêne pédonculé</v>
      </c>
      <c r="B6" s="146">
        <f>'Données projet'!D9</f>
        <v>3.4322580645161289</v>
      </c>
      <c r="C6" s="147">
        <f ca="1">IF(OR('Données projet'!B9="",'Données projet'!C9="",'Données projet'!C9=0%),0,Calculateur!S3)</f>
        <v>456.35333554128226</v>
      </c>
      <c r="D6" s="147">
        <f>IF(OR('Données projet'!B9="",'Données projet'!C9="",'Données projet'!C9=0%),0,Calculateur!T3)</f>
        <v>296.4517290984877</v>
      </c>
      <c r="E6" s="147">
        <f ca="1">MIN(C6,D6)</f>
        <v>296.4517290984877</v>
      </c>
      <c r="F6" s="147">
        <f ca="1">E6*B6</f>
        <v>1017.4988379380352</v>
      </c>
      <c r="G6" s="147">
        <f ca="1">F6*(100%-'Données projet'!$C$24)*(100%-'Données projet'!$C$25)*(100%-'Données projet'!$C$26)*(100%-'Données projet'!$C$27)</f>
        <v>869.96150643702003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869.96150643702003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Erable champêtre</v>
      </c>
      <c r="B7" s="154">
        <f>'Données projet'!D10</f>
        <v>1.7161290322580645</v>
      </c>
      <c r="C7" s="147">
        <f ca="1">IF(OR('Données projet'!B10="",'Données projet'!C10="",'Données projet'!C10=0%),0,Calculateur!AN3)</f>
        <v>408.246209980743</v>
      </c>
      <c r="D7" s="147">
        <f>IF(OR('Données projet'!B10="",'Données projet'!C10="",'Données projet'!C10=0%),0,Calculateur!AO3)</f>
        <v>394.10236303013903</v>
      </c>
      <c r="E7" s="147">
        <f t="shared" ref="E7:E15" ca="1" si="0">MIN(C7,D7)</f>
        <v>394.10236303013903</v>
      </c>
      <c r="F7" s="147">
        <f t="shared" ref="F7:F15" ca="1" si="1">E7*B7</f>
        <v>676.33050687752893</v>
      </c>
      <c r="G7" s="147">
        <f ca="1">F7*(100%-'Données projet'!$C$24)*(100%-'Données projet'!$C$25)*(100%-'Données projet'!$C$26)*(100%-'Données projet'!$C$27)</f>
        <v>578.2625833802872</v>
      </c>
      <c r="H7" s="155">
        <f>IF(OR('Données projet'!B10="",'Données projet'!C10="",'Données projet'!C10=0%),0,AVERAGE(Calculateur!$AX$3:$AX$33)*B7)</f>
        <v>11.377854379306186</v>
      </c>
      <c r="I7" s="149">
        <f>H7*(100%-'Données projet'!$C$24)*(100%-'Données projet'!$C$25)*(100%-'Données projet'!$C$26)*(100%-'Données projet'!$C$27)</f>
        <v>9.7280654943067884</v>
      </c>
      <c r="J7" s="150">
        <f>IF(OR('Données projet'!B10="",'Données projet'!C10="",'Données projet'!C10=0%),0,SUM(Calculateur!$AQ$3:$AQ$33)*VLOOKUP('Données projet'!$B$10,Paramètres!$A$1:$I$89,9,0)*B7)</f>
        <v>58.777419354838706</v>
      </c>
      <c r="K7" s="151">
        <f>J7*(100%-'Données projet'!$C$24)*(100%-'Données projet'!$C$25)*(100%-'Données projet'!$C$26)*(100%-'Données projet'!$C$27)</f>
        <v>50.254693548387095</v>
      </c>
      <c r="L7" s="152">
        <f t="shared" ref="L7:L15" ca="1" si="2">G7+I7+K7</f>
        <v>638.24534242298103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Chêne pubescent</v>
      </c>
      <c r="B8" s="154">
        <f>'Données projet'!D11</f>
        <v>0.82374193548387109</v>
      </c>
      <c r="C8" s="147">
        <f ca="1">IF(OR('Données projet'!B11="",'Données projet'!C11="",'Données projet'!C11=0%),0,Calculateur!BI3)</f>
        <v>580.02848304986492</v>
      </c>
      <c r="D8" s="147">
        <f>IF(OR('Données projet'!B11="",'Données projet'!C11="",'Données projet'!C11=0%),0,Calculateur!BJ3)</f>
        <v>281.68891895586728</v>
      </c>
      <c r="E8" s="147">
        <f t="shared" ca="1" si="0"/>
        <v>281.68891895586728</v>
      </c>
      <c r="F8" s="147">
        <f t="shared" ca="1" si="1"/>
        <v>232.03897530506541</v>
      </c>
      <c r="G8" s="147">
        <f ca="1">F8*(100%-'Données projet'!$C$24)*(100%-'Données projet'!$C$25)*(100%-'Données projet'!$C$26)*(100%-'Données projet'!$C$27)</f>
        <v>198.39332388583091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198.39332388583091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>Merisier</v>
      </c>
      <c r="B9" s="154">
        <f>'Données projet'!D12</f>
        <v>1.2699354838709678</v>
      </c>
      <c r="C9" s="147">
        <f ca="1">IF(OR('Données projet'!B12="",'Données projet'!C12="",'Données projet'!C12=0%),0,Calculateur!CD3)</f>
        <v>308.85018589589453</v>
      </c>
      <c r="D9" s="147">
        <f>IF(OR('Données projet'!B12="",'Données projet'!C12="",'Données projet'!C12=0%),0,Calculateur!CE3)</f>
        <v>302.59481222418219</v>
      </c>
      <c r="E9" s="147">
        <f t="shared" ca="1" si="0"/>
        <v>302.59481222418219</v>
      </c>
      <c r="F9" s="147">
        <f t="shared" ca="1" si="1"/>
        <v>384.27588927876144</v>
      </c>
      <c r="G9" s="147">
        <f ca="1">F9*(100%-'Données projet'!$C$24)*(100%-'Données projet'!$C$25)*(100%-'Données projet'!$C$26)*(100%-'Données projet'!$C$27)</f>
        <v>328.55588533334105</v>
      </c>
      <c r="H9" s="155">
        <f>IF(OR('Données projet'!B12="",'Données projet'!C12="",'Données projet'!C12=0%),0,AVERAGE(Calculateur!$CN$3:$CN$33)*B9)</f>
        <v>2.9439648707840154</v>
      </c>
      <c r="I9" s="149">
        <f>H9*(100%-'Données projet'!$C$24)*(100%-'Données projet'!$C$25)*(100%-'Données projet'!$C$26)*(100%-'Données projet'!$C$27)</f>
        <v>2.5170899645203328</v>
      </c>
      <c r="J9" s="150">
        <f>IF(OR('Données projet'!B12="",'Données projet'!C12="",'Données projet'!C12=0%),0,SUM(Calculateur!$CG$3:$CG$33)*VLOOKUP('Données projet'!$B$12,Paramètres!$A$1:$I$89,9,0)*B9)</f>
        <v>17.461612903225806</v>
      </c>
      <c r="K9" s="151">
        <f>J9*(100%-'Données projet'!$C$24)*(100%-'Données projet'!$C$25)*(100%-'Données projet'!$C$26)*(100%-'Données projet'!$C$27)</f>
        <v>14.929679032258063</v>
      </c>
      <c r="L9" s="152">
        <f t="shared" ca="1" si="2"/>
        <v>346.00265433011941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>Tilleul</v>
      </c>
      <c r="B10" s="154">
        <f>'Données projet'!D13</f>
        <v>2.1280000000000001</v>
      </c>
      <c r="C10" s="147">
        <f ca="1">IF(OR('Données projet'!B13="",'Données projet'!C13="",'Données projet'!C13=0%),0,Calculateur!CY3)</f>
        <v>335.73816489539837</v>
      </c>
      <c r="D10" s="147">
        <f>IF(OR('Données projet'!B13="",'Données projet'!C13="",'Données projet'!C13=0%),0,Calculateur!CZ3)</f>
        <v>254.09787950201044</v>
      </c>
      <c r="E10" s="147">
        <f t="shared" ca="1" si="0"/>
        <v>254.09787950201044</v>
      </c>
      <c r="F10" s="147">
        <f t="shared" ca="1" si="1"/>
        <v>540.7202875802783</v>
      </c>
      <c r="G10" s="147">
        <f ca="1">F10*(100%-'Données projet'!$C$24)*(100%-'Données projet'!$C$25)*(100%-'Données projet'!$C$26)*(100%-'Données projet'!$C$27)</f>
        <v>462.31584588113793</v>
      </c>
      <c r="H10" s="155">
        <f>IF(OR('Données projet'!B13="",'Données projet'!C13="",'Données projet'!C13=0%),0,AVERAGE(Calculateur!$DI$3:$DI$33)*B10)</f>
        <v>4.1202747822534915</v>
      </c>
      <c r="I10" s="149">
        <f>H10*(100%-'Données projet'!$C$24)*(100%-'Données projet'!$C$25)*(100%-'Données projet'!$C$26)*(100%-'Données projet'!$C$27)</f>
        <v>3.522834938826735</v>
      </c>
      <c r="J10" s="150">
        <f>IF(OR('Données projet'!B13="",'Données projet'!C13="",'Données projet'!C13=0%),0,SUM(Calculateur!$DB$3:$DB$33)*VLOOKUP('Données projet'!$B$13,Paramètres!$A$1:$I$89,9,0)*B10)</f>
        <v>30.351282051282055</v>
      </c>
      <c r="K10" s="151">
        <f>J10*(100%-'Données projet'!$C$24)*(100%-'Données projet'!$C$25)*(100%-'Données projet'!$C$26)*(100%-'Données projet'!$C$27)</f>
        <v>25.950346153846155</v>
      </c>
      <c r="L10" s="152">
        <f t="shared" ca="1" si="2"/>
        <v>491.78902697381085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>Alisier torminal</v>
      </c>
      <c r="B11" s="154">
        <f>'Données projet'!D14</f>
        <v>0.30890322580645163</v>
      </c>
      <c r="C11" s="147">
        <f ca="1">IF(OR('Données projet'!B14="",'Données projet'!C14="",'Données projet'!C14=0%),0,Calculateur!DT3)</f>
        <v>493.03862850474161</v>
      </c>
      <c r="D11" s="147">
        <f>IF(OR('Données projet'!B14="",'Données projet'!C14="",'Données projet'!C14=0%),0,Calculateur!DU3)</f>
        <v>312.51819065560528</v>
      </c>
      <c r="E11" s="147">
        <f t="shared" ca="1" si="0"/>
        <v>312.51819065560528</v>
      </c>
      <c r="F11" s="147">
        <f t="shared" ca="1" si="1"/>
        <v>96.537877216712147</v>
      </c>
      <c r="G11" s="147">
        <f ca="1">F11*(100%-'Données projet'!$C$24)*(100%-'Données projet'!$C$25)*(100%-'Données projet'!$C$26)*(100%-'Données projet'!$C$27)</f>
        <v>82.539885020288892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82.539885020288892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>Cormier</v>
      </c>
      <c r="B12" s="154">
        <f>'Données projet'!D15</f>
        <v>0.30890322580645163</v>
      </c>
      <c r="C12" s="147">
        <f ca="1">IF(OR('Données projet'!B15="",'Données projet'!C15="",'Données projet'!C15=0%),0,Calculateur!EO3)</f>
        <v>539.72194201710272</v>
      </c>
      <c r="D12" s="147">
        <f>IF(OR('Données projet'!B15="",'Données projet'!C15="",'Données projet'!C15=0%),0,Calculateur!EP3)</f>
        <v>340.76505385159362</v>
      </c>
      <c r="E12" s="147">
        <f t="shared" ca="1" si="0"/>
        <v>340.76505385159362</v>
      </c>
      <c r="F12" s="147">
        <f t="shared" ca="1" si="1"/>
        <v>105.26342437686647</v>
      </c>
      <c r="G12" s="147">
        <f ca="1">F12*(100%-'Données projet'!$C$24)*(100%-'Données projet'!$C$25)*(100%-'Données projet'!$C$26)*(100%-'Données projet'!$C$27)</f>
        <v>90.000227842220824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90.000227842220824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>Noyer</v>
      </c>
      <c r="B13" s="154">
        <f>'Données projet'!D16</f>
        <v>0.54916129032258065</v>
      </c>
      <c r="C13" s="147">
        <f ca="1">IF(OR('Données projet'!B16="",'Données projet'!C16="",'Données projet'!C16=0%),0,Calculateur!FJ3)</f>
        <v>383.47860767209028</v>
      </c>
      <c r="D13" s="147">
        <f>IF(OR('Données projet'!B16="",'Données projet'!C16="",'Données projet'!C16=0%),0,Calculateur!FK3)</f>
        <v>370.49129421395628</v>
      </c>
      <c r="E13" s="147">
        <f t="shared" ca="1" si="0"/>
        <v>370.49129421395628</v>
      </c>
      <c r="F13" s="147">
        <f t="shared" ca="1" si="1"/>
        <v>203.4594771838191</v>
      </c>
      <c r="G13" s="147">
        <f ca="1">F13*(100%-'Données projet'!$C$24)*(100%-'Données projet'!$C$25)*(100%-'Données projet'!$C$26)*(100%-'Données projet'!$C$27)</f>
        <v>173.95785299216533</v>
      </c>
      <c r="H13" s="155">
        <f>IF(OR('Données projet'!B16="",'Données projet'!C16="",'Données projet'!C16=0%),0,AVERAGE(Calculateur!$FT$3:$FT$33)*B13)</f>
        <v>3.3808481584224093</v>
      </c>
      <c r="I13" s="149">
        <f>H13*(100%-'Données projet'!$C$24)*(100%-'Données projet'!$C$25)*(100%-'Données projet'!$C$26)*(100%-'Données projet'!$C$27)</f>
        <v>2.8906251754511598</v>
      </c>
      <c r="J13" s="150">
        <f>IF(OR('Données projet'!C16="",'Données projet'!C16=0%),0,SUM(Calculateur!$FM$3:$FM$33)*VLOOKUP('Données projet'!$B$16,Paramètres!$A$1:$I$89,9,0)*B13)</f>
        <v>18.808774193548388</v>
      </c>
      <c r="K13" s="151">
        <f>J13*(100%-'Données projet'!$C$24)*(100%-'Données projet'!$C$25)*(100%-'Données projet'!$C$26)*(100%-'Données projet'!$C$27)</f>
        <v>16.081501935483871</v>
      </c>
      <c r="L13" s="152">
        <f t="shared" ca="1" si="2"/>
        <v>192.92998010310038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>Chêne vert</v>
      </c>
      <c r="B14" s="154">
        <f>'Données projet'!D17</f>
        <v>0.10296774193548389</v>
      </c>
      <c r="C14" s="147">
        <f ca="1">IF(OR('Données projet'!B17="",'Données projet'!C17="",'Données projet'!C17=0%),0,Calculateur!GE3)</f>
        <v>640.05156427113661</v>
      </c>
      <c r="D14" s="147">
        <f>IF(OR('Données projet'!B17="",'Données projet'!C17="",'Données projet'!C17=0%),0,Calculateur!GF3)</f>
        <v>308.77220155372902</v>
      </c>
      <c r="E14" s="147">
        <f t="shared" ca="1" si="0"/>
        <v>308.77220155372902</v>
      </c>
      <c r="F14" s="147">
        <f t="shared" ca="1" si="1"/>
        <v>31.793576366435587</v>
      </c>
      <c r="G14" s="147">
        <f ca="1">F14*(100%-'Données projet'!$C$24)*(100%-'Données projet'!$C$25)*(100%-'Données projet'!$C$26)*(100%-'Données projet'!$C$27)</f>
        <v>27.183507793302425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ca="1" si="2"/>
        <v>27.183507793302425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3287.9188521235028</v>
      </c>
      <c r="G16" s="166">
        <f t="shared" ca="1" si="3"/>
        <v>2811.1706185655944</v>
      </c>
      <c r="H16" s="167">
        <f t="shared" si="3"/>
        <v>21.822942190766103</v>
      </c>
      <c r="I16" s="167">
        <f t="shared" si="3"/>
        <v>18.658615573105017</v>
      </c>
      <c r="J16" s="168">
        <f t="shared" si="3"/>
        <v>125.39908850289495</v>
      </c>
      <c r="K16" s="168">
        <f t="shared" si="3"/>
        <v>107.21622066997519</v>
      </c>
      <c r="L16" s="169">
        <f t="shared" ca="1" si="3"/>
        <v>2937.0454548086745</v>
      </c>
      <c r="M16" s="258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304" t="s">
        <v>246</v>
      </c>
      <c r="G17" s="305"/>
      <c r="H17" s="305"/>
      <c r="I17" s="305"/>
      <c r="J17" s="305"/>
      <c r="K17" s="305"/>
      <c r="L17" s="30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Chêne pédonculé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Erable champêtre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>Tilleul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>Chêne vert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2379A4C-75C4-49D2-A198-74AC5530D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VAN</vt:lpstr>
      <vt:lpstr>REE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2024-08-21T13:17:24Z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