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PDLB\ZA PONT AVEN (29) Maglaive\Dossier déposé 18-07-2024\"/>
    </mc:Choice>
  </mc:AlternateContent>
  <xr:revisionPtr revIDLastSave="0" documentId="13_ncr:1_{F0A41123-F597-4419-8DB3-B1CCCABA0A55}" xr6:coauthVersionLast="36" xr6:coauthVersionMax="36" xr10:uidLastSave="{00000000-0000-0000-0000-000000000000}"/>
  <bookViews>
    <workbookView xWindow="0" yWindow="0" windowWidth="21576" windowHeight="9336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26" i="2" a="1"/>
  <c r="BC126" i="2" s="1"/>
  <c r="BC114" i="2" a="1"/>
  <c r="BC114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84" i="2" a="1"/>
  <c r="BC84" i="2" s="1"/>
  <c r="BC31" i="2" a="1"/>
  <c r="BC31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43" i="2" l="1" a="1"/>
  <c r="BC143" i="2" s="1"/>
  <c r="BC32" i="2" a="1"/>
  <c r="BC32" i="2" s="1"/>
  <c r="BC65" i="2" a="1"/>
  <c r="BC65" i="2" s="1"/>
  <c r="BC83" i="2" a="1"/>
  <c r="BC83" i="2" s="1"/>
  <c r="BC68" i="2" a="1"/>
  <c r="BC68" i="2" s="1"/>
  <c r="BC58" i="2" a="1"/>
  <c r="BC58" i="2" s="1"/>
  <c r="BC7" i="2" a="1"/>
  <c r="BC7" i="2" s="1"/>
  <c r="BC151" i="2" a="1"/>
  <c r="BC151" i="2" s="1"/>
  <c r="BC185" i="2" a="1"/>
  <c r="BC185" i="2" s="1"/>
  <c r="AH62" i="2" a="1"/>
  <c r="AH62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<sst xmlns="http://schemas.openxmlformats.org/spreadsheetml/2006/main" count="1172" uniqueCount="324">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</sst>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96" sqref="E9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6.49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0.6</v>
      </c>
      <c r="D9" s="36">
        <f t="shared" ref="D9:D18" si="0">C9*$C$5</f>
        <v>3.8940000000000001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164</v>
      </c>
      <c r="C10" s="35">
        <v>0.3</v>
      </c>
      <c r="D10" s="36">
        <f t="shared" si="0"/>
        <v>1.9470000000000001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18</v>
      </c>
      <c r="C11" s="35">
        <v>0.1</v>
      </c>
      <c r="D11" s="36">
        <f t="shared" si="0"/>
        <v>0.64900000000000002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0.99999999999999989</v>
      </c>
      <c r="D19" s="41">
        <f>SUM(D9:D18)</f>
        <v>6.49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13</v>
      </c>
      <c r="B36" s="63">
        <v>75</v>
      </c>
      <c r="C36" s="63">
        <v>1</v>
      </c>
      <c r="D36" s="63">
        <v>15</v>
      </c>
      <c r="E36" s="54">
        <v>0</v>
      </c>
      <c r="F36" s="54">
        <v>0</v>
      </c>
      <c r="G36" s="54">
        <v>1</v>
      </c>
      <c r="H36" s="54">
        <v>0</v>
      </c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292">
        <v>0</v>
      </c>
      <c r="G37" s="54">
        <v>0.7</v>
      </c>
      <c r="H37" s="54">
        <v>0</v>
      </c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>
        <v>0</v>
      </c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237</v>
      </c>
      <c r="C39" s="63">
        <v>4</v>
      </c>
      <c r="D39" s="63">
        <v>0</v>
      </c>
      <c r="E39" s="54">
        <v>0</v>
      </c>
      <c r="F39" s="54">
        <v>0</v>
      </c>
      <c r="G39" s="54">
        <v>0</v>
      </c>
      <c r="H39" s="54">
        <v>0</v>
      </c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>
        <v>0</v>
      </c>
      <c r="G40" s="54">
        <v>0.3</v>
      </c>
      <c r="H40" s="54">
        <v>0</v>
      </c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53">
        <v>115</v>
      </c>
      <c r="C62" s="53">
        <v>1</v>
      </c>
      <c r="D62" s="53">
        <v>0</v>
      </c>
      <c r="E62" s="54"/>
      <c r="F62" s="54"/>
      <c r="G62" s="54">
        <v>1</v>
      </c>
      <c r="H62" s="54"/>
      <c r="I62" s="56">
        <f>IFERROR(B62/A62,"")</f>
        <v>5.75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53">
        <v>180</v>
      </c>
      <c r="C63" s="53">
        <v>2</v>
      </c>
      <c r="D63" s="53">
        <v>0</v>
      </c>
      <c r="E63" s="54">
        <v>0</v>
      </c>
      <c r="F63" s="54">
        <v>0.2</v>
      </c>
      <c r="G63" s="54">
        <v>0.8</v>
      </c>
      <c r="H63" s="54"/>
      <c r="I63" s="52">
        <f>IF(A63&lt;&gt;0,(B63-(B62-D62))/(A63-A62),"")</f>
        <v>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40</v>
      </c>
      <c r="B64" s="53">
        <v>250</v>
      </c>
      <c r="C64" s="53">
        <v>3</v>
      </c>
      <c r="D64" s="53">
        <v>63</v>
      </c>
      <c r="E64" s="54">
        <v>0.4</v>
      </c>
      <c r="F64" s="54">
        <v>0.2</v>
      </c>
      <c r="G64" s="54">
        <v>0.4</v>
      </c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50</v>
      </c>
      <c r="B65" s="53">
        <v>257</v>
      </c>
      <c r="C65" s="53">
        <v>4</v>
      </c>
      <c r="D65" s="53">
        <v>0</v>
      </c>
      <c r="E65" s="54">
        <v>0</v>
      </c>
      <c r="F65" s="54"/>
      <c r="G65" s="54"/>
      <c r="H65" s="54"/>
      <c r="I65" s="52">
        <f>IF(A65&lt;&gt;0,(B65-(B64-D64))/(A65-A64),"")</f>
        <v>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60</v>
      </c>
      <c r="B66" s="53">
        <v>337</v>
      </c>
      <c r="C66" s="53">
        <v>5</v>
      </c>
      <c r="D66" s="53">
        <v>67</v>
      </c>
      <c r="E66" s="54"/>
      <c r="F66" s="54"/>
      <c r="G66" s="54"/>
      <c r="H66" s="54"/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70</v>
      </c>
      <c r="B67" s="53">
        <v>345</v>
      </c>
      <c r="C67" s="53">
        <v>6</v>
      </c>
      <c r="D67" s="53">
        <v>69</v>
      </c>
      <c r="E67" s="54"/>
      <c r="F67" s="54"/>
      <c r="G67" s="54"/>
      <c r="H67" s="54"/>
      <c r="I67" s="52">
        <f t="shared" si="2"/>
        <v>7.5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80</v>
      </c>
      <c r="B68" s="53">
        <v>353</v>
      </c>
      <c r="C68" s="53">
        <v>7</v>
      </c>
      <c r="D68" s="53">
        <v>71</v>
      </c>
      <c r="E68" s="54"/>
      <c r="F68" s="54"/>
      <c r="G68" s="54"/>
      <c r="H68" s="54"/>
      <c r="I68" s="52">
        <f t="shared" si="2"/>
        <v>7.7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90</v>
      </c>
      <c r="B69" s="53">
        <v>365</v>
      </c>
      <c r="C69" s="53">
        <v>8</v>
      </c>
      <c r="D69" s="53">
        <v>73</v>
      </c>
      <c r="E69" s="54"/>
      <c r="F69" s="54"/>
      <c r="G69" s="54"/>
      <c r="H69" s="54"/>
      <c r="I69" s="52">
        <f t="shared" si="2"/>
        <v>8.3000000000000007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100</v>
      </c>
      <c r="B70" s="53">
        <v>375</v>
      </c>
      <c r="C70" s="53">
        <v>9</v>
      </c>
      <c r="D70" s="53">
        <v>375</v>
      </c>
      <c r="E70" s="54"/>
      <c r="F70" s="54"/>
      <c r="G70" s="54"/>
      <c r="H70" s="54"/>
      <c r="I70" s="52">
        <f t="shared" si="2"/>
        <v>8.3000000000000007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Douglas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19</v>
      </c>
      <c r="B88" s="63">
        <v>162</v>
      </c>
      <c r="C88" s="63">
        <v>1</v>
      </c>
      <c r="D88" s="63">
        <v>0</v>
      </c>
      <c r="E88" s="54"/>
      <c r="F88" s="54">
        <v>0.5</v>
      </c>
      <c r="G88" s="54">
        <v>0.5</v>
      </c>
      <c r="H88" s="93"/>
      <c r="I88" s="56">
        <f>IFERROR(B88/A88,"")</f>
        <v>8.526315789473685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335</v>
      </c>
      <c r="C89" s="63">
        <v>2</v>
      </c>
      <c r="D89" s="63">
        <v>54</v>
      </c>
      <c r="E89" s="54">
        <v>0.2</v>
      </c>
      <c r="F89" s="54">
        <v>0.4</v>
      </c>
      <c r="G89" s="54">
        <v>0.4</v>
      </c>
      <c r="H89" s="93"/>
      <c r="I89" s="56">
        <f t="shared" ref="I89:I107" si="3">IF(A89&lt;&gt;0,(B89-(B88-D88))/(A89-A88),"")</f>
        <v>28.833333333333332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v>421</v>
      </c>
      <c r="C90" s="63">
        <v>3</v>
      </c>
      <c r="D90" s="63">
        <v>54</v>
      </c>
      <c r="E90" s="93">
        <v>0.4</v>
      </c>
      <c r="F90" s="93">
        <v>0.3</v>
      </c>
      <c r="G90" s="93">
        <v>0.3</v>
      </c>
      <c r="H90" s="93"/>
      <c r="I90" s="56">
        <f t="shared" si="3"/>
        <v>28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v>505</v>
      </c>
      <c r="C91" s="63">
        <v>4</v>
      </c>
      <c r="D91" s="63">
        <v>69</v>
      </c>
      <c r="E91" s="93"/>
      <c r="F91" s="93"/>
      <c r="G91" s="93"/>
      <c r="H91" s="93"/>
      <c r="I91" s="56">
        <f t="shared" si="3"/>
        <v>27.6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v>564</v>
      </c>
      <c r="C92" s="63">
        <v>5</v>
      </c>
      <c r="D92" s="63">
        <v>72</v>
      </c>
      <c r="E92" s="93"/>
      <c r="F92" s="93"/>
      <c r="G92" s="93"/>
      <c r="H92" s="93"/>
      <c r="I92" s="56">
        <f t="shared" si="3"/>
        <v>25.6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v>606</v>
      </c>
      <c r="C93" s="63">
        <v>6</v>
      </c>
      <c r="D93" s="63">
        <v>66</v>
      </c>
      <c r="E93" s="93"/>
      <c r="F93" s="93"/>
      <c r="G93" s="93"/>
      <c r="H93" s="93"/>
      <c r="I93" s="56">
        <f t="shared" si="3"/>
        <v>22.8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v>629</v>
      </c>
      <c r="C94" s="63">
        <v>7</v>
      </c>
      <c r="D94" s="63">
        <v>48</v>
      </c>
      <c r="E94" s="93"/>
      <c r="F94" s="93"/>
      <c r="G94" s="93"/>
      <c r="H94" s="93"/>
      <c r="I94" s="56">
        <f t="shared" si="3"/>
        <v>17.8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55</v>
      </c>
      <c r="B95" s="63">
        <v>650</v>
      </c>
      <c r="C95" s="63">
        <v>8</v>
      </c>
      <c r="D95" s="63">
        <v>35</v>
      </c>
      <c r="E95" s="93"/>
      <c r="F95" s="93"/>
      <c r="G95" s="93"/>
      <c r="H95" s="93"/>
      <c r="I95" s="56">
        <f t="shared" si="3"/>
        <v>13.8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60</v>
      </c>
      <c r="B96" s="63">
        <v>666</v>
      </c>
      <c r="C96" s="63">
        <v>9</v>
      </c>
      <c r="D96" s="63">
        <v>666</v>
      </c>
      <c r="E96" s="93"/>
      <c r="F96" s="93"/>
      <c r="G96" s="93"/>
      <c r="H96" s="93"/>
      <c r="I96" s="56">
        <f t="shared" si="3"/>
        <v>10.199999999999999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Pin maritime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Cèdre de l'Atlas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Douglas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/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/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/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/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160.81094423216069</v>
      </c>
      <c r="AO3" s="62">
        <f>IF('Données projet'!E10&gt;30,$AM$33-$H$33,LOOKUP('Données projet'!$E$10,$A$3:$A$203,AM3:AM203)-LOOKUP('Données projet'!$E$10,$A$3:$A$203,$H$3:$H$203))</f>
        <v>145.53871436439169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374.67858373761965</v>
      </c>
      <c r="BJ3" s="62">
        <f>IF('Données projet'!E11&gt;30,$BH$33-$H$33,LOOKUP('Données projet'!$E$11,$A$3:$A$203,BH3:BH203)-LOOKUP('Données projet'!$E$11,$A$3:$A$203,$H$3:$H$203))</f>
        <v>468.38066974447543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5.75</v>
      </c>
      <c r="AI4" s="14">
        <f>IF('Données projet'!$A$62&gt;35,AI3+AH4-AQ3,IF(A4&lt;'Données projet'!$A$62,$AF$205^A4,IF(A4='Données projet'!$A$62,'Données projet'!$B$62,AI3+AH4-AQ3)))</f>
        <v>1.2677537154322802</v>
      </c>
      <c r="AJ4" s="14">
        <f>AI4*VLOOKUP('Données projet'!$B$10,Paramètres!$A$1:$I$89,3,0)*VLOOKUP('Données projet'!$B$10,Paramètres!$A$1:$I$89,5,0)</f>
        <v>0.59330873882230706</v>
      </c>
      <c r="AK4" s="14">
        <f>EXP(-1.0587+0.8836*LN(AJ4)+0.284)</f>
        <v>0.29055137246158741</v>
      </c>
      <c r="AL4" s="22">
        <f t="shared" ref="AL4:AL67" si="4">(AJ4+AK4)*0.475*44/12</f>
        <v>1.5393896938194491</v>
      </c>
      <c r="AM4" s="62">
        <f t="shared" ref="AM4:AM67" si="5">AL4+(AD4+AE4)*44/12</f>
        <v>294.87272302715274</v>
      </c>
      <c r="AN4" s="62">
        <f ca="1">AVERAGE(OFFSET($AM$3,0,0,'Données projet'!$E$10+1,1))-AVERAGE(OFFSET($H$3,0,0,'Données projet'!$E$10+1,1))</f>
        <v>160.81094423216069</v>
      </c>
      <c r="AO4" s="62">
        <f>$AO$3</f>
        <v>145.53871436439169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8.526315789473685</v>
      </c>
      <c r="BD4" s="13">
        <f>IF('Données projet'!$A$88&gt;35,BD3+BC4-BL3,IF(A4&lt;'Données projet'!$A$88,$BA$205^A4,IF(A4='Données projet'!$A$88,'Données projet'!$B$88,BD3+BC4-BL3)))</f>
        <v>1.3070441688874561</v>
      </c>
      <c r="BE4" s="14">
        <f>BD4*VLOOKUP('Données projet'!$B$11,Paramètres!$A$1:$I$89,3,0)*VLOOKUP('Données projet'!$B$11,Paramètres!$A$1:$I$89,5,0)</f>
        <v>0.73063769040808801</v>
      </c>
      <c r="BF4" s="14">
        <f>EXP(-1.0587+0.8836*LN(BE4)+0.284)</f>
        <v>0.34923616900555043</v>
      </c>
      <c r="BG4" s="22">
        <f t="shared" ref="BG4:BG67" si="7">(BE4+BF4)*0.475*44/12</f>
        <v>1.8807803051454206</v>
      </c>
      <c r="BH4" s="62">
        <f t="shared" ref="BH4:BH67" si="8">BG4+(AY4+AZ4)*44/12</f>
        <v>295.21411363847875</v>
      </c>
      <c r="BI4" s="62">
        <f ca="1">AVERAGE(OFFSET($BH$3,0,0,'Données projet'!$E$11+1,1))-AVERAGE(OFFSET($H$3,0,0,'Données projet'!$E$11+1,1))</f>
        <v>374.67858373761965</v>
      </c>
      <c r="BJ4" s="62">
        <f>$BJ$3</f>
        <v>468.38066974447543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5.75</v>
      </c>
      <c r="AI5" s="14">
        <f>IF('Données projet'!$A$62&gt;35,AI4+AH5-AQ4,IF(A5&lt;'Données projet'!$A$62,$AF$205^A5,IF(A5='Données projet'!$A$62,'Données projet'!$B$62,AI4+AH5-AQ4)))</f>
        <v>1.6071994829923508</v>
      </c>
      <c r="AJ5" s="14">
        <f>AI5*VLOOKUP('Données projet'!$B$10,Paramètres!$A$1:$I$89,3,0)*VLOOKUP('Données projet'!$B$10,Paramètres!$A$1:$I$89,5,0)</f>
        <v>0.75216935804042018</v>
      </c>
      <c r="AK5" s="14">
        <f t="shared" ref="AK5:AK68" si="35">EXP(-1.0587+0.8836*LN(AJ5)+0.284)</f>
        <v>0.35831464735172275</v>
      </c>
      <c r="AL5" s="22">
        <f t="shared" si="4"/>
        <v>1.9340929760579824</v>
      </c>
      <c r="AM5" s="62">
        <f t="shared" si="5"/>
        <v>295.26742630939128</v>
      </c>
      <c r="AN5" s="62">
        <f ca="1">AVERAGE(OFFSET($AM$3,0,0,'Données projet'!$E$10+1,1))-AVERAGE(OFFSET($H$3,0,0,'Données projet'!$E$10+1,1))</f>
        <v>160.81094423216069</v>
      </c>
      <c r="AO5" s="62">
        <f t="shared" ref="AO5:AO68" si="36">$AO$3</f>
        <v>145.53871436439169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8.526315789473685</v>
      </c>
      <c r="BD5" s="13">
        <f>IF('Données projet'!$A$88&gt;35,BD4+BC5-BL4,IF(A5&lt;'Données projet'!$A$88,$BA$205^A5,IF(A5='Données projet'!$A$88,'Données projet'!$B$88,BD4+BC5-BL4)))</f>
        <v>1.708364459422701</v>
      </c>
      <c r="BE5" s="14">
        <f>BD5*VLOOKUP('Données projet'!$B$11,Paramètres!$A$1:$I$89,3,0)*VLOOKUP('Données projet'!$B$11,Paramètres!$A$1:$I$89,5,0)</f>
        <v>0.95497573281728976</v>
      </c>
      <c r="BF5" s="14">
        <f t="shared" ref="BF5:BF68" si="37">EXP(-1.0587+0.8836*LN(BE5)+0.284)</f>
        <v>0.44245926414263009</v>
      </c>
      <c r="BG5" s="22">
        <f t="shared" si="7"/>
        <v>2.4338659530385267</v>
      </c>
      <c r="BH5" s="62">
        <f t="shared" si="8"/>
        <v>295.76719928637186</v>
      </c>
      <c r="BI5" s="62">
        <f ca="1">AVERAGE(OFFSET($BH$3,0,0,'Données projet'!$E$11+1,1))-AVERAGE(OFFSET($H$3,0,0,'Données projet'!$E$11+1,1))</f>
        <v>374.67858373761965</v>
      </c>
      <c r="BJ5" s="62">
        <f t="shared" ref="BJ5:BJ68" si="38">$BJ$3</f>
        <v>468.38066974447543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5.75</v>
      </c>
      <c r="AI6" s="14">
        <f>IF('Données projet'!$A$62&gt;35,AI5+AH6-AQ5,IF(A6&lt;'Données projet'!$A$62,$AF$205^A6,IF(A6='Données projet'!$A$62,'Données projet'!$B$62,AI5+AH6-AQ5)))</f>
        <v>2.0375331160043926</v>
      </c>
      <c r="AJ6" s="14">
        <f>AI6*VLOOKUP('Données projet'!$B$10,Paramètres!$A$1:$I$89,3,0)*VLOOKUP('Données projet'!$B$10,Paramètres!$A$1:$I$89,5,0)</f>
        <v>0.95356549829005577</v>
      </c>
      <c r="AK6" s="14">
        <f t="shared" si="35"/>
        <v>0.44188187933534279</v>
      </c>
      <c r="AL6" s="22">
        <f t="shared" si="4"/>
        <v>2.4304041826975693</v>
      </c>
      <c r="AM6" s="62">
        <f t="shared" si="5"/>
        <v>295.76373751603086</v>
      </c>
      <c r="AN6" s="62">
        <f ca="1">AVERAGE(OFFSET($AM$3,0,0,'Données projet'!$E$10+1,1))-AVERAGE(OFFSET($H$3,0,0,'Données projet'!$E$10+1,1))</f>
        <v>160.81094423216069</v>
      </c>
      <c r="AO6" s="62">
        <f t="shared" si="36"/>
        <v>145.53871436439169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8.526315789473685</v>
      </c>
      <c r="BD6" s="13">
        <f>IF('Données projet'!$A$88&gt;35,BD5+BC6-BL5,IF(A6&lt;'Données projet'!$A$88,$BA$205^A6,IF(A6='Données projet'!$A$88,'Données projet'!$B$88,BD5+BC6-BL5)))</f>
        <v>2.2329078050230127</v>
      </c>
      <c r="BE6" s="14">
        <f>BD6*VLOOKUP('Données projet'!$B$11,Paramètres!$A$1:$I$89,3,0)*VLOOKUP('Données projet'!$B$11,Paramètres!$A$1:$I$89,5,0)</f>
        <v>1.248195463007864</v>
      </c>
      <c r="BF6" s="14">
        <f t="shared" si="37"/>
        <v>0.56056679634040518</v>
      </c>
      <c r="BG6" s="22">
        <f t="shared" si="7"/>
        <v>3.1502609350315693</v>
      </c>
      <c r="BH6" s="62">
        <f t="shared" si="8"/>
        <v>296.48359426836487</v>
      </c>
      <c r="BI6" s="62">
        <f ca="1">AVERAGE(OFFSET($BH$3,0,0,'Données projet'!$E$11+1,1))-AVERAGE(OFFSET($H$3,0,0,'Données projet'!$E$11+1,1))</f>
        <v>374.67858373761965</v>
      </c>
      <c r="BJ6" s="62">
        <f t="shared" si="38"/>
        <v>468.38066974447543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5.75</v>
      </c>
      <c r="AI7" s="14">
        <f>IF('Données projet'!$A$62&gt;35,AI6+AH7-AQ6,IF(A7&lt;'Données projet'!$A$62,$AF$205^A7,IF(A7='Données projet'!$A$62,'Données projet'!$B$62,AI6+AH7-AQ6)))</f>
        <v>2.5830901781308797</v>
      </c>
      <c r="AJ7" s="14">
        <f>AI7*VLOOKUP('Données projet'!$B$10,Paramètres!$A$1:$I$89,3,0)*VLOOKUP('Données projet'!$B$10,Paramètres!$A$1:$I$89,5,0)</f>
        <v>1.2088862033652517</v>
      </c>
      <c r="AK7" s="14">
        <f t="shared" si="35"/>
        <v>0.54493891535856476</v>
      </c>
      <c r="AL7" s="22">
        <f t="shared" si="4"/>
        <v>3.0545787484439804</v>
      </c>
      <c r="AM7" s="62">
        <f t="shared" si="5"/>
        <v>296.3879120817773</v>
      </c>
      <c r="AN7" s="62">
        <f ca="1">AVERAGE(OFFSET($AM$3,0,0,'Données projet'!$E$10+1,1))-AVERAGE(OFFSET($H$3,0,0,'Données projet'!$E$10+1,1))</f>
        <v>160.81094423216069</v>
      </c>
      <c r="AO7" s="62">
        <f t="shared" si="36"/>
        <v>145.53871436439169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8.526315789473685</v>
      </c>
      <c r="BD7" s="13">
        <f>IF('Données projet'!$A$88&gt;35,BD6+BC7-BL6,IF(A7&lt;'Données projet'!$A$88,$BA$205^A7,IF(A7='Données projet'!$A$88,'Données projet'!$B$88,BD6+BC7-BL6)))</f>
        <v>2.9185091262186176</v>
      </c>
      <c r="BE7" s="14">
        <f>BD7*VLOOKUP('Données projet'!$B$11,Paramètres!$A$1:$I$89,3,0)*VLOOKUP('Données projet'!$B$11,Paramètres!$A$1:$I$89,5,0)</f>
        <v>1.6314466015562072</v>
      </c>
      <c r="BF7" s="14">
        <f t="shared" si="37"/>
        <v>0.71020127416305878</v>
      </c>
      <c r="BG7" s="22">
        <f t="shared" si="7"/>
        <v>4.0783700502110554</v>
      </c>
      <c r="BH7" s="62">
        <f t="shared" si="8"/>
        <v>297.41170338354436</v>
      </c>
      <c r="BI7" s="62">
        <f ca="1">AVERAGE(OFFSET($BH$3,0,0,'Données projet'!$E$11+1,1))-AVERAGE(OFFSET($H$3,0,0,'Données projet'!$E$11+1,1))</f>
        <v>374.67858373761965</v>
      </c>
      <c r="BJ7" s="62">
        <f t="shared" si="38"/>
        <v>468.38066974447543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5.75</v>
      </c>
      <c r="AI8" s="14">
        <f>IF('Données projet'!$A$62&gt;35,AI7+AH8-AQ7,IF(A8&lt;'Données projet'!$A$62,$AF$205^A8,IF(A8='Données projet'!$A$62,'Données projet'!$B$62,AI7+AH8-AQ7)))</f>
        <v>3.2747221706220535</v>
      </c>
      <c r="AJ8" s="14">
        <f>AI8*VLOOKUP('Données projet'!$B$10,Paramètres!$A$1:$I$89,3,0)*VLOOKUP('Données projet'!$B$10,Paramètres!$A$1:$I$89,5,0)</f>
        <v>1.5325699758511209</v>
      </c>
      <c r="AK8" s="14">
        <f t="shared" si="35"/>
        <v>0.67203122680395833</v>
      </c>
      <c r="AL8" s="22">
        <f t="shared" si="4"/>
        <v>3.839680427957596</v>
      </c>
      <c r="AM8" s="62">
        <f t="shared" si="5"/>
        <v>297.17301376129092</v>
      </c>
      <c r="AN8" s="62">
        <f ca="1">AVERAGE(OFFSET($AM$3,0,0,'Données projet'!$E$10+1,1))-AVERAGE(OFFSET($H$3,0,0,'Données projet'!$E$10+1,1))</f>
        <v>160.81094423216069</v>
      </c>
      <c r="AO8" s="62">
        <f t="shared" si="36"/>
        <v>145.53871436439169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8.526315789473685</v>
      </c>
      <c r="BD8" s="13">
        <f>IF('Données projet'!$A$88&gt;35,BD7+BC8-BL7,IF(A8&lt;'Données projet'!$A$88,$BA$205^A8,IF(A8='Données projet'!$A$88,'Données projet'!$B$88,BD7+BC8-BL7)))</f>
        <v>3.8146203352688688</v>
      </c>
      <c r="BE8" s="14">
        <f>BD8*VLOOKUP('Données projet'!$B$11,Paramètres!$A$1:$I$89,3,0)*VLOOKUP('Données projet'!$B$11,Paramètres!$A$1:$I$89,5,0)</f>
        <v>2.1323727674152977</v>
      </c>
      <c r="BF8" s="14">
        <f t="shared" si="37"/>
        <v>0.89977831922200224</v>
      </c>
      <c r="BG8" s="22">
        <f t="shared" si="7"/>
        <v>5.2809964758932972</v>
      </c>
      <c r="BH8" s="62">
        <f t="shared" si="8"/>
        <v>298.6143298092266</v>
      </c>
      <c r="BI8" s="62">
        <f ca="1">AVERAGE(OFFSET($BH$3,0,0,'Données projet'!$E$11+1,1))-AVERAGE(OFFSET($H$3,0,0,'Données projet'!$E$11+1,1))</f>
        <v>374.67858373761965</v>
      </c>
      <c r="BJ8" s="62">
        <f t="shared" si="38"/>
        <v>468.38066974447543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5.75</v>
      </c>
      <c r="AI9" s="14">
        <f>IF('Données projet'!$A$62&gt;35,AI8+AH9-AQ8,IF(A9&lt;'Données projet'!$A$62,$AF$205^A9,IF(A9='Données projet'!$A$62,'Données projet'!$B$62,AI8+AH9-AQ8)))</f>
        <v>4.1515411988145692</v>
      </c>
      <c r="AJ9" s="14">
        <f>AI9*VLOOKUP('Données projet'!$B$10,Paramètres!$A$1:$I$89,3,0)*VLOOKUP('Données projet'!$B$10,Paramètres!$A$1:$I$89,5,0)</f>
        <v>1.9429212810452183</v>
      </c>
      <c r="AK9" s="14">
        <f t="shared" si="35"/>
        <v>0.82876439371643607</v>
      </c>
      <c r="AL9" s="22">
        <f t="shared" si="4"/>
        <v>4.8273525502098815</v>
      </c>
      <c r="AM9" s="62">
        <f t="shared" si="5"/>
        <v>298.16068588354318</v>
      </c>
      <c r="AN9" s="62">
        <f ca="1">AVERAGE(OFFSET($AM$3,0,0,'Données projet'!$E$10+1,1))-AVERAGE(OFFSET($H$3,0,0,'Données projet'!$E$10+1,1))</f>
        <v>160.81094423216069</v>
      </c>
      <c r="AO9" s="62">
        <f t="shared" si="36"/>
        <v>145.53871436439169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8.526315789473685</v>
      </c>
      <c r="BD9" s="13">
        <f>IF('Données projet'!$A$88&gt;35,BD8+BC9-BL8,IF(A9&lt;'Données projet'!$A$88,$BA$205^A9,IF(A9='Données projet'!$A$88,'Données projet'!$B$88,BD8+BC9-BL8)))</f>
        <v>4.9858772657326877</v>
      </c>
      <c r="BE9" s="14">
        <f>BD9*VLOOKUP('Données projet'!$B$11,Paramètres!$A$1:$I$89,3,0)*VLOOKUP('Données projet'!$B$11,Paramètres!$A$1:$I$89,5,0)</f>
        <v>2.7871053915445723</v>
      </c>
      <c r="BF9" s="14">
        <f t="shared" si="37"/>
        <v>1.1399599707787778</v>
      </c>
      <c r="BG9" s="22">
        <f t="shared" si="7"/>
        <v>6.839638839379834</v>
      </c>
      <c r="BH9" s="62">
        <f t="shared" si="8"/>
        <v>300.17297217271317</v>
      </c>
      <c r="BI9" s="62">
        <f ca="1">AVERAGE(OFFSET($BH$3,0,0,'Données projet'!$E$11+1,1))-AVERAGE(OFFSET($H$3,0,0,'Données projet'!$E$11+1,1))</f>
        <v>374.67858373761965</v>
      </c>
      <c r="BJ9" s="62">
        <f t="shared" si="38"/>
        <v>468.38066974447543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5.75</v>
      </c>
      <c r="AI10" s="14">
        <f>IF('Données projet'!$A$62&gt;35,AI9+AH10-AQ9,IF(A10&lt;'Données projet'!$A$62,$AF$205^A10,IF(A10='Données projet'!$A$62,'Données projet'!$B$62,AI9+AH10-AQ9)))</f>
        <v>5.2631317795673525</v>
      </c>
      <c r="AJ10" s="14">
        <f>AI10*VLOOKUP('Données projet'!$B$10,Paramètres!$A$1:$I$89,3,0)*VLOOKUP('Données projet'!$B$10,Paramètres!$A$1:$I$89,5,0)</f>
        <v>2.4631456728375212</v>
      </c>
      <c r="AK10" s="14">
        <f t="shared" si="35"/>
        <v>1.0220513465701448</v>
      </c>
      <c r="AL10" s="22">
        <f t="shared" si="4"/>
        <v>6.0700514754683512</v>
      </c>
      <c r="AM10" s="62">
        <f t="shared" si="5"/>
        <v>299.40338480880166</v>
      </c>
      <c r="AN10" s="62">
        <f ca="1">AVERAGE(OFFSET($AM$3,0,0,'Données projet'!$E$10+1,1))-AVERAGE(OFFSET($H$3,0,0,'Données projet'!$E$10+1,1))</f>
        <v>160.81094423216069</v>
      </c>
      <c r="AO10" s="62">
        <f t="shared" si="36"/>
        <v>145.53871436439169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8.526315789473685</v>
      </c>
      <c r="BD10" s="13">
        <f>IF('Données projet'!$A$88&gt;35,BD9+BC10-BL9,IF(A10&lt;'Données projet'!$A$88,$BA$205^A10,IF(A10='Données projet'!$A$88,'Données projet'!$B$88,BD9+BC10-BL9)))</f>
        <v>6.5167618069644444</v>
      </c>
      <c r="BE10" s="14">
        <f>BD10*VLOOKUP('Données projet'!$B$11,Paramètres!$A$1:$I$89,3,0)*VLOOKUP('Données projet'!$B$11,Paramètres!$A$1:$I$89,5,0)</f>
        <v>3.6428698500931249</v>
      </c>
      <c r="BF10" s="14">
        <f t="shared" si="37"/>
        <v>1.4442543315575544</v>
      </c>
      <c r="BG10" s="22">
        <f t="shared" si="7"/>
        <v>8.8600746163749324</v>
      </c>
      <c r="BH10" s="62">
        <f t="shared" si="8"/>
        <v>302.19340794970827</v>
      </c>
      <c r="BI10" s="62">
        <f ca="1">AVERAGE(OFFSET($BH$3,0,0,'Données projet'!$E$11+1,1))-AVERAGE(OFFSET($H$3,0,0,'Données projet'!$E$11+1,1))</f>
        <v>374.67858373761965</v>
      </c>
      <c r="BJ10" s="62">
        <f t="shared" si="38"/>
        <v>468.38066974447543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5.75</v>
      </c>
      <c r="AI11" s="14">
        <f>IF('Données projet'!$A$62&gt;35,AI10+AH11-AQ10,IF(A11&lt;'Données projet'!$A$62,$AF$205^A11,IF(A11='Données projet'!$A$62,'Données projet'!$B$62,AI10+AH11-AQ10)))</f>
        <v>6.6723548683562202</v>
      </c>
      <c r="AJ11" s="14">
        <f>AI11*VLOOKUP('Données projet'!$B$10,Paramètres!$A$1:$I$89,3,0)*VLOOKUP('Données projet'!$B$10,Paramètres!$A$1:$I$89,5,0)</f>
        <v>3.1226620783907113</v>
      </c>
      <c r="AK11" s="14">
        <f t="shared" si="35"/>
        <v>1.2604172705122936</v>
      </c>
      <c r="AL11" s="22">
        <f t="shared" si="4"/>
        <v>7.6338631993393991</v>
      </c>
      <c r="AM11" s="62">
        <f t="shared" si="5"/>
        <v>300.96719653267269</v>
      </c>
      <c r="AN11" s="62">
        <f ca="1">AVERAGE(OFFSET($AM$3,0,0,'Données projet'!$E$10+1,1))-AVERAGE(OFFSET($H$3,0,0,'Données projet'!$E$10+1,1))</f>
        <v>160.81094423216069</v>
      </c>
      <c r="AO11" s="62">
        <f t="shared" si="36"/>
        <v>145.53871436439169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8.526315789473685</v>
      </c>
      <c r="BD11" s="13">
        <f>IF('Données projet'!$A$88&gt;35,BD10+BC11-BL10,IF(A11&lt;'Données projet'!$A$88,$BA$205^A11,IF(A11='Données projet'!$A$88,'Données projet'!$B$88,BD10+BC11-BL10)))</f>
        <v>8.5176955198213591</v>
      </c>
      <c r="BE11" s="14">
        <f>BD11*VLOOKUP('Données projet'!$B$11,Paramètres!$A$1:$I$89,3,0)*VLOOKUP('Données projet'!$B$11,Paramètres!$A$1:$I$89,5,0)</f>
        <v>4.7613917955801393</v>
      </c>
      <c r="BF11" s="14">
        <f t="shared" si="37"/>
        <v>1.8297752795633417</v>
      </c>
      <c r="BG11" s="22">
        <f t="shared" si="7"/>
        <v>11.479615989208229</v>
      </c>
      <c r="BH11" s="62">
        <f t="shared" si="8"/>
        <v>304.81294932254156</v>
      </c>
      <c r="BI11" s="62">
        <f ca="1">AVERAGE(OFFSET($BH$3,0,0,'Données projet'!$E$11+1,1))-AVERAGE(OFFSET($H$3,0,0,'Données projet'!$E$11+1,1))</f>
        <v>374.67858373761965</v>
      </c>
      <c r="BJ11" s="62">
        <f t="shared" si="38"/>
        <v>468.38066974447543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5.75</v>
      </c>
      <c r="AI12" s="14">
        <f>IF('Données projet'!$A$62&gt;35,AI11+AH12-AQ11,IF(A12&lt;'Données projet'!$A$62,$AF$205^A12,IF(A12='Données projet'!$A$62,'Données projet'!$B$62,AI11+AH12-AQ11)))</f>
        <v>8.4589026750412604</v>
      </c>
      <c r="AJ12" s="14">
        <f>AI12*VLOOKUP('Données projet'!$B$10,Paramètres!$A$1:$I$89,3,0)*VLOOKUP('Données projet'!$B$10,Paramètres!$A$1:$I$89,5,0)</f>
        <v>3.9587664519193098</v>
      </c>
      <c r="AK12" s="14">
        <f t="shared" si="35"/>
        <v>1.5543756203021926</v>
      </c>
      <c r="AL12" s="22">
        <f t="shared" si="4"/>
        <v>9.6020557757857823</v>
      </c>
      <c r="AM12" s="62">
        <f t="shared" si="5"/>
        <v>302.93538910911911</v>
      </c>
      <c r="AN12" s="62">
        <f ca="1">AVERAGE(OFFSET($AM$3,0,0,'Données projet'!$E$10+1,1))-AVERAGE(OFFSET($H$3,0,0,'Données projet'!$E$10+1,1))</f>
        <v>160.81094423216069</v>
      </c>
      <c r="AO12" s="62">
        <f t="shared" si="36"/>
        <v>145.53871436439169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8.526315789473685</v>
      </c>
      <c r="BD12" s="13">
        <f>IF('Données projet'!$A$88&gt;35,BD11+BC12-BL11,IF(A12&lt;'Données projet'!$A$88,$BA$205^A12,IF(A12='Données projet'!$A$88,'Données projet'!$B$88,BD11+BC12-BL11)))</f>
        <v>11.133004261541316</v>
      </c>
      <c r="BE12" s="14">
        <f>BD12*VLOOKUP('Données projet'!$B$11,Paramètres!$A$1:$I$89,3,0)*VLOOKUP('Données projet'!$B$11,Paramètres!$A$1:$I$89,5,0)</f>
        <v>6.2233493822015964</v>
      </c>
      <c r="BF12" s="14">
        <f t="shared" si="37"/>
        <v>2.3182049730052579</v>
      </c>
      <c r="BG12" s="22">
        <f t="shared" si="7"/>
        <v>14.87654050198527</v>
      </c>
      <c r="BH12" s="62">
        <f t="shared" si="8"/>
        <v>308.2098738353186</v>
      </c>
      <c r="BI12" s="62">
        <f ca="1">AVERAGE(OFFSET($BH$3,0,0,'Données projet'!$E$11+1,1))-AVERAGE(OFFSET($H$3,0,0,'Données projet'!$E$11+1,1))</f>
        <v>374.67858373761965</v>
      </c>
      <c r="BJ12" s="62">
        <f t="shared" si="38"/>
        <v>468.38066974447543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5.75</v>
      </c>
      <c r="AI13" s="14">
        <f>IF('Données projet'!$A$62&gt;35,AI12+AH13-AQ12,IF(A13&lt;'Données projet'!$A$62,$AF$205^A13,IF(A13='Données projet'!$A$62,'Données projet'!$B$62,AI12+AH13-AQ12)))</f>
        <v>10.723805294763611</v>
      </c>
      <c r="AJ13" s="14">
        <f>AI13*VLOOKUP('Données projet'!$B$10,Paramètres!$A$1:$I$89,3,0)*VLOOKUP('Données projet'!$B$10,Paramètres!$A$1:$I$89,5,0)</f>
        <v>5.0187408779493703</v>
      </c>
      <c r="AK13" s="14">
        <f t="shared" si="35"/>
        <v>1.9168918305981435</v>
      </c>
      <c r="AL13" s="22">
        <f t="shared" si="4"/>
        <v>12.079560300720253</v>
      </c>
      <c r="AM13" s="62">
        <f t="shared" si="5"/>
        <v>305.41289363405355</v>
      </c>
      <c r="AN13" s="62">
        <f ca="1">AVERAGE(OFFSET($AM$3,0,0,'Données projet'!$E$10+1,1))-AVERAGE(OFFSET($H$3,0,0,'Données projet'!$E$10+1,1))</f>
        <v>160.81094423216069</v>
      </c>
      <c r="AO13" s="62">
        <f t="shared" si="36"/>
        <v>145.53871436439169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8.526315789473685</v>
      </c>
      <c r="BD13" s="13">
        <f>IF('Données projet'!$A$88&gt;35,BD12+BC13-BL12,IF(A13&lt;'Données projet'!$A$88,$BA$205^A13,IF(A13='Données projet'!$A$88,'Données projet'!$B$88,BD12+BC13-BL12)))</f>
        <v>14.551328302246779</v>
      </c>
      <c r="BE13" s="14">
        <f>BD13*VLOOKUP('Données projet'!$B$11,Paramètres!$A$1:$I$89,3,0)*VLOOKUP('Données projet'!$B$11,Paramètres!$A$1:$I$89,5,0)</f>
        <v>8.1341925209559491</v>
      </c>
      <c r="BF13" s="14">
        <f t="shared" si="37"/>
        <v>2.9370132807503975</v>
      </c>
      <c r="BG13" s="22">
        <f t="shared" si="7"/>
        <v>19.282350104638549</v>
      </c>
      <c r="BH13" s="62">
        <f t="shared" si="8"/>
        <v>312.61568343797188</v>
      </c>
      <c r="BI13" s="62">
        <f ca="1">AVERAGE(OFFSET($BH$3,0,0,'Données projet'!$E$11+1,1))-AVERAGE(OFFSET($H$3,0,0,'Données projet'!$E$11+1,1))</f>
        <v>374.67858373761965</v>
      </c>
      <c r="BJ13" s="62">
        <f t="shared" si="38"/>
        <v>468.38066974447543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5.75</v>
      </c>
      <c r="AI14" s="14">
        <f>IF('Données projet'!$A$62&gt;35,AI13+AH14-AQ13,IF(A14&lt;'Données projet'!$A$62,$AF$205^A14,IF(A14='Données projet'!$A$62,'Données projet'!$B$62,AI13+AH14-AQ13)))</f>
        <v>13.595144006008928</v>
      </c>
      <c r="AJ14" s="14">
        <f>AI14*VLOOKUP('Données projet'!$B$10,Paramètres!$A$1:$I$89,3,0)*VLOOKUP('Données projet'!$B$10,Paramètres!$A$1:$I$89,5,0)</f>
        <v>6.3625273948121777</v>
      </c>
      <c r="AK14" s="14">
        <f t="shared" si="35"/>
        <v>2.3639551741679612</v>
      </c>
      <c r="AL14" s="22">
        <f t="shared" si="4"/>
        <v>15.198623807640407</v>
      </c>
      <c r="AM14" s="62">
        <f t="shared" si="5"/>
        <v>308.5319571409737</v>
      </c>
      <c r="AN14" s="62">
        <f ca="1">AVERAGE(OFFSET($AM$3,0,0,'Données projet'!$E$10+1,1))-AVERAGE(OFFSET($H$3,0,0,'Données projet'!$E$10+1,1))</f>
        <v>160.81094423216069</v>
      </c>
      <c r="AO14" s="62">
        <f t="shared" si="36"/>
        <v>145.53871436439169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8.526315789473685</v>
      </c>
      <c r="BD14" s="13">
        <f>IF('Données projet'!$A$88&gt;35,BD13+BC14-BL13,IF(A14&lt;'Données projet'!$A$88,$BA$205^A14,IF(A14='Données projet'!$A$88,'Données projet'!$B$88,BD13+BC14-BL13)))</f>
        <v>19.01922880701866</v>
      </c>
      <c r="BE14" s="14">
        <f>BD14*VLOOKUP('Données projet'!$B$11,Paramètres!$A$1:$I$89,3,0)*VLOOKUP('Données projet'!$B$11,Paramètres!$A$1:$I$89,5,0)</f>
        <v>10.631748903123432</v>
      </c>
      <c r="BF14" s="14">
        <f t="shared" si="37"/>
        <v>3.7210027205323613</v>
      </c>
      <c r="BG14" s="22">
        <f t="shared" si="7"/>
        <v>24.997709077867171</v>
      </c>
      <c r="BH14" s="62">
        <f t="shared" si="8"/>
        <v>318.33104241120049</v>
      </c>
      <c r="BI14" s="62">
        <f ca="1">AVERAGE(OFFSET($BH$3,0,0,'Données projet'!$E$11+1,1))-AVERAGE(OFFSET($H$3,0,0,'Données projet'!$E$11+1,1))</f>
        <v>374.67858373761965</v>
      </c>
      <c r="BJ14" s="62">
        <f t="shared" si="38"/>
        <v>468.38066974447543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5.75</v>
      </c>
      <c r="AI15" s="14">
        <f>IF('Données projet'!$A$62&gt;35,AI14+AH15-AQ14,IF(A15&lt;'Données projet'!$A$62,$AF$205^A15,IF(A15='Données projet'!$A$62,'Données projet'!$B$62,AI14+AH15-AQ14)))</f>
        <v>17.23529432545471</v>
      </c>
      <c r="AJ15" s="14">
        <f>AI15*VLOOKUP('Données projet'!$B$10,Paramètres!$A$1:$I$89,3,0)*VLOOKUP('Données projet'!$B$10,Paramètres!$A$1:$I$89,5,0)</f>
        <v>8.0661177443128054</v>
      </c>
      <c r="AK15" s="14">
        <f t="shared" si="35"/>
        <v>2.915283990610841</v>
      </c>
      <c r="AL15" s="22">
        <f t="shared" si="4"/>
        <v>19.125941354992019</v>
      </c>
      <c r="AM15" s="62">
        <f t="shared" si="5"/>
        <v>312.45927468832531</v>
      </c>
      <c r="AN15" s="62">
        <f ca="1">AVERAGE(OFFSET($AM$3,0,0,'Données projet'!$E$10+1,1))-AVERAGE(OFFSET($H$3,0,0,'Données projet'!$E$10+1,1))</f>
        <v>160.81094423216069</v>
      </c>
      <c r="AO15" s="62">
        <f t="shared" si="36"/>
        <v>145.53871436439169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8.526315789473685</v>
      </c>
      <c r="BD15" s="13">
        <f>IF('Données projet'!$A$88&gt;35,BD14+BC15-BL14,IF(A15&lt;'Données projet'!$A$88,$BA$205^A15,IF(A15='Données projet'!$A$88,'Données projet'!$B$88,BD14+BC15-BL14)))</f>
        <v>24.85897210895007</v>
      </c>
      <c r="BE15" s="14">
        <f>BD15*VLOOKUP('Données projet'!$B$11,Paramètres!$A$1:$I$89,3,0)*VLOOKUP('Données projet'!$B$11,Paramètres!$A$1:$I$89,5,0)</f>
        <v>13.896165408903089</v>
      </c>
      <c r="BF15" s="14">
        <f t="shared" si="37"/>
        <v>4.7142657940830492</v>
      </c>
      <c r="BG15" s="22">
        <f t="shared" si="7"/>
        <v>32.413167678534187</v>
      </c>
      <c r="BH15" s="62">
        <f t="shared" si="8"/>
        <v>325.74650101186751</v>
      </c>
      <c r="BI15" s="62">
        <f ca="1">AVERAGE(OFFSET($BH$3,0,0,'Données projet'!$E$11+1,1))-AVERAGE(OFFSET($H$3,0,0,'Données projet'!$E$11+1,1))</f>
        <v>374.67858373761965</v>
      </c>
      <c r="BJ15" s="62">
        <f t="shared" si="38"/>
        <v>468.38066974447543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5.75</v>
      </c>
      <c r="AI16" s="14">
        <f>IF('Données projet'!$A$62&gt;35,AI15+AH16-AQ15,IF(A16&lt;'Données projet'!$A$62,$AF$205^A16,IF(A16='Données projet'!$A$62,'Données projet'!$B$62,AI15+AH16-AQ15)))</f>
        <v>21.850108417664106</v>
      </c>
      <c r="AJ16" s="14">
        <f>AI16*VLOOKUP('Données projet'!$B$10,Paramètres!$A$1:$I$89,3,0)*VLOOKUP('Données projet'!$B$10,Paramètres!$A$1:$I$89,5,0)</f>
        <v>10.225850739466802</v>
      </c>
      <c r="AK16" s="14">
        <f t="shared" si="35"/>
        <v>3.5951953906669201</v>
      </c>
      <c r="AL16" s="22">
        <f t="shared" si="4"/>
        <v>24.071655343316234</v>
      </c>
      <c r="AM16" s="62">
        <f t="shared" si="5"/>
        <v>317.40498867664957</v>
      </c>
      <c r="AN16" s="62">
        <f ca="1">AVERAGE(OFFSET($AM$3,0,0,'Données projet'!$E$10+1,1))-AVERAGE(OFFSET($H$3,0,0,'Données projet'!$E$10+1,1))</f>
        <v>160.81094423216069</v>
      </c>
      <c r="AO16" s="62">
        <f t="shared" si="36"/>
        <v>145.53871436439169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8.526315789473685</v>
      </c>
      <c r="BD16" s="13">
        <f>IF('Données projet'!$A$88&gt;35,BD15+BC16-BL15,IF(A16&lt;'Données projet'!$A$88,$BA$205^A16,IF(A16='Données projet'!$A$88,'Données projet'!$B$88,BD15+BC16-BL15)))</f>
        <v>32.491774539539094</v>
      </c>
      <c r="BE16" s="14">
        <f>BD16*VLOOKUP('Données projet'!$B$11,Paramètres!$A$1:$I$89,3,0)*VLOOKUP('Données projet'!$B$11,Paramètres!$A$1:$I$89,5,0)</f>
        <v>18.162901967602355</v>
      </c>
      <c r="BF16" s="14">
        <f t="shared" si="37"/>
        <v>5.9726648020514927</v>
      </c>
      <c r="BG16" s="22">
        <f t="shared" si="7"/>
        <v>42.036112123813787</v>
      </c>
      <c r="BH16" s="62">
        <f t="shared" si="8"/>
        <v>335.36944545714709</v>
      </c>
      <c r="BI16" s="62">
        <f ca="1">AVERAGE(OFFSET($BH$3,0,0,'Données projet'!$E$11+1,1))-AVERAGE(OFFSET($H$3,0,0,'Données projet'!$E$11+1,1))</f>
        <v>374.67858373761965</v>
      </c>
      <c r="BJ16" s="62">
        <f t="shared" si="38"/>
        <v>468.38066974447543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5.75</v>
      </c>
      <c r="AI17" s="14">
        <f>IF('Données projet'!$A$62&gt;35,AI16+AH17-AQ16,IF(A17&lt;'Données projet'!$A$62,$AF$205^A17,IF(A17='Données projet'!$A$62,'Données projet'!$B$62,AI16+AH17-AQ16)))</f>
        <v>27.700556129091808</v>
      </c>
      <c r="AJ17" s="14">
        <f>AI17*VLOOKUP('Données projet'!$B$10,Paramètres!$A$1:$I$89,3,0)*VLOOKUP('Données projet'!$B$10,Paramètres!$A$1:$I$89,5,0)</f>
        <v>12.963860268414967</v>
      </c>
      <c r="AK17" s="14">
        <f t="shared" si="35"/>
        <v>4.4336777956113931</v>
      </c>
      <c r="AL17" s="22">
        <f t="shared" si="4"/>
        <v>30.300712128179242</v>
      </c>
      <c r="AM17" s="62">
        <f t="shared" si="5"/>
        <v>323.63404546151253</v>
      </c>
      <c r="AN17" s="62">
        <f ca="1">AVERAGE(OFFSET($AM$3,0,0,'Données projet'!$E$10+1,1))-AVERAGE(OFFSET($H$3,0,0,'Données projet'!$E$10+1,1))</f>
        <v>160.81094423216069</v>
      </c>
      <c r="AO17" s="62">
        <f t="shared" si="36"/>
        <v>145.53871436439169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8.526315789473685</v>
      </c>
      <c r="BD17" s="13">
        <f>IF('Données projet'!$A$88&gt;35,BD16+BC17-BL16,IF(A17&lt;'Données projet'!$A$88,$BA$205^A17,IF(A17='Données projet'!$A$88,'Données projet'!$B$88,BD16+BC17-BL16)))</f>
        <v>42.468184448710481</v>
      </c>
      <c r="BE17" s="14">
        <f>BD17*VLOOKUP('Données projet'!$B$11,Paramètres!$A$1:$I$89,3,0)*VLOOKUP('Données projet'!$B$11,Paramètres!$A$1:$I$89,5,0)</f>
        <v>23.739715106829159</v>
      </c>
      <c r="BF17" s="14">
        <f t="shared" si="37"/>
        <v>7.5669736064602473</v>
      </c>
      <c r="BG17" s="22">
        <f t="shared" si="7"/>
        <v>54.525816175645708</v>
      </c>
      <c r="BH17" s="62">
        <f t="shared" si="8"/>
        <v>347.85914950897904</v>
      </c>
      <c r="BI17" s="62">
        <f ca="1">AVERAGE(OFFSET($BH$3,0,0,'Données projet'!$E$11+1,1))-AVERAGE(OFFSET($H$3,0,0,'Données projet'!$E$11+1,1))</f>
        <v>374.67858373761965</v>
      </c>
      <c r="BJ17" s="62">
        <f t="shared" si="38"/>
        <v>468.38066974447543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5.75</v>
      </c>
      <c r="AI18" s="14">
        <f>IF('Données projet'!$A$62&gt;35,AI17+AH18-AQ17,IF(A18&lt;'Données projet'!$A$62,$AF$205^A18,IF(A18='Données projet'!$A$62,'Données projet'!$B$62,AI17+AH18-AQ17)))</f>
        <v>35.117482952196561</v>
      </c>
      <c r="AJ18" s="14">
        <f>AI18*VLOOKUP('Données projet'!$B$10,Paramètres!$A$1:$I$89,3,0)*VLOOKUP('Données projet'!$B$10,Paramètres!$A$1:$I$89,5,0)</f>
        <v>16.434982021627992</v>
      </c>
      <c r="AK18" s="14">
        <f t="shared" si="35"/>
        <v>5.4677136175486121</v>
      </c>
      <c r="AL18" s="22">
        <f t="shared" si="4"/>
        <v>38.147194904899251</v>
      </c>
      <c r="AM18" s="62">
        <f t="shared" si="5"/>
        <v>331.48052823823258</v>
      </c>
      <c r="AN18" s="62">
        <f ca="1">AVERAGE(OFFSET($AM$3,0,0,'Données projet'!$E$10+1,1))-AVERAGE(OFFSET($H$3,0,0,'Données projet'!$E$10+1,1))</f>
        <v>160.81094423216069</v>
      </c>
      <c r="AO18" s="62">
        <f t="shared" si="36"/>
        <v>145.53871436439169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8.526315789473685</v>
      </c>
      <c r="BD18" s="13">
        <f>IF('Données projet'!$A$88&gt;35,BD17+BC18-BL17,IF(A18&lt;'Données projet'!$A$88,$BA$205^A18,IF(A18='Données projet'!$A$88,'Données projet'!$B$88,BD17+BC18-BL17)))</f>
        <v>55.507792846923991</v>
      </c>
      <c r="BE18" s="14">
        <f>BD18*VLOOKUP('Données projet'!$B$11,Paramètres!$A$1:$I$89,3,0)*VLOOKUP('Données projet'!$B$11,Paramètres!$A$1:$I$89,5,0)</f>
        <v>31.028856201430514</v>
      </c>
      <c r="BF18" s="14">
        <f t="shared" si="37"/>
        <v>9.5868580371693835</v>
      </c>
      <c r="BG18" s="22">
        <f t="shared" si="7"/>
        <v>70.739035632228152</v>
      </c>
      <c r="BH18" s="62">
        <f t="shared" si="8"/>
        <v>364.07236896556145</v>
      </c>
      <c r="BI18" s="62">
        <f ca="1">AVERAGE(OFFSET($BH$3,0,0,'Données projet'!$E$11+1,1))-AVERAGE(OFFSET($H$3,0,0,'Données projet'!$E$11+1,1))</f>
        <v>374.67858373761965</v>
      </c>
      <c r="BJ18" s="62">
        <f t="shared" si="38"/>
        <v>468.38066974447543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5.75</v>
      </c>
      <c r="AI19" s="14">
        <f>IF('Données projet'!$A$62&gt;35,AI18+AH19-AQ18,IF(A19&lt;'Données projet'!$A$62,$AF$205^A19,IF(A19='Données projet'!$A$62,'Données projet'!$B$62,AI18+AH19-AQ18)))</f>
        <v>44.52031948927695</v>
      </c>
      <c r="AJ19" s="14">
        <f>AI19*VLOOKUP('Données projet'!$B$10,Paramètres!$A$1:$I$89,3,0)*VLOOKUP('Données projet'!$B$10,Paramètres!$A$1:$I$89,5,0)</f>
        <v>20.835509520981613</v>
      </c>
      <c r="AK19" s="14">
        <f t="shared" si="35"/>
        <v>6.7429104192276883</v>
      </c>
      <c r="AL19" s="22">
        <f t="shared" si="4"/>
        <v>48.03241472919786</v>
      </c>
      <c r="AM19" s="62">
        <f t="shared" si="5"/>
        <v>341.36574806253117</v>
      </c>
      <c r="AN19" s="62">
        <f ca="1">AVERAGE(OFFSET($AM$3,0,0,'Données projet'!$E$10+1,1))-AVERAGE(OFFSET($H$3,0,0,'Données projet'!$E$10+1,1))</f>
        <v>160.81094423216069</v>
      </c>
      <c r="AO19" s="62">
        <f t="shared" si="36"/>
        <v>145.53871436439169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8.526315789473685</v>
      </c>
      <c r="BD19" s="13">
        <f>IF('Données projet'!$A$88&gt;35,BD18+BC19-BL18,IF(A19&lt;'Données projet'!$A$88,$BA$205^A19,IF(A19='Données projet'!$A$88,'Données projet'!$B$88,BD18+BC19-BL18)))</f>
        <v>72.551136968384853</v>
      </c>
      <c r="BE19" s="14">
        <f>BD19*VLOOKUP('Données projet'!$B$11,Paramètres!$A$1:$I$89,3,0)*VLOOKUP('Données projet'!$B$11,Paramètres!$A$1:$I$89,5,0)</f>
        <v>40.55608556532713</v>
      </c>
      <c r="BF19" s="14">
        <f t="shared" si="37"/>
        <v>12.145918805157919</v>
      </c>
      <c r="BG19" s="22">
        <f t="shared" si="7"/>
        <v>91.78932427859479</v>
      </c>
      <c r="BH19" s="62">
        <f t="shared" si="8"/>
        <v>385.1226576119281</v>
      </c>
      <c r="BI19" s="62">
        <f ca="1">AVERAGE(OFFSET($BH$3,0,0,'Données projet'!$E$11+1,1))-AVERAGE(OFFSET($H$3,0,0,'Données projet'!$E$11+1,1))</f>
        <v>374.67858373761965</v>
      </c>
      <c r="BJ19" s="62">
        <f t="shared" si="38"/>
        <v>468.38066974447543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5.75</v>
      </c>
      <c r="AI20" s="14">
        <f>IF('Données projet'!$A$62&gt;35,AI19+AH20-AQ19,IF(A20&lt;'Données projet'!$A$62,$AF$205^A20,IF(A20='Données projet'!$A$62,'Données projet'!$B$62,AI19+AH20-AQ19)))</f>
        <v>56.440800444763006</v>
      </c>
      <c r="AJ20" s="14">
        <f>AI20*VLOOKUP('Données projet'!$B$10,Paramètres!$A$1:$I$89,3,0)*VLOOKUP('Données projet'!$B$10,Paramètres!$A$1:$I$89,5,0)</f>
        <v>26.414294608149088</v>
      </c>
      <c r="AK20" s="14">
        <f t="shared" si="35"/>
        <v>8.3155124979120405</v>
      </c>
      <c r="AL20" s="22">
        <f t="shared" si="4"/>
        <v>60.487747376389791</v>
      </c>
      <c r="AM20" s="62">
        <f t="shared" si="5"/>
        <v>353.82108070972311</v>
      </c>
      <c r="AN20" s="62">
        <f ca="1">AVERAGE(OFFSET($AM$3,0,0,'Données projet'!$E$10+1,1))-AVERAGE(OFFSET($H$3,0,0,'Données projet'!$E$10+1,1))</f>
        <v>160.81094423216069</v>
      </c>
      <c r="AO20" s="62">
        <f t="shared" si="36"/>
        <v>145.53871436439169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8.526315789473685</v>
      </c>
      <c r="BD20" s="13">
        <f>IF('Données projet'!$A$88&gt;35,BD19+BC20-BL19,IF(A20&lt;'Données projet'!$A$88,$BA$205^A20,IF(A20='Données projet'!$A$88,'Données projet'!$B$88,BD19+BC20-BL19)))</f>
        <v>94.827540520682575</v>
      </c>
      <c r="BE20" s="14">
        <f>BD20*VLOOKUP('Données projet'!$B$11,Paramètres!$A$1:$I$89,3,0)*VLOOKUP('Données projet'!$B$11,Paramètres!$A$1:$I$89,5,0)</f>
        <v>53.008595151061563</v>
      </c>
      <c r="BF20" s="14">
        <f t="shared" si="37"/>
        <v>15.388080542084102</v>
      </c>
      <c r="BG20" s="22">
        <f t="shared" si="7"/>
        <v>119.12421016556203</v>
      </c>
      <c r="BH20" s="62">
        <f t="shared" si="8"/>
        <v>412.45754349889535</v>
      </c>
      <c r="BI20" s="62">
        <f ca="1">AVERAGE(OFFSET($BH$3,0,0,'Données projet'!$E$11+1,1))-AVERAGE(OFFSET($H$3,0,0,'Données projet'!$E$11+1,1))</f>
        <v>374.67858373761965</v>
      </c>
      <c r="BJ20" s="62">
        <f t="shared" si="38"/>
        <v>468.38066974447543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5.75</v>
      </c>
      <c r="AI21" s="14">
        <f>IF('Données projet'!$A$62&gt;35,AI20+AH21-AQ20,IF(A21&lt;'Données projet'!$A$62,$AF$205^A21,IF(A21='Données projet'!$A$62,'Données projet'!$B$62,AI20+AH21-AQ20)))</f>
        <v>71.55303446582019</v>
      </c>
      <c r="AJ21" s="14">
        <f>AI21*VLOOKUP('Données projet'!$B$10,Paramètres!$A$1:$I$89,3,0)*VLOOKUP('Données projet'!$B$10,Paramètres!$A$1:$I$89,5,0)</f>
        <v>33.486820130003849</v>
      </c>
      <c r="AK21" s="14">
        <f t="shared" si="35"/>
        <v>10.254881616957807</v>
      </c>
      <c r="AL21" s="22">
        <f t="shared" si="4"/>
        <v>76.183463875958196</v>
      </c>
      <c r="AM21" s="62">
        <f t="shared" si="5"/>
        <v>369.5167972092915</v>
      </c>
      <c r="AN21" s="62">
        <f ca="1">AVERAGE(OFFSET($AM$3,0,0,'Données projet'!$E$10+1,1))-AVERAGE(OFFSET($H$3,0,0,'Données projet'!$E$10+1,1))</f>
        <v>160.81094423216069</v>
      </c>
      <c r="AO21" s="62">
        <f t="shared" si="36"/>
        <v>145.53871436439169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8.526315789473685</v>
      </c>
      <c r="BD21" s="13">
        <f>IF('Données projet'!$A$88&gt;35,BD20+BC21-BL20,IF(A21&lt;'Données projet'!$A$88,$BA$205^A21,IF(A21='Données projet'!$A$88,'Données projet'!$B$88,BD20+BC21-BL20)))</f>
        <v>123.94378388749713</v>
      </c>
      <c r="BE21" s="14">
        <f>BD21*VLOOKUP('Données projet'!$B$11,Paramètres!$A$1:$I$89,3,0)*VLOOKUP('Données projet'!$B$11,Paramètres!$A$1:$I$89,5,0)</f>
        <v>69.284575193110896</v>
      </c>
      <c r="BF21" s="14">
        <f t="shared" si="37"/>
        <v>19.495686293334202</v>
      </c>
      <c r="BG21" s="22">
        <f t="shared" si="7"/>
        <v>154.62562208889187</v>
      </c>
      <c r="BH21" s="62">
        <f t="shared" si="8"/>
        <v>447.95895542222519</v>
      </c>
      <c r="BI21" s="62">
        <f ca="1">AVERAGE(OFFSET($BH$3,0,0,'Données projet'!$E$11+1,1))-AVERAGE(OFFSET($H$3,0,0,'Données projet'!$E$11+1,1))</f>
        <v>374.67858373761965</v>
      </c>
      <c r="BJ21" s="62">
        <f t="shared" si="38"/>
        <v>468.38066974447543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5.75</v>
      </c>
      <c r="AI22" s="14">
        <f>IF('Données projet'!$A$62&gt;35,AI21+AH22-AQ21,IF(A22&lt;'Données projet'!$A$62,$AF$205^A22,IF(A22='Données projet'!$A$62,'Données projet'!$B$62,AI21+AH22-AQ21)))</f>
        <v>90.711625294497551</v>
      </c>
      <c r="AJ22" s="14">
        <f>AI22*VLOOKUP('Données projet'!$B$10,Paramètres!$A$1:$I$89,3,0)*VLOOKUP('Données projet'!$B$10,Paramètres!$A$1:$I$89,5,0)</f>
        <v>42.453040637824856</v>
      </c>
      <c r="AK22" s="14">
        <f t="shared" si="35"/>
        <v>12.646556301156998</v>
      </c>
      <c r="AL22" s="22">
        <f t="shared" si="4"/>
        <v>95.96513133539338</v>
      </c>
      <c r="AM22" s="62">
        <f t="shared" si="5"/>
        <v>389.29846466872669</v>
      </c>
      <c r="AN22" s="62">
        <f ca="1">AVERAGE(OFFSET($AM$3,0,0,'Données projet'!$E$10+1,1))-AVERAGE(OFFSET($H$3,0,0,'Données projet'!$E$10+1,1))</f>
        <v>160.81094423216069</v>
      </c>
      <c r="AO22" s="62">
        <f t="shared" si="36"/>
        <v>145.53871436439169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>
        <f>VLOOKUP(A22,'Données projet'!$A$87:$I$107,2,0)</f>
        <v>162</v>
      </c>
      <c r="BB22" s="13">
        <f>VLOOKUP(A22,'Données projet'!$A$87:$I$107,9,0)</f>
        <v>8.526315789473685</v>
      </c>
      <c r="BC22" s="13">
        <f t="array" ref="BC22">INDEX(BB:BB,MIN(IF(ISNUMBER(BB22:BB218),ROW(BB22:BB218),"")))</f>
        <v>8.526315789473685</v>
      </c>
      <c r="BD22" s="13">
        <f>IF('Données projet'!$A$88&gt;35,BD21+BC22-BL21,IF(A22&lt;'Données projet'!$A$88,$BA$205^A22,IF(A22='Données projet'!$A$88,'Données projet'!$B$88,BD21+BC22-BL21)))</f>
        <v>162</v>
      </c>
      <c r="BE22" s="14">
        <f>BD22*VLOOKUP('Données projet'!$B$11,Paramètres!$A$1:$I$89,3,0)*VLOOKUP('Données projet'!$B$11,Paramètres!$A$1:$I$89,5,0)</f>
        <v>90.557999999999993</v>
      </c>
      <c r="BF22" s="14">
        <f t="shared" si="37"/>
        <v>24.699752708509138</v>
      </c>
      <c r="BG22" s="22">
        <f t="shared" si="7"/>
        <v>200.74058596732007</v>
      </c>
      <c r="BH22" s="62">
        <f t="shared" si="8"/>
        <v>494.07391930065342</v>
      </c>
      <c r="BI22" s="62">
        <f ca="1">AVERAGE(OFFSET($BH$3,0,0,'Données projet'!$E$11+1,1))-AVERAGE(OFFSET($H$3,0,0,'Données projet'!$E$11+1,1))</f>
        <v>374.67858373761965</v>
      </c>
      <c r="BJ22" s="62">
        <f t="shared" si="38"/>
        <v>468.38066974447543</v>
      </c>
      <c r="BK22" s="16">
        <f>IF(ISNA(VLOOKUP(A22,'Données projet'!$A$87:$I$107,3,0)),0,VLOOKUP(A22,'Données projet'!$A$87:$I$107,3,0))</f>
        <v>1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0.27500000000000002</v>
      </c>
      <c r="BO22" s="17">
        <f>IF(ISNA(VLOOKUP(A22,'Données projet'!$A$87:$I$107,7,0)),0%,VLOOKUP(A22,'Données projet'!$A$87:$I$107,7,0))</f>
        <v>0.5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115</v>
      </c>
      <c r="AG23" s="13">
        <f>VLOOKUP(A23,'Données projet'!$A$61:$I$81,9,0)</f>
        <v>5.75</v>
      </c>
      <c r="AH23" s="13">
        <f t="array" ref="AH23">INDEX(AG:AG,MIN(IF(ISNUMBER(AG23:AG219),ROW(AG23:AG219),"")))</f>
        <v>5.75</v>
      </c>
      <c r="AI23" s="14">
        <f>IF('Données projet'!$A$62&gt;35,AI22+AH23-AQ22,IF(A23&lt;'Données projet'!$A$62,$AF$205^A23,IF(A23='Données projet'!$A$62,'Données projet'!$B$62,AI22+AH23-AQ22)))</f>
        <v>115</v>
      </c>
      <c r="AJ23" s="14">
        <f>AI23*VLOOKUP('Données projet'!$B$10,Paramètres!$A$1:$I$89,3,0)*VLOOKUP('Données projet'!$B$10,Paramètres!$A$1:$I$89,5,0)</f>
        <v>53.82</v>
      </c>
      <c r="AK23" s="14">
        <f t="shared" si="35"/>
        <v>15.596024630246266</v>
      </c>
      <c r="AL23" s="22">
        <f t="shared" si="4"/>
        <v>120.89957623101225</v>
      </c>
      <c r="AM23" s="62">
        <f t="shared" si="5"/>
        <v>414.23290956434556</v>
      </c>
      <c r="AN23" s="62">
        <f ca="1">AVERAGE(OFFSET($AM$3,0,0,'Données projet'!$E$10+1,1))-AVERAGE(OFFSET($H$3,0,0,'Données projet'!$E$10+1,1))</f>
        <v>160.81094423216069</v>
      </c>
      <c r="AO23" s="62">
        <f t="shared" si="36"/>
        <v>145.53871436439169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28.833333333333332</v>
      </c>
      <c r="BD23" s="13">
        <f>IF('Données projet'!$A$88&gt;35,BD22+BC23-BL22,IF(A23&lt;'Données projet'!$A$88,$BA$205^A23,IF(A23='Données projet'!$A$88,'Données projet'!$B$88,BD22+BC23-BL22)))</f>
        <v>190.83333333333334</v>
      </c>
      <c r="BE23" s="14">
        <f>BD23*VLOOKUP('Données projet'!$B$11,Paramètres!$A$1:$I$89,3,0)*VLOOKUP('Données projet'!$B$11,Paramètres!$A$1:$I$89,5,0)</f>
        <v>106.67583333333334</v>
      </c>
      <c r="BF23" s="14">
        <f t="shared" si="37"/>
        <v>28.546391754319739</v>
      </c>
      <c r="BG23" s="22">
        <f t="shared" si="7"/>
        <v>235.51204202766243</v>
      </c>
      <c r="BH23" s="62">
        <f t="shared" si="8"/>
        <v>528.84537536099572</v>
      </c>
      <c r="BI23" s="62">
        <f ca="1">AVERAGE(OFFSET($BH$3,0,0,'Données projet'!$E$11+1,1))-AVERAGE(OFFSET($H$3,0,0,'Données projet'!$E$11+1,1))</f>
        <v>374.67858373761965</v>
      </c>
      <c r="BJ23" s="62">
        <f t="shared" si="38"/>
        <v>468.38066974447543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121.5</v>
      </c>
      <c r="AJ24" s="14">
        <f>AI24*VLOOKUP('Données projet'!$B$10,Paramètres!$A$1:$I$89,3,0)*VLOOKUP('Données projet'!$B$10,Paramètres!$A$1:$I$89,5,0)</f>
        <v>56.861999999999995</v>
      </c>
      <c r="AK24" s="14">
        <f t="shared" si="35"/>
        <v>16.372420859571687</v>
      </c>
      <c r="AL24" s="22">
        <f t="shared" si="4"/>
        <v>127.54994966375402</v>
      </c>
      <c r="AM24" s="62">
        <f t="shared" si="5"/>
        <v>420.88328299708735</v>
      </c>
      <c r="AN24" s="62">
        <f ca="1">AVERAGE(OFFSET($AM$3,0,0,'Données projet'!$E$10+1,1))-AVERAGE(OFFSET($H$3,0,0,'Données projet'!$E$10+1,1))</f>
        <v>160.81094423216069</v>
      </c>
      <c r="AO24" s="62">
        <f t="shared" si="36"/>
        <v>145.53871436439169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28.833333333333332</v>
      </c>
      <c r="BD24" s="13">
        <f>IF('Données projet'!$A$88&gt;35,BD23+BC24-BL23,IF(A24&lt;'Données projet'!$A$88,$BA$205^A24,IF(A24='Données projet'!$A$88,'Données projet'!$B$88,BD23+BC24-BL23)))</f>
        <v>219.66666666666669</v>
      </c>
      <c r="BE24" s="14">
        <f>BD24*VLOOKUP('Données projet'!$B$11,Paramètres!$A$1:$I$89,3,0)*VLOOKUP('Données projet'!$B$11,Paramètres!$A$1:$I$89,5,0)</f>
        <v>122.79366666666668</v>
      </c>
      <c r="BF24" s="14">
        <f t="shared" si="37"/>
        <v>32.32570088253398</v>
      </c>
      <c r="BG24" s="22">
        <f t="shared" si="7"/>
        <v>270.16623181485778</v>
      </c>
      <c r="BH24" s="62">
        <f t="shared" si="8"/>
        <v>563.4995651481911</v>
      </c>
      <c r="BI24" s="62">
        <f ca="1">AVERAGE(OFFSET($BH$3,0,0,'Données projet'!$E$11+1,1))-AVERAGE(OFFSET($H$3,0,0,'Données projet'!$E$11+1,1))</f>
        <v>374.67858373761965</v>
      </c>
      <c r="BJ24" s="62">
        <f t="shared" si="38"/>
        <v>468.38066974447543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128</v>
      </c>
      <c r="AJ25" s="14">
        <f>AI25*VLOOKUP('Données projet'!$B$10,Paramètres!$A$1:$I$89,3,0)*VLOOKUP('Données projet'!$B$10,Paramètres!$A$1:$I$89,5,0)</f>
        <v>59.903999999999996</v>
      </c>
      <c r="AK25" s="14">
        <f t="shared" si="35"/>
        <v>17.143994938960184</v>
      </c>
      <c r="AL25" s="22">
        <f t="shared" si="4"/>
        <v>134.19192451868898</v>
      </c>
      <c r="AM25" s="62">
        <f t="shared" si="5"/>
        <v>427.52525785202226</v>
      </c>
      <c r="AN25" s="62">
        <f ca="1">AVERAGE(OFFSET($AM$3,0,0,'Données projet'!$E$10+1,1))-AVERAGE(OFFSET($H$3,0,0,'Données projet'!$E$10+1,1))</f>
        <v>160.81094423216069</v>
      </c>
      <c r="AO25" s="62">
        <f t="shared" si="36"/>
        <v>145.53871436439169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28.833333333333332</v>
      </c>
      <c r="BD25" s="13">
        <f>IF('Données projet'!$A$88&gt;35,BD24+BC25-BL24,IF(A25&lt;'Données projet'!$A$88,$BA$205^A25,IF(A25='Données projet'!$A$88,'Données projet'!$B$88,BD24+BC25-BL24)))</f>
        <v>248.50000000000003</v>
      </c>
      <c r="BE25" s="14">
        <f>BD25*VLOOKUP('Données projet'!$B$11,Paramètres!$A$1:$I$89,3,0)*VLOOKUP('Données projet'!$B$11,Paramètres!$A$1:$I$89,5,0)</f>
        <v>138.91150000000002</v>
      </c>
      <c r="BF25" s="14">
        <f t="shared" si="37"/>
        <v>36.047532265727178</v>
      </c>
      <c r="BG25" s="22">
        <f t="shared" si="7"/>
        <v>304.72031452947482</v>
      </c>
      <c r="BH25" s="62">
        <f t="shared" si="8"/>
        <v>598.05364786280813</v>
      </c>
      <c r="BI25" s="62">
        <f ca="1">AVERAGE(OFFSET($BH$3,0,0,'Données projet'!$E$11+1,1))-AVERAGE(OFFSET($H$3,0,0,'Données projet'!$E$11+1,1))</f>
        <v>374.67858373761965</v>
      </c>
      <c r="BJ25" s="62">
        <f t="shared" si="38"/>
        <v>468.38066974447543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134.5</v>
      </c>
      <c r="AJ26" s="14">
        <f>AI26*VLOOKUP('Données projet'!$B$10,Paramètres!$A$1:$I$89,3,0)*VLOOKUP('Données projet'!$B$10,Paramètres!$A$1:$I$89,5,0)</f>
        <v>62.946000000000005</v>
      </c>
      <c r="AK26" s="14">
        <f t="shared" si="35"/>
        <v>17.911019680519331</v>
      </c>
      <c r="AL26" s="22">
        <f t="shared" si="4"/>
        <v>140.82597594357114</v>
      </c>
      <c r="AM26" s="62">
        <f t="shared" si="5"/>
        <v>434.15930927690442</v>
      </c>
      <c r="AN26" s="62">
        <f ca="1">AVERAGE(OFFSET($AM$3,0,0,'Données projet'!$E$10+1,1))-AVERAGE(OFFSET($H$3,0,0,'Données projet'!$E$10+1,1))</f>
        <v>160.81094423216069</v>
      </c>
      <c r="AO26" s="62">
        <f t="shared" si="36"/>
        <v>145.53871436439169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28.833333333333332</v>
      </c>
      <c r="BD26" s="13">
        <f>IF('Données projet'!$A$88&gt;35,BD25+BC26-BL25,IF(A26&lt;'Données projet'!$A$88,$BA$205^A26,IF(A26='Données projet'!$A$88,'Données projet'!$B$88,BD25+BC26-BL25)))</f>
        <v>277.33333333333337</v>
      </c>
      <c r="BE26" s="14">
        <f>BD26*VLOOKUP('Données projet'!$B$11,Paramètres!$A$1:$I$89,3,0)*VLOOKUP('Données projet'!$B$11,Paramètres!$A$1:$I$89,5,0)</f>
        <v>155.02933333333334</v>
      </c>
      <c r="BF26" s="14">
        <f t="shared" si="37"/>
        <v>39.719316712120367</v>
      </c>
      <c r="BG26" s="22">
        <f t="shared" si="7"/>
        <v>339.1872321624985</v>
      </c>
      <c r="BH26" s="62">
        <f t="shared" si="8"/>
        <v>632.52056549583176</v>
      </c>
      <c r="BI26" s="62">
        <f ca="1">AVERAGE(OFFSET($BH$3,0,0,'Données projet'!$E$11+1,1))-AVERAGE(OFFSET($H$3,0,0,'Données projet'!$E$11+1,1))</f>
        <v>374.67858373761965</v>
      </c>
      <c r="BJ26" s="62">
        <f t="shared" si="38"/>
        <v>468.38066974447543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141</v>
      </c>
      <c r="AJ27" s="14">
        <f>AI27*VLOOKUP('Données projet'!$B$10,Paramètres!$A$1:$I$89,3,0)*VLOOKUP('Données projet'!$B$10,Paramètres!$A$1:$I$89,5,0)</f>
        <v>65.988</v>
      </c>
      <c r="AK27" s="14">
        <f t="shared" si="35"/>
        <v>18.67374003807944</v>
      </c>
      <c r="AL27" s="22">
        <f t="shared" si="4"/>
        <v>147.45253056632168</v>
      </c>
      <c r="AM27" s="62">
        <f t="shared" si="5"/>
        <v>440.785863899655</v>
      </c>
      <c r="AN27" s="62">
        <f ca="1">AVERAGE(OFFSET($AM$3,0,0,'Données projet'!$E$10+1,1))-AVERAGE(OFFSET($H$3,0,0,'Données projet'!$E$10+1,1))</f>
        <v>160.81094423216069</v>
      </c>
      <c r="AO27" s="62">
        <f t="shared" si="36"/>
        <v>145.53871436439169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28.833333333333332</v>
      </c>
      <c r="BD27" s="13">
        <f>IF('Données projet'!$A$88&gt;35,BD26+BC27-BL26,IF(A27&lt;'Données projet'!$A$88,$BA$205^A27,IF(A27='Données projet'!$A$88,'Données projet'!$B$88,BD26+BC27-BL26)))</f>
        <v>306.16666666666669</v>
      </c>
      <c r="BE27" s="14">
        <f>BD27*VLOOKUP('Données projet'!$B$11,Paramètres!$A$1:$I$89,3,0)*VLOOKUP('Données projet'!$B$11,Paramètres!$A$1:$I$89,5,0)</f>
        <v>171.14716666666669</v>
      </c>
      <c r="BF27" s="14">
        <f t="shared" si="37"/>
        <v>43.346850105371793</v>
      </c>
      <c r="BG27" s="22">
        <f t="shared" si="7"/>
        <v>373.57707921130037</v>
      </c>
      <c r="BH27" s="62">
        <f t="shared" si="8"/>
        <v>666.91041254463369</v>
      </c>
      <c r="BI27" s="62">
        <f ca="1">AVERAGE(OFFSET($BH$3,0,0,'Données projet'!$E$11+1,1))-AVERAGE(OFFSET($H$3,0,0,'Données projet'!$E$11+1,1))</f>
        <v>374.67858373761965</v>
      </c>
      <c r="BJ27" s="62">
        <f t="shared" si="38"/>
        <v>468.38066974447543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147.5</v>
      </c>
      <c r="AJ28" s="14">
        <f>AI28*VLOOKUP('Données projet'!$B$10,Paramètres!$A$1:$I$89,3,0)*VLOOKUP('Données projet'!$B$10,Paramètres!$A$1:$I$89,5,0)</f>
        <v>69.03</v>
      </c>
      <c r="AK28" s="14">
        <f t="shared" si="35"/>
        <v>19.432377104615718</v>
      </c>
      <c r="AL28" s="22">
        <f t="shared" si="4"/>
        <v>154.0719734572057</v>
      </c>
      <c r="AM28" s="62">
        <f t="shared" si="5"/>
        <v>447.40530679053904</v>
      </c>
      <c r="AN28" s="62">
        <f ca="1">AVERAGE(OFFSET($AM$3,0,0,'Données projet'!$E$10+1,1))-AVERAGE(OFFSET($H$3,0,0,'Données projet'!$E$10+1,1))</f>
        <v>160.81094423216069</v>
      </c>
      <c r="AO28" s="62">
        <f t="shared" si="36"/>
        <v>145.53871436439169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335</v>
      </c>
      <c r="BB28" s="13">
        <f>VLOOKUP(A28,'Données projet'!$A$87:$I$107,9,0)</f>
        <v>28.833333333333332</v>
      </c>
      <c r="BC28" s="13">
        <f t="array" ref="BC28">INDEX(BB:BB,MIN(IF(ISNUMBER(BB28:BB224),ROW(BB28:BB224),"")))</f>
        <v>28.833333333333332</v>
      </c>
      <c r="BD28" s="13">
        <f>IF('Données projet'!$A$88&gt;35,BD27+BC28-BL27,IF(A28&lt;'Données projet'!$A$88,$BA$205^A28,IF(A28='Données projet'!$A$88,'Données projet'!$B$88,BD27+BC28-BL27)))</f>
        <v>335</v>
      </c>
      <c r="BE28" s="14">
        <f>BD28*VLOOKUP('Données projet'!$B$11,Paramètres!$A$1:$I$89,3,0)*VLOOKUP('Données projet'!$B$11,Paramètres!$A$1:$I$89,5,0)</f>
        <v>187.26500000000001</v>
      </c>
      <c r="BF28" s="14">
        <f t="shared" si="37"/>
        <v>46.934773872544483</v>
      </c>
      <c r="BG28" s="22">
        <f t="shared" si="7"/>
        <v>407.89793949468162</v>
      </c>
      <c r="BH28" s="62">
        <f t="shared" si="8"/>
        <v>701.23127282801488</v>
      </c>
      <c r="BI28" s="62">
        <f ca="1">AVERAGE(OFFSET($BH$3,0,0,'Données projet'!$E$11+1,1))-AVERAGE(OFFSET($H$3,0,0,'Données projet'!$E$11+1,1))</f>
        <v>374.67858373761965</v>
      </c>
      <c r="BJ28" s="62">
        <f t="shared" si="38"/>
        <v>468.38066974447543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54</v>
      </c>
      <c r="BM28" s="17">
        <f>IF(ISNA(VLOOKUP(A28,'Données projet'!$A$87:$I$107,5,0)),0%,VLOOKUP(A28,'Données projet'!$A$87:$I$107,5,0)*VLOOKUP('Données projet'!$B$11,Paramètres!$A$1:$I$89,7,0))</f>
        <v>0.11000000000000001</v>
      </c>
      <c r="BN28" s="17">
        <f>IF(ISNA(VLOOKUP(A28,'Données projet'!$A$87:$I$107,6,0)),0%,VLOOKUP(A28,'Données projet'!$A$87:$I$107,6,0)*VLOOKUP('Données projet'!$B$11,Paramètres!$A$1:$I$89,7,0))</f>
        <v>0.22000000000000003</v>
      </c>
      <c r="BO28" s="17">
        <f>IF(ISNA(VLOOKUP(A28,'Données projet'!$A$87:$I$107,7,0)),0%,VLOOKUP(A28,'Données projet'!$A$87:$I$107,7,0))</f>
        <v>0.4</v>
      </c>
      <c r="BP28" s="23">
        <f>EXP(-LN(2)/35)*BP27+(1-EXP(-LN(2)/35))/(LN(2)/35)*BL28*BM28*VLOOKUP('Données projet'!$B$11,Paramètres!$A$1:$I$89,3,0)*0.475*44/12</f>
        <v>4.4048042117087762</v>
      </c>
      <c r="BQ28" s="23">
        <f>EXP(-LN(2)/25)*BQ27+(1-EXP(-LN(2)/25))/(LN(2)/25)*Calculateur!BL28*Calculateur!BN28*VLOOKUP('Données projet'!$B$11,Paramètres!$A$1:$I$89,3,0)*0.475*44/12</f>
        <v>8.7749216383305857</v>
      </c>
      <c r="BR28" s="23">
        <f>EXP(-LN(2)/2)*BR27+(1-EXP(-LN(2)/2))/(LN(2)/2)*BL28*BO28*VLOOKUP('Données projet'!$B$11,Paramètres!$A$1:$I$89,3,0)*0.475*44/12</f>
        <v>13.67102565325356</v>
      </c>
      <c r="BS28" s="24">
        <f t="shared" si="9"/>
        <v>26.850751503292919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154</v>
      </c>
      <c r="AJ29" s="14">
        <f>AI29*VLOOKUP('Données projet'!$B$10,Paramètres!$A$1:$I$89,3,0)*VLOOKUP('Données projet'!$B$10,Paramètres!$A$1:$I$89,5,0)</f>
        <v>72.072000000000003</v>
      </c>
      <c r="AK29" s="14">
        <f t="shared" si="35"/>
        <v>20.187131385147271</v>
      </c>
      <c r="AL29" s="22">
        <f t="shared" si="4"/>
        <v>160.68465382913149</v>
      </c>
      <c r="AM29" s="62">
        <f t="shared" si="5"/>
        <v>454.01798716246481</v>
      </c>
      <c r="AN29" s="62">
        <f ca="1">AVERAGE(OFFSET($AM$3,0,0,'Données projet'!$E$10+1,1))-AVERAGE(OFFSET($H$3,0,0,'Données projet'!$E$10+1,1))</f>
        <v>160.81094423216069</v>
      </c>
      <c r="AO29" s="62">
        <f t="shared" si="36"/>
        <v>145.53871436439169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28</v>
      </c>
      <c r="BD29" s="13">
        <f>IF('Données projet'!$A$88&gt;35,BD28+BC29-BL28,IF(A29&lt;'Données projet'!$A$88,$BA$205^A29,IF(A29='Données projet'!$A$88,'Données projet'!$B$88,BD28+BC29-BL28)))</f>
        <v>309</v>
      </c>
      <c r="BE29" s="14">
        <f>BD29*VLOOKUP('Données projet'!$B$11,Paramètres!$A$1:$I$89,3,0)*VLOOKUP('Données projet'!$B$11,Paramètres!$A$1:$I$89,5,0)</f>
        <v>172.73100000000002</v>
      </c>
      <c r="BF29" s="14">
        <f t="shared" si="37"/>
        <v>43.701108252019125</v>
      </c>
      <c r="BG29" s="22">
        <f t="shared" si="7"/>
        <v>376.9525885389333</v>
      </c>
      <c r="BH29" s="62">
        <f t="shared" si="8"/>
        <v>670.28592187226661</v>
      </c>
      <c r="BI29" s="62">
        <f ca="1">AVERAGE(OFFSET($BH$3,0,0,'Données projet'!$E$11+1,1))-AVERAGE(OFFSET($H$3,0,0,'Données projet'!$E$11+1,1))</f>
        <v>374.67858373761965</v>
      </c>
      <c r="BJ29" s="62">
        <f t="shared" si="38"/>
        <v>468.38066974447543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4.3184286877824505</v>
      </c>
      <c r="BQ29" s="23">
        <f>EXP(-LN(2)/25)*BQ28+(1-EXP(-LN(2)/25))/(LN(2)/25)*Calculateur!BL29*Calculateur!BN29*VLOOKUP('Données projet'!$B$11,Paramètres!$A$1:$I$89,3,0)*0.475*44/12</f>
        <v>8.5349709446773616</v>
      </c>
      <c r="BR29" s="23">
        <f>EXP(-LN(2)/2)*BR28+(1-EXP(-LN(2)/2))/(LN(2)/2)*BL29*BO29*VLOOKUP('Données projet'!$B$11,Paramètres!$A$1:$I$89,3,0)*0.475*44/12</f>
        <v>9.6668749451908429</v>
      </c>
      <c r="BS29" s="24">
        <f t="shared" si="9"/>
        <v>22.520274577650653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160.5</v>
      </c>
      <c r="AJ30" s="14">
        <f>AI30*VLOOKUP('Données projet'!$B$10,Paramètres!$A$1:$I$89,3,0)*VLOOKUP('Données projet'!$B$10,Paramètres!$A$1:$I$89,5,0)</f>
        <v>75.114000000000004</v>
      </c>
      <c r="AK30" s="14">
        <f t="shared" si="35"/>
        <v>20.938185501492693</v>
      </c>
      <c r="AL30" s="22">
        <f t="shared" si="4"/>
        <v>167.2908897484331</v>
      </c>
      <c r="AM30" s="62">
        <f t="shared" si="5"/>
        <v>460.62422308176644</v>
      </c>
      <c r="AN30" s="62">
        <f ca="1">AVERAGE(OFFSET($AM$3,0,0,'Données projet'!$E$10+1,1))-AVERAGE(OFFSET($H$3,0,0,'Données projet'!$E$10+1,1))</f>
        <v>160.81094423216069</v>
      </c>
      <c r="AO30" s="62">
        <f t="shared" si="36"/>
        <v>145.53871436439169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28</v>
      </c>
      <c r="BD30" s="13">
        <f>IF('Données projet'!$A$88&gt;35,BD29+BC30-BL29,IF(A30&lt;'Données projet'!$A$88,$BA$205^A30,IF(A30='Données projet'!$A$88,'Données projet'!$B$88,BD29+BC30-BL29)))</f>
        <v>337</v>
      </c>
      <c r="BE30" s="14">
        <f>BD30*VLOOKUP('Données projet'!$B$11,Paramètres!$A$1:$I$89,3,0)*VLOOKUP('Données projet'!$B$11,Paramètres!$A$1:$I$89,5,0)</f>
        <v>188.38300000000001</v>
      </c>
      <c r="BF30" s="14">
        <f t="shared" si="37"/>
        <v>47.182279474248382</v>
      </c>
      <c r="BG30" s="22">
        <f t="shared" si="7"/>
        <v>410.27619508431599</v>
      </c>
      <c r="BH30" s="62">
        <f t="shared" si="8"/>
        <v>703.60952841764924</v>
      </c>
      <c r="BI30" s="62">
        <f ca="1">AVERAGE(OFFSET($BH$3,0,0,'Données projet'!$E$11+1,1))-AVERAGE(OFFSET($H$3,0,0,'Données projet'!$E$11+1,1))</f>
        <v>374.67858373761965</v>
      </c>
      <c r="BJ30" s="62">
        <f t="shared" si="38"/>
        <v>468.38066974447543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4.2337469351964518</v>
      </c>
      <c r="BQ30" s="23">
        <f>EXP(-LN(2)/25)*BQ29+(1-EXP(-LN(2)/25))/(LN(2)/25)*Calculateur!BL30*Calculateur!BN30*VLOOKUP('Données projet'!$B$11,Paramètres!$A$1:$I$89,3,0)*0.475*44/12</f>
        <v>8.3015817153605447</v>
      </c>
      <c r="BR30" s="23">
        <f>EXP(-LN(2)/2)*BR29+(1-EXP(-LN(2)/2))/(LN(2)/2)*BL30*BO30*VLOOKUP('Données projet'!$B$11,Paramètres!$A$1:$I$89,3,0)*0.475*44/12</f>
        <v>6.8355128266267808</v>
      </c>
      <c r="BS30" s="24">
        <f t="shared" si="9"/>
        <v>19.370841477183777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167</v>
      </c>
      <c r="AJ31" s="14">
        <f>AI31*VLOOKUP('Données projet'!$B$10,Paramètres!$A$1:$I$89,3,0)*VLOOKUP('Données projet'!$B$10,Paramètres!$A$1:$I$89,5,0)</f>
        <v>78.156000000000006</v>
      </c>
      <c r="AK31" s="14">
        <f t="shared" si="35"/>
        <v>21.685706446534809</v>
      </c>
      <c r="AL31" s="22">
        <f t="shared" si="4"/>
        <v>173.89097206104813</v>
      </c>
      <c r="AM31" s="62">
        <f t="shared" si="5"/>
        <v>467.22430539438142</v>
      </c>
      <c r="AN31" s="62">
        <f ca="1">AVERAGE(OFFSET($AM$3,0,0,'Données projet'!$E$10+1,1))-AVERAGE(OFFSET($H$3,0,0,'Données projet'!$E$10+1,1))</f>
        <v>160.81094423216069</v>
      </c>
      <c r="AO31" s="62">
        <f t="shared" si="36"/>
        <v>145.53871436439169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28</v>
      </c>
      <c r="BD31" s="13">
        <f>IF('Données projet'!$A$88&gt;35,BD30+BC31-BL30,IF(A31&lt;'Données projet'!$A$88,$BA$205^A31,IF(A31='Données projet'!$A$88,'Données projet'!$B$88,BD30+BC31-BL30)))</f>
        <v>365</v>
      </c>
      <c r="BE31" s="14">
        <f>BD31*VLOOKUP('Données projet'!$B$11,Paramètres!$A$1:$I$89,3,0)*VLOOKUP('Données projet'!$B$11,Paramètres!$A$1:$I$89,5,0)</f>
        <v>204.035</v>
      </c>
      <c r="BF31" s="14">
        <f t="shared" si="37"/>
        <v>50.629905099971396</v>
      </c>
      <c r="BG31" s="22">
        <f t="shared" si="7"/>
        <v>443.54137638245015</v>
      </c>
      <c r="BH31" s="62">
        <f t="shared" si="8"/>
        <v>736.87470971578341</v>
      </c>
      <c r="BI31" s="62">
        <f ca="1">AVERAGE(OFFSET($BH$3,0,0,'Données projet'!$E$11+1,1))-AVERAGE(OFFSET($H$3,0,0,'Données projet'!$E$11+1,1))</f>
        <v>374.67858373761965</v>
      </c>
      <c r="BJ31" s="62">
        <f t="shared" si="38"/>
        <v>468.38066974447543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4.1507257401278963</v>
      </c>
      <c r="BQ31" s="23">
        <f>EXP(-LN(2)/25)*BQ30+(1-EXP(-LN(2)/25))/(LN(2)/25)*Calculateur!BL31*Calculateur!BN31*VLOOKUP('Données projet'!$B$11,Paramètres!$A$1:$I$89,3,0)*0.475*44/12</f>
        <v>8.0745745267928015</v>
      </c>
      <c r="BR31" s="23">
        <f>EXP(-LN(2)/2)*BR30+(1-EXP(-LN(2)/2))/(LN(2)/2)*BL31*BO31*VLOOKUP('Données projet'!$B$11,Paramètres!$A$1:$I$89,3,0)*0.475*44/12</f>
        <v>4.8334374725954223</v>
      </c>
      <c r="BS31" s="24">
        <f t="shared" si="9"/>
        <v>17.058737739516118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173.5</v>
      </c>
      <c r="AJ32" s="14">
        <f>AI32*VLOOKUP('Données projet'!$B$10,Paramètres!$A$1:$I$89,3,0)*VLOOKUP('Données projet'!$B$10,Paramètres!$A$1:$I$89,5,0)</f>
        <v>81.198000000000008</v>
      </c>
      <c r="AK32" s="14">
        <f t="shared" si="35"/>
        <v>22.429847477648512</v>
      </c>
      <c r="AL32" s="22">
        <f t="shared" si="4"/>
        <v>180.48516769023783</v>
      </c>
      <c r="AM32" s="62">
        <f t="shared" si="5"/>
        <v>473.81850102357112</v>
      </c>
      <c r="AN32" s="62">
        <f ca="1">AVERAGE(OFFSET($AM$3,0,0,'Données projet'!$E$10+1,1))-AVERAGE(OFFSET($H$3,0,0,'Données projet'!$E$10+1,1))</f>
        <v>160.81094423216069</v>
      </c>
      <c r="AO32" s="62">
        <f t="shared" si="36"/>
        <v>145.53871436439169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28</v>
      </c>
      <c r="BD32" s="13">
        <f>IF('Données projet'!$A$88&gt;35,BD31+BC32-BL31,IF(A32&lt;'Données projet'!$A$88,$BA$205^A32,IF(A32='Données projet'!$A$88,'Données projet'!$B$88,BD31+BC32-BL31)))</f>
        <v>393</v>
      </c>
      <c r="BE32" s="14">
        <f>BD32*VLOOKUP('Données projet'!$B$11,Paramètres!$A$1:$I$89,3,0)*VLOOKUP('Données projet'!$B$11,Paramètres!$A$1:$I$89,5,0)</f>
        <v>219.68700000000001</v>
      </c>
      <c r="BF32" s="14">
        <f t="shared" si="37"/>
        <v>54.046851081096591</v>
      </c>
      <c r="BG32" s="22">
        <f t="shared" si="7"/>
        <v>476.75312396624321</v>
      </c>
      <c r="BH32" s="62">
        <f t="shared" si="8"/>
        <v>770.08645729957652</v>
      </c>
      <c r="BI32" s="62">
        <f ca="1">AVERAGE(OFFSET($BH$3,0,0,'Données projet'!$E$11+1,1))-AVERAGE(OFFSET($H$3,0,0,'Données projet'!$E$11+1,1))</f>
        <v>374.67858373761965</v>
      </c>
      <c r="BJ32" s="62">
        <f t="shared" si="38"/>
        <v>468.38066974447543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4.0693325400567062</v>
      </c>
      <c r="BQ32" s="23">
        <f>EXP(-LN(2)/25)*BQ31+(1-EXP(-LN(2)/25))/(LN(2)/25)*Calculateur!BL32*Calculateur!BN32*VLOOKUP('Données projet'!$B$11,Paramètres!$A$1:$I$89,3,0)*0.475*44/12</f>
        <v>7.8537748617342329</v>
      </c>
      <c r="BR32" s="23">
        <f>EXP(-LN(2)/2)*BR31+(1-EXP(-LN(2)/2))/(LN(2)/2)*BL32*BO32*VLOOKUP('Données projet'!$B$11,Paramètres!$A$1:$I$89,3,0)*0.475*44/12</f>
        <v>3.4177564133133909</v>
      </c>
      <c r="BS32" s="24">
        <f t="shared" si="9"/>
        <v>15.340863815104331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180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180</v>
      </c>
      <c r="AJ33" s="14">
        <f>AI33*VLOOKUP('Données projet'!$B$10,Paramètres!$A$1:$I$89,3,0)*VLOOKUP('Données projet'!$B$10,Paramètres!$A$1:$I$89,5,0)</f>
        <v>84.24</v>
      </c>
      <c r="AK33" s="14">
        <f t="shared" si="35"/>
        <v>23.170749718409468</v>
      </c>
      <c r="AL33" s="22">
        <f t="shared" si="4"/>
        <v>187.07372242622981</v>
      </c>
      <c r="AM33" s="62">
        <f t="shared" si="5"/>
        <v>480.40705575956315</v>
      </c>
      <c r="AN33" s="62">
        <f ca="1">AVERAGE(OFFSET($AM$3,0,0,'Données projet'!$E$10+1,1))-AVERAGE(OFFSET($H$3,0,0,'Données projet'!$E$10+1,1))</f>
        <v>160.81094423216069</v>
      </c>
      <c r="AO33" s="62">
        <f t="shared" si="36"/>
        <v>145.53871436439169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0.11000000000000001</v>
      </c>
      <c r="AT33" s="17">
        <f>IF(ISNA(VLOOKUP(A33,'Données projet'!$A$61:$I$81,7,0)),0%,VLOOKUP(A33,'Données projet'!$A$61:$I$81,7,0))</f>
        <v>0.8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421</v>
      </c>
      <c r="BB33" s="13">
        <f>VLOOKUP(A33,'Données projet'!$A$87:$I$107,9,0)</f>
        <v>28</v>
      </c>
      <c r="BC33" s="13">
        <f t="array" ref="BC33">INDEX(BB:BB,MIN(IF(ISNUMBER(BB33:BB229),ROW(BB33:BB229),"")))</f>
        <v>28</v>
      </c>
      <c r="BD33" s="13">
        <f>IF('Données projet'!$A$88&gt;35,BD32+BC33-BL32,IF(A33&lt;'Données projet'!$A$88,$BA$205^A33,IF(A33='Données projet'!$A$88,'Données projet'!$B$88,BD32+BC33-BL32)))</f>
        <v>421</v>
      </c>
      <c r="BE33" s="14">
        <f>BD33*VLOOKUP('Données projet'!$B$11,Paramètres!$A$1:$I$89,3,0)*VLOOKUP('Données projet'!$B$11,Paramètres!$A$1:$I$89,5,0)</f>
        <v>235.339</v>
      </c>
      <c r="BF33" s="14">
        <f t="shared" si="37"/>
        <v>57.43555185051494</v>
      </c>
      <c r="BG33" s="22">
        <f t="shared" si="7"/>
        <v>509.91567780631357</v>
      </c>
      <c r="BH33" s="62">
        <f t="shared" si="8"/>
        <v>803.24901113964688</v>
      </c>
      <c r="BI33" s="62">
        <f ca="1">AVERAGE(OFFSET($BH$3,0,0,'Données projet'!$E$11+1,1))-AVERAGE(OFFSET($H$3,0,0,'Données projet'!$E$11+1,1))</f>
        <v>374.67858373761965</v>
      </c>
      <c r="BJ33" s="62">
        <f t="shared" si="38"/>
        <v>468.38066974447543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54</v>
      </c>
      <c r="BM33" s="17">
        <f>IF(ISNA(VLOOKUP(A33,'Données projet'!$A$87:$I$107,5,0)),0%,VLOOKUP(A33,'Données projet'!$A$87:$I$107,5,0)*VLOOKUP('Données projet'!$B$11,Paramètres!$A$1:$I$89,7,0))</f>
        <v>0.22000000000000003</v>
      </c>
      <c r="BN33" s="17">
        <f>IF(ISNA(VLOOKUP(A33,'Données projet'!$A$87:$I$107,6,0)),0%,VLOOKUP(A33,'Données projet'!$A$87:$I$107,6,0)*VLOOKUP('Données projet'!$B$11,Paramètres!$A$1:$I$89,7,0))</f>
        <v>0.16500000000000001</v>
      </c>
      <c r="BO33" s="17">
        <f>IF(ISNA(VLOOKUP(A33,'Données projet'!$A$87:$I$107,7,0)),0%,VLOOKUP(A33,'Données projet'!$A$87:$I$107,7,0))</f>
        <v>0.3</v>
      </c>
      <c r="BP33" s="23">
        <f>EXP(-LN(2)/35)*BP32+(1-EXP(-LN(2)/35))/(LN(2)/35)*BL33*BM33*VLOOKUP('Données projet'!$B$11,Paramètres!$A$1:$I$89,3,0)*0.475*44/12</f>
        <v>12.799143834411513</v>
      </c>
      <c r="BQ33" s="23">
        <f>EXP(-LN(2)/25)*BQ32+(1-EXP(-LN(2)/25))/(LN(2)/25)*Calculateur!BL33*Calculateur!BN33*VLOOKUP('Données projet'!$B$11,Paramètres!$A$1:$I$89,3,0)*0.475*44/12</f>
        <v>14.220204203875978</v>
      </c>
      <c r="BR33" s="23">
        <f>EXP(-LN(2)/2)*BR32+(1-EXP(-LN(2)/2))/(LN(2)/2)*BL33*BO33*VLOOKUP('Données projet'!$B$11,Paramètres!$A$1:$I$89,3,0)*0.475*44/12</f>
        <v>12.669987976237881</v>
      </c>
      <c r="BS33" s="24">
        <f t="shared" si="9"/>
        <v>39.689336014525367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187</v>
      </c>
      <c r="AJ34" s="14">
        <f>AI34*VLOOKUP('Données projet'!$B$10,Paramètres!$A$1:$I$89,3,0)*VLOOKUP('Données projet'!$B$10,Paramètres!$A$1:$I$89,5,0)</f>
        <v>87.515999999999991</v>
      </c>
      <c r="AK34" s="14">
        <f t="shared" si="35"/>
        <v>23.965171662037644</v>
      </c>
      <c r="AL34" s="22">
        <f t="shared" si="4"/>
        <v>194.16304064471555</v>
      </c>
      <c r="AM34" s="62">
        <f t="shared" si="5"/>
        <v>487.49637397804884</v>
      </c>
      <c r="AN34" s="62">
        <f ca="1">AVERAGE(OFFSET($AM$3,0,0,'Données projet'!$E$10+1,1))-AVERAGE(OFFSET($H$3,0,0,'Données projet'!$E$10+1,1))</f>
        <v>160.81094423216069</v>
      </c>
      <c r="AO34" s="62">
        <f t="shared" si="36"/>
        <v>145.53871436439169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27.6</v>
      </c>
      <c r="BD34" s="13">
        <f>IF('Données projet'!$A$88&gt;35,BD33+BC34-BL33,IF(A34&lt;'Données projet'!$A$88,$BA$205^A34,IF(A34='Données projet'!$A$88,'Données projet'!$B$88,BD33+BC34-BL33)))</f>
        <v>394.6</v>
      </c>
      <c r="BE34" s="14">
        <f>BD34*VLOOKUP('Données projet'!$B$11,Paramètres!$A$1:$I$89,3,0)*VLOOKUP('Données projet'!$B$11,Paramètres!$A$1:$I$89,5,0)</f>
        <v>220.5814</v>
      </c>
      <c r="BF34" s="14">
        <f t="shared" si="37"/>
        <v>54.241230721401301</v>
      </c>
      <c r="BG34" s="22">
        <f t="shared" si="7"/>
        <v>478.64941517310723</v>
      </c>
      <c r="BH34" s="62">
        <f t="shared" si="8"/>
        <v>771.98274850644054</v>
      </c>
      <c r="BI34" s="62">
        <f ca="1">AVERAGE(OFFSET($BH$3,0,0,'Données projet'!$E$11+1,1))-AVERAGE(OFFSET($H$3,0,0,'Données projet'!$E$11+1,1))</f>
        <v>374.67858373761965</v>
      </c>
      <c r="BJ34" s="62">
        <f t="shared" si="38"/>
        <v>468.38066974447543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12.548160430525595</v>
      </c>
      <c r="BQ34" s="23">
        <f>EXP(-LN(2)/25)*BQ33+(1-EXP(-LN(2)/25))/(LN(2)/25)*Calculateur!BL34*Calculateur!BN34*VLOOKUP('Données projet'!$B$11,Paramètres!$A$1:$I$89,3,0)*0.475*44/12</f>
        <v>13.831351972112952</v>
      </c>
      <c r="BR34" s="23">
        <f>EXP(-LN(2)/2)*BR33+(1-EXP(-LN(2)/2))/(LN(2)/2)*BL34*BO34*VLOOKUP('Données projet'!$B$11,Paramètres!$A$1:$I$89,3,0)*0.475*44/12</f>
        <v>8.9590344155498283</v>
      </c>
      <c r="BS34" s="24">
        <f t="shared" si="9"/>
        <v>35.338546818188377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194</v>
      </c>
      <c r="AJ35" s="14">
        <f>AI35*VLOOKUP('Données projet'!$B$10,Paramètres!$A$1:$I$89,3,0)*VLOOKUP('Données projet'!$B$10,Paramètres!$A$1:$I$89,5,0)</f>
        <v>90.792000000000002</v>
      </c>
      <c r="AK35" s="14">
        <f t="shared" si="35"/>
        <v>24.756138813110173</v>
      </c>
      <c r="AL35" s="22">
        <f t="shared" si="4"/>
        <v>201.24634176616689</v>
      </c>
      <c r="AM35" s="62">
        <f t="shared" si="5"/>
        <v>494.57967509950021</v>
      </c>
      <c r="AN35" s="62">
        <f ca="1">AVERAGE(OFFSET($AM$3,0,0,'Données projet'!$E$10+1,1))-AVERAGE(OFFSET($H$3,0,0,'Données projet'!$E$10+1,1))</f>
        <v>160.81094423216069</v>
      </c>
      <c r="AO35" s="62">
        <f t="shared" si="36"/>
        <v>145.53871436439169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27.6</v>
      </c>
      <c r="BD35" s="13">
        <f>IF('Données projet'!$A$88&gt;35,BD34+BC35-BL34,IF(A35&lt;'Données projet'!$A$88,$BA$205^A35,IF(A35='Données projet'!$A$88,'Données projet'!$B$88,BD34+BC35-BL34)))</f>
        <v>422.20000000000005</v>
      </c>
      <c r="BE35" s="14">
        <f>BD35*VLOOKUP('Données projet'!$B$11,Paramètres!$A$1:$I$89,3,0)*VLOOKUP('Données projet'!$B$11,Paramètres!$A$1:$I$89,5,0)</f>
        <v>236.00980000000004</v>
      </c>
      <c r="BF35" s="14">
        <f t="shared" si="37"/>
        <v>57.580183613654185</v>
      </c>
      <c r="BG35" s="22">
        <f t="shared" si="7"/>
        <v>511.3358881271144</v>
      </c>
      <c r="BH35" s="62">
        <f t="shared" si="8"/>
        <v>804.66922146044772</v>
      </c>
      <c r="BI35" s="62">
        <f ca="1">AVERAGE(OFFSET($BH$3,0,0,'Données projet'!$E$11+1,1))-AVERAGE(OFFSET($H$3,0,0,'Données projet'!$E$11+1,1))</f>
        <v>374.67858373761965</v>
      </c>
      <c r="BJ35" s="62">
        <f t="shared" si="38"/>
        <v>468.38066974447543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12.302098658105118</v>
      </c>
      <c r="BQ35" s="23">
        <f>EXP(-LN(2)/25)*BQ34+(1-EXP(-LN(2)/25))/(LN(2)/25)*Calculateur!BL35*Calculateur!BN35*VLOOKUP('Données projet'!$B$11,Paramètres!$A$1:$I$89,3,0)*0.475*44/12</f>
        <v>13.453132925076336</v>
      </c>
      <c r="BR35" s="23">
        <f>EXP(-LN(2)/2)*BR34+(1-EXP(-LN(2)/2))/(LN(2)/2)*BL35*BO35*VLOOKUP('Données projet'!$B$11,Paramètres!$A$1:$I$89,3,0)*0.475*44/12</f>
        <v>6.3349939881189412</v>
      </c>
      <c r="BS35" s="24">
        <f t="shared" si="9"/>
        <v>32.090225571300394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201</v>
      </c>
      <c r="AJ36" s="14">
        <f>AI36*VLOOKUP('Données projet'!$B$10,Paramètres!$A$1:$I$89,3,0)*VLOOKUP('Données projet'!$B$10,Paramètres!$A$1:$I$89,5,0)</f>
        <v>94.067999999999998</v>
      </c>
      <c r="AK36" s="14">
        <f t="shared" si="35"/>
        <v>25.543790108694029</v>
      </c>
      <c r="AL36" s="22">
        <f t="shared" si="4"/>
        <v>208.32386777264207</v>
      </c>
      <c r="AM36" s="62">
        <f t="shared" si="5"/>
        <v>501.65720110597539</v>
      </c>
      <c r="AN36" s="62">
        <f ca="1">AVERAGE(OFFSET($AM$3,0,0,'Données projet'!$E$10+1,1))-AVERAGE(OFFSET($H$3,0,0,'Données projet'!$E$10+1,1))</f>
        <v>160.81094423216069</v>
      </c>
      <c r="AO36" s="62">
        <f t="shared" si="36"/>
        <v>145.53871436439169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27.6</v>
      </c>
      <c r="BD36" s="13">
        <f>IF('Données projet'!$A$88&gt;35,BD35+BC36-BL35,IF(A36&lt;'Données projet'!$A$88,$BA$205^A36,IF(A36='Données projet'!$A$88,'Données projet'!$B$88,BD35+BC36-BL35)))</f>
        <v>449.80000000000007</v>
      </c>
      <c r="BE36" s="14">
        <f>BD36*VLOOKUP('Données projet'!$B$11,Paramètres!$A$1:$I$89,3,0)*VLOOKUP('Données projet'!$B$11,Paramètres!$A$1:$I$89,5,0)</f>
        <v>251.43820000000002</v>
      </c>
      <c r="BF36" s="14">
        <f t="shared" si="37"/>
        <v>60.893806844597648</v>
      </c>
      <c r="BG36" s="22">
        <f t="shared" si="7"/>
        <v>543.978245254341</v>
      </c>
      <c r="BH36" s="62">
        <f t="shared" si="8"/>
        <v>837.31157858767438</v>
      </c>
      <c r="BI36" s="62">
        <f ca="1">AVERAGE(OFFSET($BH$3,0,0,'Données projet'!$E$11+1,1))-AVERAGE(OFFSET($H$3,0,0,'Données projet'!$E$11+1,1))</f>
        <v>374.67858373761965</v>
      </c>
      <c r="BJ36" s="62">
        <f t="shared" si="38"/>
        <v>468.38066974447543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12.060862006958946</v>
      </c>
      <c r="BQ36" s="23">
        <f>EXP(-LN(2)/25)*BQ35+(1-EXP(-LN(2)/25))/(LN(2)/25)*Calculateur!BL36*Calculateur!BN36*VLOOKUP('Données projet'!$B$11,Paramètres!$A$1:$I$89,3,0)*0.475*44/12</f>
        <v>13.085256297770611</v>
      </c>
      <c r="BR36" s="23">
        <f>EXP(-LN(2)/2)*BR35+(1-EXP(-LN(2)/2))/(LN(2)/2)*BL36*BO36*VLOOKUP('Données projet'!$B$11,Paramètres!$A$1:$I$89,3,0)*0.475*44/12</f>
        <v>4.4795172077749141</v>
      </c>
      <c r="BS36" s="24">
        <f t="shared" si="9"/>
        <v>29.62563551250447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208</v>
      </c>
      <c r="AJ37" s="14">
        <f>AI37*VLOOKUP('Données projet'!$B$10,Paramètres!$A$1:$I$89,3,0)*VLOOKUP('Données projet'!$B$10,Paramètres!$A$1:$I$89,5,0)</f>
        <v>97.343999999999994</v>
      </c>
      <c r="AK37" s="14">
        <f t="shared" si="35"/>
        <v>26.328254259866451</v>
      </c>
      <c r="AL37" s="22">
        <f t="shared" si="4"/>
        <v>215.39584283593408</v>
      </c>
      <c r="AM37" s="62">
        <f t="shared" si="5"/>
        <v>508.72917616926736</v>
      </c>
      <c r="AN37" s="62">
        <f ca="1">AVERAGE(OFFSET($AM$3,0,0,'Données projet'!$E$10+1,1))-AVERAGE(OFFSET($H$3,0,0,'Données projet'!$E$10+1,1))</f>
        <v>160.81094423216069</v>
      </c>
      <c r="AO37" s="62">
        <f t="shared" si="36"/>
        <v>145.53871436439169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27.6</v>
      </c>
      <c r="BD37" s="13">
        <f>IF('Données projet'!$A$88&gt;35,BD36+BC37-BL36,IF(A37&lt;'Données projet'!$A$88,$BA$205^A37,IF(A37='Données projet'!$A$88,'Données projet'!$B$88,BD36+BC37-BL36)))</f>
        <v>477.40000000000009</v>
      </c>
      <c r="BE37" s="14">
        <f>BD37*VLOOKUP('Données projet'!$B$11,Paramètres!$A$1:$I$89,3,0)*VLOOKUP('Données projet'!$B$11,Paramètres!$A$1:$I$89,5,0)</f>
        <v>266.86660000000006</v>
      </c>
      <c r="BF37" s="14">
        <f t="shared" si="37"/>
        <v>64.183831628008477</v>
      </c>
      <c r="BG37" s="22">
        <f t="shared" si="7"/>
        <v>576.57950175211477</v>
      </c>
      <c r="BH37" s="62">
        <f t="shared" si="8"/>
        <v>869.91283508544802</v>
      </c>
      <c r="BI37" s="62">
        <f ca="1">AVERAGE(OFFSET($BH$3,0,0,'Données projet'!$E$11+1,1))-AVERAGE(OFFSET($H$3,0,0,'Données projet'!$E$11+1,1))</f>
        <v>374.67858373761965</v>
      </c>
      <c r="BJ37" s="62">
        <f t="shared" si="38"/>
        <v>468.38066974447543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11.824355859401921</v>
      </c>
      <c r="BQ37" s="23">
        <f>EXP(-LN(2)/25)*BQ36+(1-EXP(-LN(2)/25))/(LN(2)/25)*Calculateur!BL37*Calculateur!BN37*VLOOKUP('Données projet'!$B$11,Paramètres!$A$1:$I$89,3,0)*0.475*44/12</f>
        <v>12.727439276184352</v>
      </c>
      <c r="BR37" s="23">
        <f>EXP(-LN(2)/2)*BR36+(1-EXP(-LN(2)/2))/(LN(2)/2)*BL37*BO37*VLOOKUP('Données projet'!$B$11,Paramètres!$A$1:$I$89,3,0)*0.475*44/12</f>
        <v>3.1674969940594706</v>
      </c>
      <c r="BS37" s="24">
        <f t="shared" si="9"/>
        <v>27.719292129645744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215</v>
      </c>
      <c r="AJ38" s="14">
        <f>AI38*VLOOKUP('Données projet'!$B$10,Paramètres!$A$1:$I$89,3,0)*VLOOKUP('Données projet'!$B$10,Paramètres!$A$1:$I$89,5,0)</f>
        <v>100.61999999999999</v>
      </c>
      <c r="AK38" s="14">
        <f t="shared" si="35"/>
        <v>27.10965082293415</v>
      </c>
      <c r="AL38" s="22">
        <f t="shared" si="4"/>
        <v>222.46247518327695</v>
      </c>
      <c r="AM38" s="62">
        <f t="shared" si="5"/>
        <v>515.79580851661024</v>
      </c>
      <c r="AN38" s="62">
        <f ca="1">AVERAGE(OFFSET($AM$3,0,0,'Données projet'!$E$10+1,1))-AVERAGE(OFFSET($H$3,0,0,'Données projet'!$E$10+1,1))</f>
        <v>160.81094423216069</v>
      </c>
      <c r="AO38" s="62">
        <f t="shared" si="36"/>
        <v>145.53871436439169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505</v>
      </c>
      <c r="BB38" s="13">
        <f>VLOOKUP(A38,'Données projet'!$A$87:$I$107,9,0)</f>
        <v>27.6</v>
      </c>
      <c r="BC38" s="13">
        <f t="array" ref="BC38">INDEX(BB:BB,MIN(IF(ISNUMBER(BB38:BB234),ROW(BB38:BB234),"")))</f>
        <v>27.6</v>
      </c>
      <c r="BD38" s="13">
        <f>IF('Données projet'!$A$88&gt;35,BD37+BC38-BL37,IF(A38&lt;'Données projet'!$A$88,$BA$205^A38,IF(A38='Données projet'!$A$88,'Données projet'!$B$88,BD37+BC38-BL37)))</f>
        <v>505.00000000000011</v>
      </c>
      <c r="BE38" s="14">
        <f>BD38*VLOOKUP('Données projet'!$B$11,Paramètres!$A$1:$I$89,3,0)*VLOOKUP('Données projet'!$B$11,Paramètres!$A$1:$I$89,5,0)</f>
        <v>282.29500000000007</v>
      </c>
      <c r="BF38" s="14">
        <f t="shared" si="37"/>
        <v>67.451777696853824</v>
      </c>
      <c r="BG38" s="22">
        <f t="shared" si="7"/>
        <v>609.14230448868716</v>
      </c>
      <c r="BH38" s="62">
        <f t="shared" si="8"/>
        <v>902.47563782202042</v>
      </c>
      <c r="BI38" s="62">
        <f ca="1">AVERAGE(OFFSET($BH$3,0,0,'Données projet'!$E$11+1,1))-AVERAGE(OFFSET($H$3,0,0,'Données projet'!$E$11+1,1))</f>
        <v>374.67858373761965</v>
      </c>
      <c r="BJ38" s="62">
        <f t="shared" si="38"/>
        <v>468.38066974447543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69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11.592487453143983</v>
      </c>
      <c r="BQ38" s="23">
        <f>EXP(-LN(2)/25)*BQ37+(1-EXP(-LN(2)/25))/(LN(2)/25)*Calculateur!BL38*Calculateur!BN38*VLOOKUP('Données projet'!$B$11,Paramètres!$A$1:$I$89,3,0)*0.475*44/12</f>
        <v>12.379406779870148</v>
      </c>
      <c r="BR38" s="23">
        <f>EXP(-LN(2)/2)*BR37+(1-EXP(-LN(2)/2))/(LN(2)/2)*BL38*BO38*VLOOKUP('Données projet'!$B$11,Paramètres!$A$1:$I$89,3,0)*0.475*44/12</f>
        <v>2.2397586038874571</v>
      </c>
      <c r="BS38" s="24">
        <f t="shared" si="9"/>
        <v>26.211652836901589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222</v>
      </c>
      <c r="AJ39" s="14">
        <f>AI39*VLOOKUP('Données projet'!$B$10,Paramètres!$A$1:$I$89,3,0)*VLOOKUP('Données projet'!$B$10,Paramètres!$A$1:$I$89,5,0)</f>
        <v>103.896</v>
      </c>
      <c r="AK39" s="14">
        <f t="shared" si="35"/>
        <v>27.888091127225799</v>
      </c>
      <c r="AL39" s="22">
        <f t="shared" si="4"/>
        <v>229.52395871325157</v>
      </c>
      <c r="AM39" s="62">
        <f t="shared" si="5"/>
        <v>522.85729204658492</v>
      </c>
      <c r="AN39" s="62">
        <f ca="1">AVERAGE(OFFSET($AM$3,0,0,'Données projet'!$E$10+1,1))-AVERAGE(OFFSET($H$3,0,0,'Données projet'!$E$10+1,1))</f>
        <v>160.81094423216069</v>
      </c>
      <c r="AO39" s="62">
        <f t="shared" si="36"/>
        <v>145.53871436439169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25.6</v>
      </c>
      <c r="BD39" s="13">
        <f>IF('Données projet'!$A$88&gt;35,BD38+BC39-BL38,IF(A39&lt;'Données projet'!$A$88,$BA$205^A39,IF(A39='Données projet'!$A$88,'Données projet'!$B$88,BD38+BC39-BL38)))</f>
        <v>461.60000000000014</v>
      </c>
      <c r="BE39" s="14">
        <f>BD39*VLOOKUP('Données projet'!$B$11,Paramètres!$A$1:$I$89,3,0)*VLOOKUP('Données projet'!$B$11,Paramètres!$A$1:$I$89,5,0)</f>
        <v>258.03440000000006</v>
      </c>
      <c r="BF39" s="14">
        <f t="shared" si="37"/>
        <v>62.303206596431174</v>
      </c>
      <c r="BG39" s="22">
        <f t="shared" si="7"/>
        <v>557.9213314887844</v>
      </c>
      <c r="BH39" s="62">
        <f t="shared" si="8"/>
        <v>851.25466482211777</v>
      </c>
      <c r="BI39" s="62">
        <f ca="1">AVERAGE(OFFSET($BH$3,0,0,'Données projet'!$E$11+1,1))-AVERAGE(OFFSET($H$3,0,0,'Données projet'!$E$11+1,1))</f>
        <v>374.67858373761965</v>
      </c>
      <c r="BJ39" s="62">
        <f t="shared" si="38"/>
        <v>468.38066974447543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11.365165844907001</v>
      </c>
      <c r="BQ39" s="23">
        <f>EXP(-LN(2)/25)*BQ38+(1-EXP(-LN(2)/25))/(LN(2)/25)*Calculateur!BL39*Calculateur!BN39*VLOOKUP('Données projet'!$B$11,Paramètres!$A$1:$I$89,3,0)*0.475*44/12</f>
        <v>12.04089125046989</v>
      </c>
      <c r="BR39" s="23">
        <f>EXP(-LN(2)/2)*BR38+(1-EXP(-LN(2)/2))/(LN(2)/2)*BL39*BO39*VLOOKUP('Données projet'!$B$11,Paramètres!$A$1:$I$89,3,0)*0.475*44/12</f>
        <v>1.5837484970297353</v>
      </c>
      <c r="BS39" s="24">
        <f t="shared" si="9"/>
        <v>24.989805592406626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229</v>
      </c>
      <c r="AJ40" s="14">
        <f>AI40*VLOOKUP('Données projet'!$B$10,Paramètres!$A$1:$I$89,3,0)*VLOOKUP('Données projet'!$B$10,Paramètres!$A$1:$I$89,5,0)</f>
        <v>107.172</v>
      </c>
      <c r="AK40" s="14">
        <f t="shared" si="35"/>
        <v>28.663679082578788</v>
      </c>
      <c r="AL40" s="22">
        <f t="shared" si="4"/>
        <v>236.58047440215805</v>
      </c>
      <c r="AM40" s="62">
        <f t="shared" si="5"/>
        <v>529.91380773549133</v>
      </c>
      <c r="AN40" s="62">
        <f ca="1">AVERAGE(OFFSET($AM$3,0,0,'Données projet'!$E$10+1,1))-AVERAGE(OFFSET($H$3,0,0,'Données projet'!$E$10+1,1))</f>
        <v>160.81094423216069</v>
      </c>
      <c r="AO40" s="62">
        <f t="shared" si="36"/>
        <v>145.53871436439169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25.6</v>
      </c>
      <c r="BD40" s="13">
        <f>IF('Données projet'!$A$88&gt;35,BD39+BC40-BL39,IF(A40&lt;'Données projet'!$A$88,$BA$205^A40,IF(A40='Données projet'!$A$88,'Données projet'!$B$88,BD39+BC40-BL39)))</f>
        <v>487.20000000000016</v>
      </c>
      <c r="BE40" s="14">
        <f>BD40*VLOOKUP('Données projet'!$B$11,Paramètres!$A$1:$I$89,3,0)*VLOOKUP('Données projet'!$B$11,Paramètres!$A$1:$I$89,5,0)</f>
        <v>272.34480000000008</v>
      </c>
      <c r="BF40" s="14">
        <f t="shared" si="37"/>
        <v>65.346644318451709</v>
      </c>
      <c r="BG40" s="22">
        <f t="shared" si="7"/>
        <v>588.14593218797006</v>
      </c>
      <c r="BH40" s="62">
        <f t="shared" si="8"/>
        <v>881.47926552130343</v>
      </c>
      <c r="BI40" s="62">
        <f ca="1">AVERAGE(OFFSET($BH$3,0,0,'Données projet'!$E$11+1,1))-AVERAGE(OFFSET($H$3,0,0,'Données projet'!$E$11+1,1))</f>
        <v>374.67858373761965</v>
      </c>
      <c r="BJ40" s="62">
        <f t="shared" si="38"/>
        <v>468.38066974447543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11.142301874755056</v>
      </c>
      <c r="BQ40" s="23">
        <f>EXP(-LN(2)/25)*BQ39+(1-EXP(-LN(2)/25))/(LN(2)/25)*Calculateur!BL40*Calculateur!BN40*VLOOKUP('Données projet'!$B$11,Paramètres!$A$1:$I$89,3,0)*0.475*44/12</f>
        <v>11.71163244602284</v>
      </c>
      <c r="BR40" s="23">
        <f>EXP(-LN(2)/2)*BR39+(1-EXP(-LN(2)/2))/(LN(2)/2)*BL40*BO40*VLOOKUP('Données projet'!$B$11,Paramètres!$A$1:$I$89,3,0)*0.475*44/12</f>
        <v>1.1198793019437285</v>
      </c>
      <c r="BS40" s="24">
        <f t="shared" si="9"/>
        <v>23.973813622721625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236</v>
      </c>
      <c r="AJ41" s="14">
        <f>AI41*VLOOKUP('Données projet'!$B$10,Paramètres!$A$1:$I$89,3,0)*VLOOKUP('Données projet'!$B$10,Paramètres!$A$1:$I$89,5,0)</f>
        <v>110.44799999999999</v>
      </c>
      <c r="AK41" s="14">
        <f t="shared" si="35"/>
        <v>29.436511885319565</v>
      </c>
      <c r="AL41" s="22">
        <f t="shared" si="4"/>
        <v>243.63219153359822</v>
      </c>
      <c r="AM41" s="62">
        <f t="shared" si="5"/>
        <v>536.96552486693156</v>
      </c>
      <c r="AN41" s="62">
        <f ca="1">AVERAGE(OFFSET($AM$3,0,0,'Données projet'!$E$10+1,1))-AVERAGE(OFFSET($H$3,0,0,'Données projet'!$E$10+1,1))</f>
        <v>160.81094423216069</v>
      </c>
      <c r="AO41" s="62">
        <f t="shared" si="36"/>
        <v>145.53871436439169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25.6</v>
      </c>
      <c r="BD41" s="13">
        <f>IF('Données projet'!$A$88&gt;35,BD40+BC41-BL40,IF(A41&lt;'Données projet'!$A$88,$BA$205^A41,IF(A41='Données projet'!$A$88,'Données projet'!$B$88,BD40+BC41-BL40)))</f>
        <v>512.80000000000018</v>
      </c>
      <c r="BE41" s="14">
        <f>BD41*VLOOKUP('Données projet'!$B$11,Paramètres!$A$1:$I$89,3,0)*VLOOKUP('Données projet'!$B$11,Paramètres!$A$1:$I$89,5,0)</f>
        <v>286.65520000000009</v>
      </c>
      <c r="BF41" s="14">
        <f t="shared" si="37"/>
        <v>68.37151538584105</v>
      </c>
      <c r="BG41" s="22">
        <f t="shared" si="7"/>
        <v>618.33819596367323</v>
      </c>
      <c r="BH41" s="62">
        <f t="shared" si="8"/>
        <v>911.6715292970066</v>
      </c>
      <c r="BI41" s="62">
        <f ca="1">AVERAGE(OFFSET($BH$3,0,0,'Données projet'!$E$11+1,1))-AVERAGE(OFFSET($H$3,0,0,'Données projet'!$E$11+1,1))</f>
        <v>374.67858373761965</v>
      </c>
      <c r="BJ41" s="62">
        <f t="shared" si="38"/>
        <v>468.38066974447543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10.92380813112419</v>
      </c>
      <c r="BQ41" s="23">
        <f>EXP(-LN(2)/25)*BQ40+(1-EXP(-LN(2)/25))/(LN(2)/25)*Calculateur!BL41*Calculateur!BN41*VLOOKUP('Données projet'!$B$11,Paramètres!$A$1:$I$89,3,0)*0.475*44/12</f>
        <v>11.391377240898363</v>
      </c>
      <c r="BR41" s="23">
        <f>EXP(-LN(2)/2)*BR40+(1-EXP(-LN(2)/2))/(LN(2)/2)*BL41*BO41*VLOOKUP('Données projet'!$B$11,Paramètres!$A$1:$I$89,3,0)*0.475*44/12</f>
        <v>0.79187424851486765</v>
      </c>
      <c r="BS41" s="24">
        <f t="shared" si="9"/>
        <v>23.107059620537424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243</v>
      </c>
      <c r="AJ42" s="14">
        <f>AI42*VLOOKUP('Données projet'!$B$10,Paramètres!$A$1:$I$89,3,0)*VLOOKUP('Données projet'!$B$10,Paramètres!$A$1:$I$89,5,0)</f>
        <v>113.72399999999999</v>
      </c>
      <c r="AK42" s="14">
        <f t="shared" si="35"/>
        <v>30.206680638130489</v>
      </c>
      <c r="AL42" s="22">
        <f t="shared" si="4"/>
        <v>250.67926877807722</v>
      </c>
      <c r="AM42" s="62">
        <f t="shared" si="5"/>
        <v>544.0126021114105</v>
      </c>
      <c r="AN42" s="62">
        <f ca="1">AVERAGE(OFFSET($AM$3,0,0,'Données projet'!$E$10+1,1))-AVERAGE(OFFSET($H$3,0,0,'Données projet'!$E$10+1,1))</f>
        <v>160.81094423216069</v>
      </c>
      <c r="AO42" s="62">
        <f t="shared" si="36"/>
        <v>145.53871436439169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25.6</v>
      </c>
      <c r="BD42" s="13">
        <f>IF('Données projet'!$A$88&gt;35,BD41+BC42-BL41,IF(A42&lt;'Données projet'!$A$88,$BA$205^A42,IF(A42='Données projet'!$A$88,'Données projet'!$B$88,BD41+BC42-BL41)))</f>
        <v>538.4000000000002</v>
      </c>
      <c r="BE42" s="14">
        <f>BD42*VLOOKUP('Données projet'!$B$11,Paramètres!$A$1:$I$89,3,0)*VLOOKUP('Données projet'!$B$11,Paramètres!$A$1:$I$89,5,0)</f>
        <v>300.96560000000011</v>
      </c>
      <c r="BF42" s="14">
        <f t="shared" si="37"/>
        <v>71.378852450242803</v>
      </c>
      <c r="BG42" s="22">
        <f t="shared" si="7"/>
        <v>648.49992135083971</v>
      </c>
      <c r="BH42" s="62">
        <f t="shared" si="8"/>
        <v>941.83325468417297</v>
      </c>
      <c r="BI42" s="62">
        <f ca="1">AVERAGE(OFFSET($BH$3,0,0,'Données projet'!$E$11+1,1))-AVERAGE(OFFSET($H$3,0,0,'Données projet'!$E$11+1,1))</f>
        <v>374.67858373761965</v>
      </c>
      <c r="BJ42" s="62">
        <f t="shared" si="38"/>
        <v>468.38066974447543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10.709598916537901</v>
      </c>
      <c r="BQ42" s="23">
        <f>EXP(-LN(2)/25)*BQ41+(1-EXP(-LN(2)/25))/(LN(2)/25)*Calculateur!BL42*Calculateur!BN42*VLOOKUP('Données projet'!$B$11,Paramètres!$A$1:$I$89,3,0)*0.475*44/12</f>
        <v>11.079879431199503</v>
      </c>
      <c r="BR42" s="23">
        <f>EXP(-LN(2)/2)*BR41+(1-EXP(-LN(2)/2))/(LN(2)/2)*BL42*BO42*VLOOKUP('Données projet'!$B$11,Paramètres!$A$1:$I$89,3,0)*0.475*44/12</f>
        <v>0.55993965097186427</v>
      </c>
      <c r="BS42" s="24">
        <f t="shared" si="9"/>
        <v>22.349417998709267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250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250</v>
      </c>
      <c r="AJ43" s="14">
        <f>AI43*VLOOKUP('Données projet'!$B$10,Paramètres!$A$1:$I$89,3,0)*VLOOKUP('Données projet'!$B$10,Paramètres!$A$1:$I$89,5,0)</f>
        <v>117</v>
      </c>
      <c r="AK43" s="14">
        <f t="shared" si="35"/>
        <v>30.974270896484146</v>
      </c>
      <c r="AL43" s="22">
        <f t="shared" si="4"/>
        <v>257.72185514470988</v>
      </c>
      <c r="AM43" s="62">
        <f t="shared" si="5"/>
        <v>551.05518847804319</v>
      </c>
      <c r="AN43" s="62">
        <f ca="1">AVERAGE(OFFSET($AM$3,0,0,'Données projet'!$E$10+1,1))-AVERAGE(OFFSET($H$3,0,0,'Données projet'!$E$10+1,1))</f>
        <v>160.81094423216069</v>
      </c>
      <c r="AO43" s="62">
        <f t="shared" si="36"/>
        <v>145.53871436439169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63</v>
      </c>
      <c r="AR43" s="17">
        <f>IF(ISNA(VLOOKUP(A43,'Données projet'!$A$61:$I$81,5,0)),0%,VLOOKUP(A43,'Données projet'!$A$61:$I$81,5,0)*VLOOKUP('Données projet'!$B$10,Paramètres!$A$1:$I$89,7,0))</f>
        <v>0.22000000000000003</v>
      </c>
      <c r="AS43" s="17">
        <f>IF(ISNA(VLOOKUP(A43,'Données projet'!$A$61:$I$81,6,0)),0%,VLOOKUP(A43,'Données projet'!$A$61:$I$81,6,0)*VLOOKUP('Données projet'!$B$10,Paramètres!$A$1:$I$89,7,0))</f>
        <v>0.11000000000000001</v>
      </c>
      <c r="AT43" s="17">
        <f>IF(ISNA(VLOOKUP(A43,'Données projet'!$A$61:$I$81,7,0)),0%,VLOOKUP(A43,'Données projet'!$A$61:$I$81,7,0))</f>
        <v>0.4</v>
      </c>
      <c r="AU43" s="23">
        <f>EXP(-LN(2)/35)*AU42+(1-EXP(-LN(2)/35))/(LN(2)/35)*AQ43*AR43*VLOOKUP('Données projet'!$B$10,Paramètres!$A$1:$I$89,3,0)*0.475*44/12</f>
        <v>8.6047338089194696</v>
      </c>
      <c r="AV43" s="23">
        <f>EXP(-LN(2)/25)*AV42+(1-EXP(-LN(2)/25))/(LN(2)/25)*Calculateur!AQ43*Calculateur!AS43*VLOOKUP('Données projet'!$B$10,Paramètres!$A$1:$I$89,3,0)*0.475*44/12</f>
        <v>4.2854268466265646</v>
      </c>
      <c r="AW43" s="23">
        <f>EXP(-LN(2)/2)*AW42+(1-EXP(-LN(2)/2))/(LN(2)/2)*AQ43*AT43*VLOOKUP('Données projet'!$B$10,Paramètres!$A$1:$I$89,3,0)*0.475*44/12</f>
        <v>13.353094824108128</v>
      </c>
      <c r="AX43" s="23">
        <f t="shared" si="6"/>
        <v>26.24325547965416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564</v>
      </c>
      <c r="BB43" s="13">
        <f>VLOOKUP(A43,'Données projet'!$A$87:$I$107,9,0)</f>
        <v>25.6</v>
      </c>
      <c r="BC43" s="13">
        <f t="array" ref="BC43">INDEX(BB:BB,MIN(IF(ISNUMBER(BB43:BB239),ROW(BB43:BB239),"")))</f>
        <v>25.6</v>
      </c>
      <c r="BD43" s="13">
        <f>IF('Données projet'!$A$88&gt;35,BD42+BC43-BL42,IF(A43&lt;'Données projet'!$A$88,$BA$205^A43,IF(A43='Données projet'!$A$88,'Données projet'!$B$88,BD42+BC43-BL42)))</f>
        <v>564.00000000000023</v>
      </c>
      <c r="BE43" s="14">
        <f>BD43*VLOOKUP('Données projet'!$B$11,Paramètres!$A$1:$I$89,3,0)*VLOOKUP('Données projet'!$B$11,Paramètres!$A$1:$I$89,5,0)</f>
        <v>315.27600000000012</v>
      </c>
      <c r="BF43" s="14">
        <f t="shared" si="37"/>
        <v>74.36958441265493</v>
      </c>
      <c r="BG43" s="22">
        <f t="shared" si="7"/>
        <v>678.63272618537417</v>
      </c>
      <c r="BH43" s="62">
        <f t="shared" si="8"/>
        <v>971.96605951870743</v>
      </c>
      <c r="BI43" s="62">
        <f ca="1">AVERAGE(OFFSET($BH$3,0,0,'Données projet'!$E$11+1,1))-AVERAGE(OFFSET($H$3,0,0,'Données projet'!$E$11+1,1))</f>
        <v>374.67858373761965</v>
      </c>
      <c r="BJ43" s="62">
        <f t="shared" si="38"/>
        <v>468.38066974447543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72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10.49959021399493</v>
      </c>
      <c r="BQ43" s="23">
        <f>EXP(-LN(2)/25)*BQ42+(1-EXP(-LN(2)/25))/(LN(2)/25)*Calculateur!BL43*Calculateur!BN43*VLOOKUP('Données projet'!$B$11,Paramètres!$A$1:$I$89,3,0)*0.475*44/12</f>
        <v>10.776899545487817</v>
      </c>
      <c r="BR43" s="23">
        <f>EXP(-LN(2)/2)*BR42+(1-EXP(-LN(2)/2))/(LN(2)/2)*BL43*BO43*VLOOKUP('Données projet'!$B$11,Paramètres!$A$1:$I$89,3,0)*0.475*44/12</f>
        <v>0.39593712425743383</v>
      </c>
      <c r="BS43" s="24">
        <f t="shared" si="9"/>
        <v>21.672426883740179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</v>
      </c>
      <c r="AI44" s="14">
        <f>IF('Données projet'!$A$62&gt;35,AI43+AH44-AQ43,IF(A44&lt;'Données projet'!$A$62,$AF$205^A44,IF(A44='Données projet'!$A$62,'Données projet'!$B$62,AI43+AH44-AQ43)))</f>
        <v>194</v>
      </c>
      <c r="AJ44" s="14">
        <f>AI44*VLOOKUP('Données projet'!$B$10,Paramètres!$A$1:$I$89,3,0)*VLOOKUP('Données projet'!$B$10,Paramètres!$A$1:$I$89,5,0)</f>
        <v>90.792000000000002</v>
      </c>
      <c r="AK44" s="14">
        <f t="shared" si="35"/>
        <v>24.756138813110173</v>
      </c>
      <c r="AL44" s="22">
        <f t="shared" si="4"/>
        <v>201.24634176616689</v>
      </c>
      <c r="AM44" s="62">
        <f t="shared" si="5"/>
        <v>494.57967509950021</v>
      </c>
      <c r="AN44" s="62">
        <f ca="1">AVERAGE(OFFSET($AM$3,0,0,'Données projet'!$E$10+1,1))-AVERAGE(OFFSET($H$3,0,0,'Données projet'!$E$10+1,1))</f>
        <v>160.81094423216069</v>
      </c>
      <c r="AO44" s="62">
        <f t="shared" si="36"/>
        <v>145.53871436439169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8.4360002272959491</v>
      </c>
      <c r="AV44" s="23">
        <f>EXP(-LN(2)/25)*AV43+(1-EXP(-LN(2)/25))/(LN(2)/25)*Calculateur!AQ44*Calculateur!AS44*VLOOKUP('Données projet'!$B$10,Paramètres!$A$1:$I$89,3,0)*0.475*44/12</f>
        <v>4.1682416241447582</v>
      </c>
      <c r="AW44" s="23">
        <f>EXP(-LN(2)/2)*AW43+(1-EXP(-LN(2)/2))/(LN(2)/2)*AQ44*AT44*VLOOKUP('Données projet'!$B$10,Paramètres!$A$1:$I$89,3,0)*0.475*44/12</f>
        <v>9.4420638999538475</v>
      </c>
      <c r="AX44" s="23">
        <f t="shared" si="6"/>
        <v>22.046305751394556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22.8</v>
      </c>
      <c r="BD44" s="13">
        <f>IF('Données projet'!$A$88&gt;35,BD43+BC44-BL43,IF(A44&lt;'Données projet'!$A$88,$BA$205^A44,IF(A44='Données projet'!$A$88,'Données projet'!$B$88,BD43+BC44-BL43)))</f>
        <v>514.80000000000018</v>
      </c>
      <c r="BE44" s="14">
        <f>BD44*VLOOKUP('Données projet'!$B$11,Paramètres!$A$1:$I$89,3,0)*VLOOKUP('Données projet'!$B$11,Paramètres!$A$1:$I$89,5,0)</f>
        <v>287.77320000000009</v>
      </c>
      <c r="BF44" s="14">
        <f t="shared" si="37"/>
        <v>68.607082381743922</v>
      </c>
      <c r="BG44" s="22">
        <f t="shared" si="7"/>
        <v>620.69565848153741</v>
      </c>
      <c r="BH44" s="62">
        <f t="shared" si="8"/>
        <v>914.02899181487078</v>
      </c>
      <c r="BI44" s="62">
        <f ca="1">AVERAGE(OFFSET($BH$3,0,0,'Données projet'!$E$11+1,1))-AVERAGE(OFFSET($H$3,0,0,'Données projet'!$E$11+1,1))</f>
        <v>374.67858373761965</v>
      </c>
      <c r="BJ44" s="62">
        <f t="shared" si="38"/>
        <v>468.38066974447543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10.293699654016166</v>
      </c>
      <c r="BQ44" s="23">
        <f>EXP(-LN(2)/25)*BQ43+(1-EXP(-LN(2)/25))/(LN(2)/25)*Calculateur!BL44*Calculateur!BN44*VLOOKUP('Données projet'!$B$11,Paramètres!$A$1:$I$89,3,0)*0.475*44/12</f>
        <v>10.482204660683937</v>
      </c>
      <c r="BR44" s="23">
        <f>EXP(-LN(2)/2)*BR43+(1-EXP(-LN(2)/2))/(LN(2)/2)*BL44*BO44*VLOOKUP('Données projet'!$B$11,Paramètres!$A$1:$I$89,3,0)*0.475*44/12</f>
        <v>0.27996982548593213</v>
      </c>
      <c r="BS44" s="24">
        <f t="shared" si="9"/>
        <v>21.055874140186035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</v>
      </c>
      <c r="AI45" s="14">
        <f>IF('Données projet'!$A$62&gt;35,AI44+AH45-AQ44,IF(A45&lt;'Données projet'!$A$62,$AF$205^A45,IF(A45='Données projet'!$A$62,'Données projet'!$B$62,AI44+AH45-AQ44)))</f>
        <v>201</v>
      </c>
      <c r="AJ45" s="14">
        <f>AI45*VLOOKUP('Données projet'!$B$10,Paramètres!$A$1:$I$89,3,0)*VLOOKUP('Données projet'!$B$10,Paramètres!$A$1:$I$89,5,0)</f>
        <v>94.067999999999998</v>
      </c>
      <c r="AK45" s="14">
        <f t="shared" si="35"/>
        <v>25.543790108694029</v>
      </c>
      <c r="AL45" s="22">
        <f t="shared" si="4"/>
        <v>208.32386777264207</v>
      </c>
      <c r="AM45" s="62">
        <f t="shared" si="5"/>
        <v>501.65720110597539</v>
      </c>
      <c r="AN45" s="62">
        <f ca="1">AVERAGE(OFFSET($AM$3,0,0,'Données projet'!$E$10+1,1))-AVERAGE(OFFSET($H$3,0,0,'Données projet'!$E$10+1,1))</f>
        <v>160.81094423216069</v>
      </c>
      <c r="AO45" s="62">
        <f t="shared" si="36"/>
        <v>145.53871436439169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8.2705754082907426</v>
      </c>
      <c r="AV45" s="23">
        <f>EXP(-LN(2)/25)*AV44+(1-EXP(-LN(2)/25))/(LN(2)/25)*Calculateur!AQ45*Calculateur!AS45*VLOOKUP('Données projet'!$B$10,Paramètres!$A$1:$I$89,3,0)*0.475*44/12</f>
        <v>4.0542608377342191</v>
      </c>
      <c r="AW45" s="23">
        <f>EXP(-LN(2)/2)*AW44+(1-EXP(-LN(2)/2))/(LN(2)/2)*AQ45*AT45*VLOOKUP('Données projet'!$B$10,Paramètres!$A$1:$I$89,3,0)*0.475*44/12</f>
        <v>6.6765474120540649</v>
      </c>
      <c r="AX45" s="23">
        <f t="shared" si="6"/>
        <v>19.001383658079028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22.8</v>
      </c>
      <c r="BD45" s="13">
        <f>IF('Données projet'!$A$88&gt;35,BD44+BC45-BL44,IF(A45&lt;'Données projet'!$A$88,$BA$205^A45,IF(A45='Données projet'!$A$88,'Données projet'!$B$88,BD44+BC45-BL44)))</f>
        <v>537.60000000000014</v>
      </c>
      <c r="BE45" s="14">
        <f>BD45*VLOOKUP('Données projet'!$B$11,Paramètres!$A$1:$I$89,3,0)*VLOOKUP('Données projet'!$B$11,Paramètres!$A$1:$I$89,5,0)</f>
        <v>300.5184000000001</v>
      </c>
      <c r="BF45" s="14">
        <f t="shared" si="37"/>
        <v>71.285129105116411</v>
      </c>
      <c r="BG45" s="22">
        <f t="shared" si="7"/>
        <v>647.55781319141124</v>
      </c>
      <c r="BH45" s="62">
        <f t="shared" si="8"/>
        <v>940.8911465247445</v>
      </c>
      <c r="BI45" s="62">
        <f ca="1">AVERAGE(OFFSET($BH$3,0,0,'Données projet'!$E$11+1,1))-AVERAGE(OFFSET($H$3,0,0,'Données projet'!$E$11+1,1))</f>
        <v>374.67858373761965</v>
      </c>
      <c r="BJ45" s="62">
        <f t="shared" si="38"/>
        <v>468.38066974447543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10.091846482337743</v>
      </c>
      <c r="BQ45" s="23">
        <f>EXP(-LN(2)/25)*BQ44+(1-EXP(-LN(2)/25))/(LN(2)/25)*Calculateur!BL45*Calculateur!BN45*VLOOKUP('Données projet'!$B$11,Paramètres!$A$1:$I$89,3,0)*0.475*44/12</f>
        <v>10.195568223002349</v>
      </c>
      <c r="BR45" s="23">
        <f>EXP(-LN(2)/2)*BR44+(1-EXP(-LN(2)/2))/(LN(2)/2)*BL45*BO45*VLOOKUP('Données projet'!$B$11,Paramètres!$A$1:$I$89,3,0)*0.475*44/12</f>
        <v>0.19796856212871691</v>
      </c>
      <c r="BS45" s="24">
        <f t="shared" si="9"/>
        <v>20.485383267468809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</v>
      </c>
      <c r="AI46" s="14">
        <f>IF('Données projet'!$A$62&gt;35,AI45+AH46-AQ45,IF(A46&lt;'Données projet'!$A$62,$AF$205^A46,IF(A46='Données projet'!$A$62,'Données projet'!$B$62,AI45+AH46-AQ45)))</f>
        <v>208</v>
      </c>
      <c r="AJ46" s="14">
        <f>AI46*VLOOKUP('Données projet'!$B$10,Paramètres!$A$1:$I$89,3,0)*VLOOKUP('Données projet'!$B$10,Paramètres!$A$1:$I$89,5,0)</f>
        <v>97.343999999999994</v>
      </c>
      <c r="AK46" s="14">
        <f t="shared" si="35"/>
        <v>26.328254259866451</v>
      </c>
      <c r="AL46" s="22">
        <f t="shared" si="4"/>
        <v>215.39584283593408</v>
      </c>
      <c r="AM46" s="62">
        <f t="shared" si="5"/>
        <v>508.72917616926736</v>
      </c>
      <c r="AN46" s="62">
        <f ca="1">AVERAGE(OFFSET($AM$3,0,0,'Données projet'!$E$10+1,1))-AVERAGE(OFFSET($H$3,0,0,'Données projet'!$E$10+1,1))</f>
        <v>160.81094423216069</v>
      </c>
      <c r="AO46" s="62">
        <f t="shared" si="36"/>
        <v>145.53871436439169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8.1083944690870524</v>
      </c>
      <c r="AV46" s="23">
        <f>EXP(-LN(2)/25)*AV45+(1-EXP(-LN(2)/25))/(LN(2)/25)*Calculateur!AQ46*Calculateur!AS46*VLOOKUP('Données projet'!$B$10,Paramètres!$A$1:$I$89,3,0)*0.475*44/12</f>
        <v>3.9433968619220656</v>
      </c>
      <c r="AW46" s="23">
        <f>EXP(-LN(2)/2)*AW45+(1-EXP(-LN(2)/2))/(LN(2)/2)*AQ46*AT46*VLOOKUP('Données projet'!$B$10,Paramètres!$A$1:$I$89,3,0)*0.475*44/12</f>
        <v>4.7210319499769238</v>
      </c>
      <c r="AX46" s="23">
        <f t="shared" si="6"/>
        <v>16.772823280986042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22.8</v>
      </c>
      <c r="BD46" s="13">
        <f>IF('Données projet'!$A$88&gt;35,BD45+BC46-BL45,IF(A46&lt;'Données projet'!$A$88,$BA$205^A46,IF(A46='Données projet'!$A$88,'Données projet'!$B$88,BD45+BC46-BL45)))</f>
        <v>560.40000000000009</v>
      </c>
      <c r="BE46" s="14">
        <f>BD46*VLOOKUP('Données projet'!$B$11,Paramètres!$A$1:$I$89,3,0)*VLOOKUP('Données projet'!$B$11,Paramètres!$A$1:$I$89,5,0)</f>
        <v>313.26360000000005</v>
      </c>
      <c r="BF46" s="14">
        <f t="shared" si="37"/>
        <v>73.949983766039026</v>
      </c>
      <c r="BG46" s="22">
        <f t="shared" si="7"/>
        <v>674.39699172585131</v>
      </c>
      <c r="BH46" s="62">
        <f t="shared" si="8"/>
        <v>967.73032505918468</v>
      </c>
      <c r="BI46" s="62">
        <f ca="1">AVERAGE(OFFSET($BH$3,0,0,'Données projet'!$E$11+1,1))-AVERAGE(OFFSET($H$3,0,0,'Données projet'!$E$11+1,1))</f>
        <v>374.67858373761965</v>
      </c>
      <c r="BJ46" s="62">
        <f t="shared" si="38"/>
        <v>468.38066974447543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9.8939515282376576</v>
      </c>
      <c r="BQ46" s="23">
        <f>EXP(-LN(2)/25)*BQ45+(1-EXP(-LN(2)/25))/(LN(2)/25)*Calculateur!BL46*Calculateur!BN46*VLOOKUP('Données projet'!$B$11,Paramètres!$A$1:$I$89,3,0)*0.475*44/12</f>
        <v>9.9167698737827195</v>
      </c>
      <c r="BR46" s="23">
        <f>EXP(-LN(2)/2)*BR45+(1-EXP(-LN(2)/2))/(LN(2)/2)*BL46*BO46*VLOOKUP('Données projet'!$B$11,Paramètres!$A$1:$I$89,3,0)*0.475*44/12</f>
        <v>0.13998491274296607</v>
      </c>
      <c r="BS46" s="24">
        <f t="shared" si="9"/>
        <v>19.950706314763345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</v>
      </c>
      <c r="AI47" s="14">
        <f>IF('Données projet'!$A$62&gt;35,AI46+AH47-AQ46,IF(A47&lt;'Données projet'!$A$62,$AF$205^A47,IF(A47='Données projet'!$A$62,'Données projet'!$B$62,AI46+AH47-AQ46)))</f>
        <v>215</v>
      </c>
      <c r="AJ47" s="14">
        <f>AI47*VLOOKUP('Données projet'!$B$10,Paramètres!$A$1:$I$89,3,0)*VLOOKUP('Données projet'!$B$10,Paramètres!$A$1:$I$89,5,0)</f>
        <v>100.61999999999999</v>
      </c>
      <c r="AK47" s="14">
        <f t="shared" si="35"/>
        <v>27.10965082293415</v>
      </c>
      <c r="AL47" s="22">
        <f t="shared" si="4"/>
        <v>222.46247518327695</v>
      </c>
      <c r="AM47" s="62">
        <f t="shared" si="5"/>
        <v>515.79580851661024</v>
      </c>
      <c r="AN47" s="62">
        <f ca="1">AVERAGE(OFFSET($AM$3,0,0,'Données projet'!$E$10+1,1))-AVERAGE(OFFSET($H$3,0,0,'Données projet'!$E$10+1,1))</f>
        <v>160.81094423216069</v>
      </c>
      <c r="AO47" s="62">
        <f t="shared" si="36"/>
        <v>145.53871436439169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7.949393799180541</v>
      </c>
      <c r="AV47" s="23">
        <f>EXP(-LN(2)/25)*AV46+(1-EXP(-LN(2)/25))/(LN(2)/25)*Calculateur!AQ47*Calculateur!AS47*VLOOKUP('Données projet'!$B$10,Paramètres!$A$1:$I$89,3,0)*0.475*44/12</f>
        <v>3.8355644673585787</v>
      </c>
      <c r="AW47" s="23">
        <f>EXP(-LN(2)/2)*AW46+(1-EXP(-LN(2)/2))/(LN(2)/2)*AQ47*AT47*VLOOKUP('Données projet'!$B$10,Paramètres!$A$1:$I$89,3,0)*0.475*44/12</f>
        <v>3.3382737060270324</v>
      </c>
      <c r="AX47" s="23">
        <f t="shared" si="6"/>
        <v>15.123231972566153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22.8</v>
      </c>
      <c r="BD47" s="13">
        <f>IF('Données projet'!$A$88&gt;35,BD46+BC47-BL46,IF(A47&lt;'Données projet'!$A$88,$BA$205^A47,IF(A47='Données projet'!$A$88,'Données projet'!$B$88,BD46+BC47-BL46)))</f>
        <v>583.20000000000005</v>
      </c>
      <c r="BE47" s="14">
        <f>BD47*VLOOKUP('Données projet'!$B$11,Paramètres!$A$1:$I$89,3,0)*VLOOKUP('Données projet'!$B$11,Paramètres!$A$1:$I$89,5,0)</f>
        <v>326.00880000000001</v>
      </c>
      <c r="BF47" s="14">
        <f t="shared" si="37"/>
        <v>76.602244480772981</v>
      </c>
      <c r="BG47" s="22">
        <f t="shared" si="7"/>
        <v>701.2142358040129</v>
      </c>
      <c r="BH47" s="62">
        <f t="shared" si="8"/>
        <v>994.54756913734627</v>
      </c>
      <c r="BI47" s="62">
        <f ca="1">AVERAGE(OFFSET($BH$3,0,0,'Données projet'!$E$11+1,1))-AVERAGE(OFFSET($H$3,0,0,'Données projet'!$E$11+1,1))</f>
        <v>374.67858373761965</v>
      </c>
      <c r="BJ47" s="62">
        <f t="shared" si="38"/>
        <v>468.38066974447543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9.6999371734834714</v>
      </c>
      <c r="BQ47" s="23">
        <f>EXP(-LN(2)/25)*BQ46+(1-EXP(-LN(2)/25))/(LN(2)/25)*Calculateur!BL47*Calculateur!BN47*VLOOKUP('Données projet'!$B$11,Paramètres!$A$1:$I$89,3,0)*0.475*44/12</f>
        <v>9.6455952800838691</v>
      </c>
      <c r="BR47" s="23">
        <f>EXP(-LN(2)/2)*BR46+(1-EXP(-LN(2)/2))/(LN(2)/2)*BL47*BO47*VLOOKUP('Données projet'!$B$11,Paramètres!$A$1:$I$89,3,0)*0.475*44/12</f>
        <v>9.8984281064358456E-2</v>
      </c>
      <c r="BS47" s="24">
        <f t="shared" si="9"/>
        <v>19.444516734631698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</v>
      </c>
      <c r="AI48" s="14">
        <f>IF('Données projet'!$A$62&gt;35,AI47+AH48-AQ47,IF(A48&lt;'Données projet'!$A$62,$AF$205^A48,IF(A48='Données projet'!$A$62,'Données projet'!$B$62,AI47+AH48-AQ47)))</f>
        <v>222</v>
      </c>
      <c r="AJ48" s="14">
        <f>AI48*VLOOKUP('Données projet'!$B$10,Paramètres!$A$1:$I$89,3,0)*VLOOKUP('Données projet'!$B$10,Paramètres!$A$1:$I$89,5,0)</f>
        <v>103.896</v>
      </c>
      <c r="AK48" s="14">
        <f t="shared" si="35"/>
        <v>27.888091127225799</v>
      </c>
      <c r="AL48" s="22">
        <f t="shared" si="4"/>
        <v>229.52395871325157</v>
      </c>
      <c r="AM48" s="62">
        <f t="shared" si="5"/>
        <v>522.85729204658492</v>
      </c>
      <c r="AN48" s="62">
        <f ca="1">AVERAGE(OFFSET($AM$3,0,0,'Données projet'!$E$10+1,1))-AVERAGE(OFFSET($H$3,0,0,'Données projet'!$E$10+1,1))</f>
        <v>160.81094423216069</v>
      </c>
      <c r="AO48" s="62">
        <f t="shared" si="36"/>
        <v>145.53871436439169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7.7935110354300638</v>
      </c>
      <c r="AV48" s="23">
        <f>EXP(-LN(2)/25)*AV47+(1-EXP(-LN(2)/25))/(LN(2)/25)*Calculateur!AQ48*Calculateur!AS48*VLOOKUP('Données projet'!$B$10,Paramètres!$A$1:$I$89,3,0)*0.475*44/12</f>
        <v>3.7306807552950891</v>
      </c>
      <c r="AW48" s="23">
        <f>EXP(-LN(2)/2)*AW47+(1-EXP(-LN(2)/2))/(LN(2)/2)*AQ48*AT48*VLOOKUP('Données projet'!$B$10,Paramètres!$A$1:$I$89,3,0)*0.475*44/12</f>
        <v>2.3605159749884619</v>
      </c>
      <c r="AX48" s="23">
        <f t="shared" si="6"/>
        <v>13.884707765713614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606</v>
      </c>
      <c r="BB48" s="13">
        <f>VLOOKUP(A48,'Données projet'!$A$87:$I$107,9,0)</f>
        <v>22.8</v>
      </c>
      <c r="BC48" s="13">
        <f t="array" ref="BC48">INDEX(BB:BB,MIN(IF(ISNUMBER(BB48:BB244),ROW(BB48:BB244),"")))</f>
        <v>22.8</v>
      </c>
      <c r="BD48" s="13">
        <f>IF('Données projet'!$A$88&gt;35,BD47+BC48-BL47,IF(A48&lt;'Données projet'!$A$88,$BA$205^A48,IF(A48='Données projet'!$A$88,'Données projet'!$B$88,BD47+BC48-BL47)))</f>
        <v>606</v>
      </c>
      <c r="BE48" s="14">
        <f>BD48*VLOOKUP('Données projet'!$B$11,Paramètres!$A$1:$I$89,3,0)*VLOOKUP('Données projet'!$B$11,Paramètres!$A$1:$I$89,5,0)</f>
        <v>338.75400000000002</v>
      </c>
      <c r="BF48" s="14">
        <f t="shared" si="37"/>
        <v>79.242459951408904</v>
      </c>
      <c r="BG48" s="22">
        <f t="shared" si="7"/>
        <v>728.01050108203719</v>
      </c>
      <c r="BH48" s="62">
        <f t="shared" si="8"/>
        <v>1021.3438344153706</v>
      </c>
      <c r="BI48" s="62">
        <f ca="1">AVERAGE(OFFSET($BH$3,0,0,'Données projet'!$E$11+1,1))-AVERAGE(OFFSET($H$3,0,0,'Données projet'!$E$11+1,1))</f>
        <v>374.67858373761965</v>
      </c>
      <c r="BJ48" s="62">
        <f t="shared" si="38"/>
        <v>468.38066974447543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66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9.509727321888942</v>
      </c>
      <c r="BQ48" s="23">
        <f>EXP(-LN(2)/25)*BQ47+(1-EXP(-LN(2)/25))/(LN(2)/25)*Calculateur!BL48*Calculateur!BN48*VLOOKUP('Données projet'!$B$11,Paramètres!$A$1:$I$89,3,0)*0.475*44/12</f>
        <v>9.3818359699101652</v>
      </c>
      <c r="BR48" s="23">
        <f>EXP(-LN(2)/2)*BR47+(1-EXP(-LN(2)/2))/(LN(2)/2)*BL48*BO48*VLOOKUP('Données projet'!$B$11,Paramètres!$A$1:$I$89,3,0)*0.475*44/12</f>
        <v>6.9992456371483033E-2</v>
      </c>
      <c r="BS48" s="24">
        <f t="shared" si="9"/>
        <v>18.961555748170593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229</v>
      </c>
      <c r="AJ49" s="14">
        <f>AI49*VLOOKUP('Données projet'!$B$10,Paramètres!$A$1:$I$89,3,0)*VLOOKUP('Données projet'!$B$10,Paramètres!$A$1:$I$89,5,0)</f>
        <v>107.172</v>
      </c>
      <c r="AK49" s="14">
        <f t="shared" si="35"/>
        <v>28.663679082578788</v>
      </c>
      <c r="AL49" s="22">
        <f t="shared" si="4"/>
        <v>236.58047440215805</v>
      </c>
      <c r="AM49" s="62">
        <f t="shared" si="5"/>
        <v>529.91380773549133</v>
      </c>
      <c r="AN49" s="62">
        <f ca="1">AVERAGE(OFFSET($AM$3,0,0,'Données projet'!$E$10+1,1))-AVERAGE(OFFSET($H$3,0,0,'Données projet'!$E$10+1,1))</f>
        <v>160.81094423216069</v>
      </c>
      <c r="AO49" s="62">
        <f t="shared" si="36"/>
        <v>145.53871436439169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7.6406850375976356</v>
      </c>
      <c r="AV49" s="23">
        <f>EXP(-LN(2)/25)*AV48+(1-EXP(-LN(2)/25))/(LN(2)/25)*Calculateur!AQ49*Calculateur!AS49*VLOOKUP('Données projet'!$B$10,Paramètres!$A$1:$I$89,3,0)*0.475*44/12</f>
        <v>3.6286650938535705</v>
      </c>
      <c r="AW49" s="23">
        <f>EXP(-LN(2)/2)*AW48+(1-EXP(-LN(2)/2))/(LN(2)/2)*AQ49*AT49*VLOOKUP('Données projet'!$B$10,Paramètres!$A$1:$I$89,3,0)*0.475*44/12</f>
        <v>1.6691368530135162</v>
      </c>
      <c r="AX49" s="23">
        <f t="shared" si="6"/>
        <v>12.938486984464722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17.8</v>
      </c>
      <c r="BD49" s="13">
        <f>IF('Données projet'!$A$88&gt;35,BD48+BC49-BL48,IF(A49&lt;'Données projet'!$A$88,$BA$205^A49,IF(A49='Données projet'!$A$88,'Données projet'!$B$88,BD48+BC49-BL48)))</f>
        <v>557.79999999999995</v>
      </c>
      <c r="BE49" s="14">
        <f>BD49*VLOOKUP('Données projet'!$B$11,Paramètres!$A$1:$I$89,3,0)*VLOOKUP('Données projet'!$B$11,Paramètres!$A$1:$I$89,5,0)</f>
        <v>311.81020000000001</v>
      </c>
      <c r="BF49" s="14">
        <f t="shared" si="37"/>
        <v>73.646743780370684</v>
      </c>
      <c r="BG49" s="22">
        <f t="shared" si="7"/>
        <v>671.33751041747894</v>
      </c>
      <c r="BH49" s="62">
        <f t="shared" si="8"/>
        <v>964.67084375081231</v>
      </c>
      <c r="BI49" s="62">
        <f ca="1">AVERAGE(OFFSET($BH$3,0,0,'Données projet'!$E$11+1,1))-AVERAGE(OFFSET($H$3,0,0,'Données projet'!$E$11+1,1))</f>
        <v>374.67858373761965</v>
      </c>
      <c r="BJ49" s="62">
        <f t="shared" si="38"/>
        <v>468.38066974447543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9.3232473694676283</v>
      </c>
      <c r="BQ49" s="23">
        <f>EXP(-LN(2)/25)*BQ48+(1-EXP(-LN(2)/25))/(LN(2)/25)*Calculateur!BL49*Calculateur!BN49*VLOOKUP('Données projet'!$B$11,Paramètres!$A$1:$I$89,3,0)*0.475*44/12</f>
        <v>9.1252891719436597</v>
      </c>
      <c r="BR49" s="23">
        <f>EXP(-LN(2)/2)*BR48+(1-EXP(-LN(2)/2))/(LN(2)/2)*BL49*BO49*VLOOKUP('Données projet'!$B$11,Paramètres!$A$1:$I$89,3,0)*0.475*44/12</f>
        <v>4.9492140532179228E-2</v>
      </c>
      <c r="BS49" s="24">
        <f t="shared" si="9"/>
        <v>18.498028681943467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236</v>
      </c>
      <c r="AJ50" s="14">
        <f>AI50*VLOOKUP('Données projet'!$B$10,Paramètres!$A$1:$I$89,3,0)*VLOOKUP('Données projet'!$B$10,Paramètres!$A$1:$I$89,5,0)</f>
        <v>110.44799999999999</v>
      </c>
      <c r="AK50" s="14">
        <f t="shared" si="35"/>
        <v>29.436511885319565</v>
      </c>
      <c r="AL50" s="22">
        <f t="shared" si="4"/>
        <v>243.63219153359822</v>
      </c>
      <c r="AM50" s="62">
        <f t="shared" si="5"/>
        <v>536.96552486693156</v>
      </c>
      <c r="AN50" s="62">
        <f ca="1">AVERAGE(OFFSET($AM$3,0,0,'Données projet'!$E$10+1,1))-AVERAGE(OFFSET($H$3,0,0,'Données projet'!$E$10+1,1))</f>
        <v>160.81094423216069</v>
      </c>
      <c r="AO50" s="62">
        <f t="shared" si="36"/>
        <v>145.53871436439169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7.4908558643680472</v>
      </c>
      <c r="AV50" s="23">
        <f>EXP(-LN(2)/25)*AV49+(1-EXP(-LN(2)/25))/(LN(2)/25)*Calculateur!AQ50*Calculateur!AS50*VLOOKUP('Données projet'!$B$10,Paramètres!$A$1:$I$89,3,0)*0.475*44/12</f>
        <v>3.5294390560389406</v>
      </c>
      <c r="AW50" s="23">
        <f>EXP(-LN(2)/2)*AW49+(1-EXP(-LN(2)/2))/(LN(2)/2)*AQ50*AT50*VLOOKUP('Données projet'!$B$10,Paramètres!$A$1:$I$89,3,0)*0.475*44/12</f>
        <v>1.1802579874942309</v>
      </c>
      <c r="AX50" s="23">
        <f t="shared" si="6"/>
        <v>12.200552907901219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17.8</v>
      </c>
      <c r="BD50" s="13">
        <f>IF('Données projet'!$A$88&gt;35,BD49+BC50-BL49,IF(A50&lt;'Données projet'!$A$88,$BA$205^A50,IF(A50='Données projet'!$A$88,'Données projet'!$B$88,BD49+BC50-BL49)))</f>
        <v>575.59999999999991</v>
      </c>
      <c r="BE50" s="14">
        <f>BD50*VLOOKUP('Données projet'!$B$11,Paramètres!$A$1:$I$89,3,0)*VLOOKUP('Données projet'!$B$11,Paramètres!$A$1:$I$89,5,0)</f>
        <v>321.76039999999995</v>
      </c>
      <c r="BF50" s="14">
        <f t="shared" si="37"/>
        <v>75.719522083505169</v>
      </c>
      <c r="BG50" s="22">
        <f t="shared" si="7"/>
        <v>692.27753096210472</v>
      </c>
      <c r="BH50" s="62">
        <f t="shared" si="8"/>
        <v>985.61086429543798</v>
      </c>
      <c r="BI50" s="62">
        <f ca="1">AVERAGE(OFFSET($BH$3,0,0,'Données projet'!$E$11+1,1))-AVERAGE(OFFSET($H$3,0,0,'Données projet'!$E$11+1,1))</f>
        <v>374.67858373761965</v>
      </c>
      <c r="BJ50" s="62">
        <f t="shared" si="38"/>
        <v>468.38066974447543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9.1404241751717556</v>
      </c>
      <c r="BQ50" s="23">
        <f>EXP(-LN(2)/25)*BQ49+(1-EXP(-LN(2)/25))/(LN(2)/25)*Calculateur!BL50*Calculateur!BN50*VLOOKUP('Données projet'!$B$11,Paramètres!$A$1:$I$89,3,0)*0.475*44/12</f>
        <v>8.8757576596587597</v>
      </c>
      <c r="BR50" s="23">
        <f>EXP(-LN(2)/2)*BR49+(1-EXP(-LN(2)/2))/(LN(2)/2)*BL50*BO50*VLOOKUP('Données projet'!$B$11,Paramètres!$A$1:$I$89,3,0)*0.475*44/12</f>
        <v>3.4996228185741517E-2</v>
      </c>
      <c r="BS50" s="24">
        <f t="shared" si="9"/>
        <v>18.051178063016255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243</v>
      </c>
      <c r="AJ51" s="14">
        <f>AI51*VLOOKUP('Données projet'!$B$10,Paramètres!$A$1:$I$89,3,0)*VLOOKUP('Données projet'!$B$10,Paramètres!$A$1:$I$89,5,0)</f>
        <v>113.72399999999999</v>
      </c>
      <c r="AK51" s="14">
        <f t="shared" si="35"/>
        <v>30.206680638130489</v>
      </c>
      <c r="AL51" s="22">
        <f t="shared" si="4"/>
        <v>250.67926877807722</v>
      </c>
      <c r="AM51" s="62">
        <f t="shared" si="5"/>
        <v>544.0126021114105</v>
      </c>
      <c r="AN51" s="62">
        <f ca="1">AVERAGE(OFFSET($AM$3,0,0,'Données projet'!$E$10+1,1))-AVERAGE(OFFSET($H$3,0,0,'Données projet'!$E$10+1,1))</f>
        <v>160.81094423216069</v>
      </c>
      <c r="AO51" s="62">
        <f t="shared" si="36"/>
        <v>145.53871436439169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7.3439647498387188</v>
      </c>
      <c r="AV51" s="23">
        <f>EXP(-LN(2)/25)*AV50+(1-EXP(-LN(2)/25))/(LN(2)/25)*Calculateur!AQ51*Calculateur!AS51*VLOOKUP('Données projet'!$B$10,Paramètres!$A$1:$I$89,3,0)*0.475*44/12</f>
        <v>3.4329263594464225</v>
      </c>
      <c r="AW51" s="23">
        <f>EXP(-LN(2)/2)*AW50+(1-EXP(-LN(2)/2))/(LN(2)/2)*AQ51*AT51*VLOOKUP('Données projet'!$B$10,Paramètres!$A$1:$I$89,3,0)*0.475*44/12</f>
        <v>0.83456842650675811</v>
      </c>
      <c r="AX51" s="23">
        <f t="shared" si="6"/>
        <v>11.6114595357919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17.8</v>
      </c>
      <c r="BD51" s="13">
        <f>IF('Données projet'!$A$88&gt;35,BD50+BC51-BL50,IF(A51&lt;'Données projet'!$A$88,$BA$205^A51,IF(A51='Données projet'!$A$88,'Données projet'!$B$88,BD50+BC51-BL50)))</f>
        <v>593.39999999999986</v>
      </c>
      <c r="BE51" s="14">
        <f>BD51*VLOOKUP('Données projet'!$B$11,Paramètres!$A$1:$I$89,3,0)*VLOOKUP('Données projet'!$B$11,Paramètres!$A$1:$I$89,5,0)</f>
        <v>331.71059999999994</v>
      </c>
      <c r="BF51" s="14">
        <f t="shared" si="37"/>
        <v>77.784851407016433</v>
      </c>
      <c r="BG51" s="22">
        <f t="shared" si="7"/>
        <v>713.20457786722011</v>
      </c>
      <c r="BH51" s="62">
        <f t="shared" si="8"/>
        <v>1006.5379112005535</v>
      </c>
      <c r="BI51" s="62">
        <f ca="1">AVERAGE(OFFSET($BH$3,0,0,'Données projet'!$E$11+1,1))-AVERAGE(OFFSET($H$3,0,0,'Données projet'!$E$11+1,1))</f>
        <v>374.67858373761965</v>
      </c>
      <c r="BJ51" s="62">
        <f t="shared" si="38"/>
        <v>468.38066974447543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8.9611860322048873</v>
      </c>
      <c r="BQ51" s="23">
        <f>EXP(-LN(2)/25)*BQ50+(1-EXP(-LN(2)/25))/(LN(2)/25)*Calculateur!BL51*Calculateur!BN51*VLOOKUP('Données projet'!$B$11,Paramètres!$A$1:$I$89,3,0)*0.475*44/12</f>
        <v>8.6330495996995822</v>
      </c>
      <c r="BR51" s="23">
        <f>EXP(-LN(2)/2)*BR50+(1-EXP(-LN(2)/2))/(LN(2)/2)*BL51*BO51*VLOOKUP('Données projet'!$B$11,Paramètres!$A$1:$I$89,3,0)*0.475*44/12</f>
        <v>2.4746070266089614E-2</v>
      </c>
      <c r="BS51" s="24">
        <f t="shared" si="9"/>
        <v>17.618981702170558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250</v>
      </c>
      <c r="AJ52" s="14">
        <f>AI52*VLOOKUP('Données projet'!$B$10,Paramètres!$A$1:$I$89,3,0)*VLOOKUP('Données projet'!$B$10,Paramètres!$A$1:$I$89,5,0)</f>
        <v>117</v>
      </c>
      <c r="AK52" s="14">
        <f t="shared" si="35"/>
        <v>30.974270896484146</v>
      </c>
      <c r="AL52" s="22">
        <f t="shared" si="4"/>
        <v>257.72185514470988</v>
      </c>
      <c r="AM52" s="62">
        <f t="shared" si="5"/>
        <v>551.05518847804319</v>
      </c>
      <c r="AN52" s="62">
        <f ca="1">AVERAGE(OFFSET($AM$3,0,0,'Données projet'!$E$10+1,1))-AVERAGE(OFFSET($H$3,0,0,'Données projet'!$E$10+1,1))</f>
        <v>160.81094423216069</v>
      </c>
      <c r="AO52" s="62">
        <f t="shared" si="36"/>
        <v>145.53871436439169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7.1999540804705777</v>
      </c>
      <c r="AV52" s="23">
        <f>EXP(-LN(2)/25)*AV51+(1-EXP(-LN(2)/25))/(LN(2)/25)*Calculateur!AQ52*Calculateur!AS52*VLOOKUP('Données projet'!$B$10,Paramètres!$A$1:$I$89,3,0)*0.475*44/12</f>
        <v>3.3390528076176089</v>
      </c>
      <c r="AW52" s="23">
        <f>EXP(-LN(2)/2)*AW51+(1-EXP(-LN(2)/2))/(LN(2)/2)*AQ52*AT52*VLOOKUP('Données projet'!$B$10,Paramètres!$A$1:$I$89,3,0)*0.475*44/12</f>
        <v>0.59012899374711547</v>
      </c>
      <c r="AX52" s="23">
        <f t="shared" si="6"/>
        <v>11.129135881835301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17.8</v>
      </c>
      <c r="BD52" s="13">
        <f>IF('Données projet'!$A$88&gt;35,BD51+BC52-BL51,IF(A52&lt;'Données projet'!$A$88,$BA$205^A52,IF(A52='Données projet'!$A$88,'Données projet'!$B$88,BD51+BC52-BL51)))</f>
        <v>611.19999999999982</v>
      </c>
      <c r="BE52" s="14">
        <f>BD52*VLOOKUP('Données projet'!$B$11,Paramètres!$A$1:$I$89,3,0)*VLOOKUP('Données projet'!$B$11,Paramètres!$A$1:$I$89,5,0)</f>
        <v>341.66079999999988</v>
      </c>
      <c r="BF52" s="14">
        <f t="shared" si="37"/>
        <v>79.842980844864144</v>
      </c>
      <c r="BG52" s="22">
        <f t="shared" si="7"/>
        <v>734.11908497147158</v>
      </c>
      <c r="BH52" s="62">
        <f t="shared" si="8"/>
        <v>1027.452418304805</v>
      </c>
      <c r="BI52" s="62">
        <f ca="1">AVERAGE(OFFSET($BH$3,0,0,'Données projet'!$E$11+1,1))-AVERAGE(OFFSET($H$3,0,0,'Données projet'!$E$11+1,1))</f>
        <v>374.67858373761965</v>
      </c>
      <c r="BJ52" s="62">
        <f t="shared" si="38"/>
        <v>468.38066974447543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8.7854626398971281</v>
      </c>
      <c r="BQ52" s="23">
        <f>EXP(-LN(2)/25)*BQ51+(1-EXP(-LN(2)/25))/(LN(2)/25)*Calculateur!BL52*Calculateur!BN52*VLOOKUP('Données projet'!$B$11,Paramètres!$A$1:$I$89,3,0)*0.475*44/12</f>
        <v>8.3969784044034501</v>
      </c>
      <c r="BR52" s="23">
        <f>EXP(-LN(2)/2)*BR51+(1-EXP(-LN(2)/2))/(LN(2)/2)*BL52*BO52*VLOOKUP('Données projet'!$B$11,Paramètres!$A$1:$I$89,3,0)*0.475*44/12</f>
        <v>1.7498114092870758E-2</v>
      </c>
      <c r="BS52" s="24">
        <f t="shared" si="9"/>
        <v>17.199939158393448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257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257</v>
      </c>
      <c r="AJ53" s="14">
        <f>AI53*VLOOKUP('Données projet'!$B$10,Paramètres!$A$1:$I$89,3,0)*VLOOKUP('Données projet'!$B$10,Paramètres!$A$1:$I$89,5,0)</f>
        <v>120.276</v>
      </c>
      <c r="AK53" s="14">
        <f t="shared" si="35"/>
        <v>31.739363152156315</v>
      </c>
      <c r="AL53" s="22">
        <f t="shared" si="4"/>
        <v>264.76009082333889</v>
      </c>
      <c r="AM53" s="62">
        <f t="shared" si="5"/>
        <v>558.0934241566722</v>
      </c>
      <c r="AN53" s="62">
        <f ca="1">AVERAGE(OFFSET($AM$3,0,0,'Données projet'!$E$10+1,1))-AVERAGE(OFFSET($H$3,0,0,'Données projet'!$E$10+1,1))</f>
        <v>160.81094423216069</v>
      </c>
      <c r="AO53" s="62">
        <f t="shared" si="36"/>
        <v>145.53871436439169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7.0587673724909106</v>
      </c>
      <c r="AV53" s="23">
        <f>EXP(-LN(2)/25)*AV52+(1-EXP(-LN(2)/25))/(LN(2)/25)*Calculateur!AQ53*Calculateur!AS53*VLOOKUP('Données projet'!$B$10,Paramètres!$A$1:$I$89,3,0)*0.475*44/12</f>
        <v>3.2477462330001496</v>
      </c>
      <c r="AW53" s="23">
        <f>EXP(-LN(2)/2)*AW52+(1-EXP(-LN(2)/2))/(LN(2)/2)*AQ53*AT53*VLOOKUP('Données projet'!$B$10,Paramètres!$A$1:$I$89,3,0)*0.475*44/12</f>
        <v>0.41728421325337905</v>
      </c>
      <c r="AX53" s="23">
        <f t="shared" si="6"/>
        <v>10.72379781874444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629</v>
      </c>
      <c r="BB53" s="13">
        <f>VLOOKUP(A53,'Données projet'!$A$87:$I$107,9,0)</f>
        <v>17.8</v>
      </c>
      <c r="BC53" s="13">
        <f t="array" ref="BC53">INDEX(BB:BB,MIN(IF(ISNUMBER(BB53:BB249),ROW(BB53:BB249),"")))</f>
        <v>17.8</v>
      </c>
      <c r="BD53" s="13">
        <f>IF('Données projet'!$A$88&gt;35,BD52+BC53-BL52,IF(A53&lt;'Données projet'!$A$88,$BA$205^A53,IF(A53='Données projet'!$A$88,'Données projet'!$B$88,BD52+BC53-BL52)))</f>
        <v>628.99999999999977</v>
      </c>
      <c r="BE53" s="14">
        <f>BD53*VLOOKUP('Données projet'!$B$11,Paramètres!$A$1:$I$89,3,0)*VLOOKUP('Données projet'!$B$11,Paramètres!$A$1:$I$89,5,0)</f>
        <v>351.61099999999988</v>
      </c>
      <c r="BF53" s="14">
        <f t="shared" si="37"/>
        <v>81.89414415728541</v>
      </c>
      <c r="BG53" s="22">
        <f t="shared" si="7"/>
        <v>755.02145940727178</v>
      </c>
      <c r="BH53" s="62">
        <f t="shared" si="8"/>
        <v>1048.354792740605</v>
      </c>
      <c r="BI53" s="62">
        <f ca="1">AVERAGE(OFFSET($BH$3,0,0,'Données projet'!$E$11+1,1))-AVERAGE(OFFSET($H$3,0,0,'Données projet'!$E$11+1,1))</f>
        <v>374.67858373761965</v>
      </c>
      <c r="BJ53" s="62">
        <f t="shared" si="38"/>
        <v>468.38066974447543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48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8.6131850761318383</v>
      </c>
      <c r="BQ53" s="23">
        <f>EXP(-LN(2)/25)*BQ52+(1-EXP(-LN(2)/25))/(LN(2)/25)*Calculateur!BL53*Calculateur!BN53*VLOOKUP('Données projet'!$B$11,Paramètres!$A$1:$I$89,3,0)*0.475*44/12</f>
        <v>8.1673625883571344</v>
      </c>
      <c r="BR53" s="23">
        <f>EXP(-LN(2)/2)*BR52+(1-EXP(-LN(2)/2))/(LN(2)/2)*BL53*BO53*VLOOKUP('Données projet'!$B$11,Paramètres!$A$1:$I$89,3,0)*0.475*44/12</f>
        <v>1.2373035133044807E-2</v>
      </c>
      <c r="BS53" s="24">
        <f t="shared" si="9"/>
        <v>16.792920699622016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265</v>
      </c>
      <c r="AJ54" s="14">
        <f>AI54*VLOOKUP('Données projet'!$B$10,Paramètres!$A$1:$I$89,3,0)*VLOOKUP('Données projet'!$B$10,Paramètres!$A$1:$I$89,5,0)</f>
        <v>124.02</v>
      </c>
      <c r="AK54" s="14">
        <f t="shared" si="35"/>
        <v>32.610792634958898</v>
      </c>
      <c r="AL54" s="22">
        <f t="shared" si="4"/>
        <v>272.79863050588671</v>
      </c>
      <c r="AM54" s="62">
        <f t="shared" si="5"/>
        <v>566.13196383922002</v>
      </c>
      <c r="AN54" s="62">
        <f ca="1">AVERAGE(OFFSET($AM$3,0,0,'Données projet'!$E$10+1,1))-AVERAGE(OFFSET($H$3,0,0,'Données projet'!$E$10+1,1))</f>
        <v>160.81094423216069</v>
      </c>
      <c r="AO54" s="62">
        <f t="shared" si="36"/>
        <v>145.53871436439169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6.9203492497393357</v>
      </c>
      <c r="AV54" s="23">
        <f>EXP(-LN(2)/25)*AV53+(1-EXP(-LN(2)/25))/(LN(2)/25)*Calculateur!AQ54*Calculateur!AS54*VLOOKUP('Données projet'!$B$10,Paramètres!$A$1:$I$89,3,0)*0.475*44/12</f>
        <v>3.1589364414672092</v>
      </c>
      <c r="AW54" s="23">
        <f>EXP(-LN(2)/2)*AW53+(1-EXP(-LN(2)/2))/(LN(2)/2)*AQ54*AT54*VLOOKUP('Données projet'!$B$10,Paramètres!$A$1:$I$89,3,0)*0.475*44/12</f>
        <v>0.29506449687355774</v>
      </c>
      <c r="AX54" s="23">
        <f t="shared" si="6"/>
        <v>10.374350188080102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13.8</v>
      </c>
      <c r="BD54" s="13">
        <f>IF('Données projet'!$A$88&gt;35,BD53+BC54-BL53,IF(A54&lt;'Données projet'!$A$88,$BA$205^A54,IF(A54='Données projet'!$A$88,'Données projet'!$B$88,BD53+BC54-BL53)))</f>
        <v>594.79999999999973</v>
      </c>
      <c r="BE54" s="14">
        <f>BD54*VLOOKUP('Données projet'!$B$11,Paramètres!$A$1:$I$89,3,0)*VLOOKUP('Données projet'!$B$11,Paramètres!$A$1:$I$89,5,0)</f>
        <v>332.49319999999983</v>
      </c>
      <c r="BF54" s="14">
        <f t="shared" si="37"/>
        <v>77.946984490524827</v>
      </c>
      <c r="BG54" s="22">
        <f t="shared" si="7"/>
        <v>714.84998798766367</v>
      </c>
      <c r="BH54" s="62">
        <f t="shared" si="8"/>
        <v>1008.183321320997</v>
      </c>
      <c r="BI54" s="62">
        <f ca="1">AVERAGE(OFFSET($BH$3,0,0,'Données projet'!$E$11+1,1))-AVERAGE(OFFSET($H$3,0,0,'Données projet'!$E$11+1,1))</f>
        <v>374.67858373761965</v>
      </c>
      <c r="BJ54" s="62">
        <f t="shared" si="38"/>
        <v>468.38066974447543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8.4442857703130461</v>
      </c>
      <c r="BQ54" s="23">
        <f>EXP(-LN(2)/25)*BQ53+(1-EXP(-LN(2)/25))/(LN(2)/25)*Calculateur!BL54*Calculateur!BN54*VLOOKUP('Données projet'!$B$11,Paramètres!$A$1:$I$89,3,0)*0.475*44/12</f>
        <v>7.9440256288755764</v>
      </c>
      <c r="BR54" s="23">
        <f>EXP(-LN(2)/2)*BR53+(1-EXP(-LN(2)/2))/(LN(2)/2)*BL54*BO54*VLOOKUP('Données projet'!$B$11,Paramètres!$A$1:$I$89,3,0)*0.475*44/12</f>
        <v>8.7490570464353792E-3</v>
      </c>
      <c r="BS54" s="24">
        <f t="shared" si="9"/>
        <v>16.39706045623506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273</v>
      </c>
      <c r="AJ55" s="14">
        <f>AI55*VLOOKUP('Données projet'!$B$10,Paramètres!$A$1:$I$89,3,0)*VLOOKUP('Données projet'!$B$10,Paramètres!$A$1:$I$89,5,0)</f>
        <v>127.76400000000001</v>
      </c>
      <c r="AK55" s="14">
        <f t="shared" si="35"/>
        <v>33.479164830670051</v>
      </c>
      <c r="AL55" s="22">
        <f t="shared" si="4"/>
        <v>280.83184541341694</v>
      </c>
      <c r="AM55" s="62">
        <f t="shared" si="5"/>
        <v>574.16517874675026</v>
      </c>
      <c r="AN55" s="62">
        <f ca="1">AVERAGE(OFFSET($AM$3,0,0,'Données projet'!$E$10+1,1))-AVERAGE(OFFSET($H$3,0,0,'Données projet'!$E$10+1,1))</f>
        <v>160.81094423216069</v>
      </c>
      <c r="AO55" s="62">
        <f t="shared" si="36"/>
        <v>145.53871436439169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6.7846454219482011</v>
      </c>
      <c r="AV55" s="23">
        <f>EXP(-LN(2)/25)*AV54+(1-EXP(-LN(2)/25))/(LN(2)/25)*Calculateur!AQ55*Calculateur!AS55*VLOOKUP('Données projet'!$B$10,Paramètres!$A$1:$I$89,3,0)*0.475*44/12</f>
        <v>3.0725551583540409</v>
      </c>
      <c r="AW55" s="23">
        <f>EXP(-LN(2)/2)*AW54+(1-EXP(-LN(2)/2))/(LN(2)/2)*AQ55*AT55*VLOOKUP('Données projet'!$B$10,Paramètres!$A$1:$I$89,3,0)*0.475*44/12</f>
        <v>0.20864210662668953</v>
      </c>
      <c r="AX55" s="23">
        <f t="shared" si="6"/>
        <v>10.065842686928931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13.8</v>
      </c>
      <c r="BD55" s="13">
        <f>IF('Données projet'!$A$88&gt;35,BD54+BC55-BL54,IF(A55&lt;'Données projet'!$A$88,$BA$205^A55,IF(A55='Données projet'!$A$88,'Données projet'!$B$88,BD54+BC55-BL54)))</f>
        <v>608.59999999999968</v>
      </c>
      <c r="BE55" s="14">
        <f>BD55*VLOOKUP('Données projet'!$B$11,Paramètres!$A$1:$I$89,3,0)*VLOOKUP('Données projet'!$B$11,Paramètres!$A$1:$I$89,5,0)</f>
        <v>340.20739999999984</v>
      </c>
      <c r="BF55" s="14">
        <f t="shared" si="37"/>
        <v>79.542795053996059</v>
      </c>
      <c r="BG55" s="22">
        <f t="shared" si="7"/>
        <v>731.06492305237623</v>
      </c>
      <c r="BH55" s="62">
        <f t="shared" si="8"/>
        <v>1024.3982563857096</v>
      </c>
      <c r="BI55" s="62">
        <f ca="1">AVERAGE(OFFSET($BH$3,0,0,'Données projet'!$E$11+1,1))-AVERAGE(OFFSET($H$3,0,0,'Données projet'!$E$11+1,1))</f>
        <v>374.67858373761965</v>
      </c>
      <c r="BJ55" s="62">
        <f t="shared" si="38"/>
        <v>468.38066974447543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8.2786984768629566</v>
      </c>
      <c r="BQ55" s="23">
        <f>EXP(-LN(2)/25)*BQ54+(1-EXP(-LN(2)/25))/(LN(2)/25)*Calculateur!BL55*Calculateur!BN55*VLOOKUP('Données projet'!$B$11,Paramètres!$A$1:$I$89,3,0)*0.475*44/12</f>
        <v>7.7267958302958224</v>
      </c>
      <c r="BR55" s="23">
        <f>EXP(-LN(2)/2)*BR54+(1-EXP(-LN(2)/2))/(LN(2)/2)*BL55*BO55*VLOOKUP('Données projet'!$B$11,Paramètres!$A$1:$I$89,3,0)*0.475*44/12</f>
        <v>6.1865175665224035E-3</v>
      </c>
      <c r="BS55" s="24">
        <f t="shared" si="9"/>
        <v>16.0116808247253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281</v>
      </c>
      <c r="AJ56" s="14">
        <f>AI56*VLOOKUP('Données projet'!$B$10,Paramètres!$A$1:$I$89,3,0)*VLOOKUP('Données projet'!$B$10,Paramètres!$A$1:$I$89,5,0)</f>
        <v>131.50800000000001</v>
      </c>
      <c r="AK56" s="14">
        <f t="shared" si="35"/>
        <v>34.344579617082509</v>
      </c>
      <c r="AL56" s="22">
        <f t="shared" si="4"/>
        <v>288.85990949975201</v>
      </c>
      <c r="AM56" s="62">
        <f t="shared" si="5"/>
        <v>582.19324283308538</v>
      </c>
      <c r="AN56" s="62">
        <f ca="1">AVERAGE(OFFSET($AM$3,0,0,'Données projet'!$E$10+1,1))-AVERAGE(OFFSET($H$3,0,0,'Données projet'!$E$10+1,1))</f>
        <v>160.81094423216069</v>
      </c>
      <c r="AO56" s="62">
        <f t="shared" si="36"/>
        <v>145.53871436439169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6.6516026634488883</v>
      </c>
      <c r="AV56" s="23">
        <f>EXP(-LN(2)/25)*AV55+(1-EXP(-LN(2)/25))/(LN(2)/25)*Calculateur!AQ56*Calculateur!AS56*VLOOKUP('Données projet'!$B$10,Paramètres!$A$1:$I$89,3,0)*0.475*44/12</f>
        <v>2.9885359759701964</v>
      </c>
      <c r="AW56" s="23">
        <f>EXP(-LN(2)/2)*AW55+(1-EXP(-LN(2)/2))/(LN(2)/2)*AQ56*AT56*VLOOKUP('Données projet'!$B$10,Paramètres!$A$1:$I$89,3,0)*0.475*44/12</f>
        <v>0.14753224843677887</v>
      </c>
      <c r="AX56" s="23">
        <f t="shared" si="6"/>
        <v>9.7876708878558638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13.8</v>
      </c>
      <c r="BD56" s="13">
        <f>IF('Données projet'!$A$88&gt;35,BD55+BC56-BL55,IF(A56&lt;'Données projet'!$A$88,$BA$205^A56,IF(A56='Données projet'!$A$88,'Données projet'!$B$88,BD55+BC56-BL55)))</f>
        <v>622.39999999999964</v>
      </c>
      <c r="BE56" s="14">
        <f>BD56*VLOOKUP('Données projet'!$B$11,Paramètres!$A$1:$I$89,3,0)*VLOOKUP('Données projet'!$B$11,Paramètres!$A$1:$I$89,5,0)</f>
        <v>347.92159999999978</v>
      </c>
      <c r="BF56" s="14">
        <f t="shared" si="37"/>
        <v>81.134398856989449</v>
      </c>
      <c r="BG56" s="22">
        <f t="shared" si="7"/>
        <v>747.27253134258956</v>
      </c>
      <c r="BH56" s="62">
        <f t="shared" si="8"/>
        <v>1040.6058646759229</v>
      </c>
      <c r="BI56" s="62">
        <f ca="1">AVERAGE(OFFSET($BH$3,0,0,'Données projet'!$E$11+1,1))-AVERAGE(OFFSET($H$3,0,0,'Données projet'!$E$11+1,1))</f>
        <v>374.67858373761965</v>
      </c>
      <c r="BJ56" s="62">
        <f t="shared" si="38"/>
        <v>468.38066974447543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8.1163582492391466</v>
      </c>
      <c r="BQ56" s="23">
        <f>EXP(-LN(2)/25)*BQ55+(1-EXP(-LN(2)/25))/(LN(2)/25)*Calculateur!BL56*Calculateur!BN56*VLOOKUP('Données projet'!$B$11,Paramètres!$A$1:$I$89,3,0)*0.475*44/12</f>
        <v>7.5155061919818502</v>
      </c>
      <c r="BR56" s="23">
        <f>EXP(-LN(2)/2)*BR55+(1-EXP(-LN(2)/2))/(LN(2)/2)*BL56*BO56*VLOOKUP('Données projet'!$B$11,Paramètres!$A$1:$I$89,3,0)*0.475*44/12</f>
        <v>4.3745285232176896E-3</v>
      </c>
      <c r="BS56" s="24">
        <f t="shared" si="9"/>
        <v>15.636238969744216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289</v>
      </c>
      <c r="AJ57" s="14">
        <f>AI57*VLOOKUP('Données projet'!$B$10,Paramètres!$A$1:$I$89,3,0)*VLOOKUP('Données projet'!$B$10,Paramètres!$A$1:$I$89,5,0)</f>
        <v>135.25199999999998</v>
      </c>
      <c r="AK57" s="14">
        <f t="shared" si="35"/>
        <v>35.207130861518152</v>
      </c>
      <c r="AL57" s="22">
        <f t="shared" si="4"/>
        <v>296.88298625047742</v>
      </c>
      <c r="AM57" s="62">
        <f t="shared" si="5"/>
        <v>590.21631958381067</v>
      </c>
      <c r="AN57" s="62">
        <f ca="1">AVERAGE(OFFSET($AM$3,0,0,'Données projet'!$E$10+1,1))-AVERAGE(OFFSET($H$3,0,0,'Données projet'!$E$10+1,1))</f>
        <v>160.81094423216069</v>
      </c>
      <c r="AO57" s="62">
        <f t="shared" si="36"/>
        <v>145.53871436439169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6.5211687922956774</v>
      </c>
      <c r="AV57" s="23">
        <f>EXP(-LN(2)/25)*AV56+(1-EXP(-LN(2)/25))/(LN(2)/25)*Calculateur!AQ57*Calculateur!AS57*VLOOKUP('Données projet'!$B$10,Paramètres!$A$1:$I$89,3,0)*0.475*44/12</f>
        <v>2.9068143025470148</v>
      </c>
      <c r="AW57" s="23">
        <f>EXP(-LN(2)/2)*AW56+(1-EXP(-LN(2)/2))/(LN(2)/2)*AQ57*AT57*VLOOKUP('Données projet'!$B$10,Paramètres!$A$1:$I$89,3,0)*0.475*44/12</f>
        <v>0.10432105331334476</v>
      </c>
      <c r="AX57" s="23">
        <f t="shared" si="6"/>
        <v>9.5323041481560367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13.8</v>
      </c>
      <c r="BD57" s="13">
        <f>IF('Données projet'!$A$88&gt;35,BD56+BC57-BL56,IF(A57&lt;'Données projet'!$A$88,$BA$205^A57,IF(A57='Données projet'!$A$88,'Données projet'!$B$88,BD56+BC57-BL56)))</f>
        <v>636.19999999999959</v>
      </c>
      <c r="BE57" s="14">
        <f>BD57*VLOOKUP('Données projet'!$B$11,Paramètres!$A$1:$I$89,3,0)*VLOOKUP('Données projet'!$B$11,Paramètres!$A$1:$I$89,5,0)</f>
        <v>355.63579999999973</v>
      </c>
      <c r="BF57" s="14">
        <f t="shared" si="37"/>
        <v>82.721899912765039</v>
      </c>
      <c r="BG57" s="22">
        <f t="shared" si="7"/>
        <v>763.47299401473185</v>
      </c>
      <c r="BH57" s="62">
        <f t="shared" si="8"/>
        <v>1056.8063273480652</v>
      </c>
      <c r="BI57" s="62">
        <f ca="1">AVERAGE(OFFSET($BH$3,0,0,'Données projet'!$E$11+1,1))-AVERAGE(OFFSET($H$3,0,0,'Données projet'!$E$11+1,1))</f>
        <v>374.67858373761965</v>
      </c>
      <c r="BJ57" s="62">
        <f t="shared" si="38"/>
        <v>468.38066974447543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7.957201414461279</v>
      </c>
      <c r="BQ57" s="23">
        <f>EXP(-LN(2)/25)*BQ56+(1-EXP(-LN(2)/25))/(LN(2)/25)*Calculateur!BL57*Calculateur!BN57*VLOOKUP('Données projet'!$B$11,Paramètres!$A$1:$I$89,3,0)*0.475*44/12</f>
        <v>7.3099942799388131</v>
      </c>
      <c r="BR57" s="23">
        <f>EXP(-LN(2)/2)*BR56+(1-EXP(-LN(2)/2))/(LN(2)/2)*BL57*BO57*VLOOKUP('Données projet'!$B$11,Paramètres!$A$1:$I$89,3,0)*0.475*44/12</f>
        <v>3.0932587832612018E-3</v>
      </c>
      <c r="BS57" s="24">
        <f t="shared" si="9"/>
        <v>15.270288953183353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297</v>
      </c>
      <c r="AJ58" s="14">
        <f>AI58*VLOOKUP('Données projet'!$B$10,Paramètres!$A$1:$I$89,3,0)*VLOOKUP('Données projet'!$B$10,Paramètres!$A$1:$I$89,5,0)</f>
        <v>138.99600000000001</v>
      </c>
      <c r="AK58" s="14">
        <f t="shared" si="35"/>
        <v>36.066906938767758</v>
      </c>
      <c r="AL58" s="22">
        <f t="shared" si="4"/>
        <v>304.90122958502047</v>
      </c>
      <c r="AM58" s="62">
        <f t="shared" si="5"/>
        <v>598.23456291835373</v>
      </c>
      <c r="AN58" s="62">
        <f ca="1">AVERAGE(OFFSET($AM$3,0,0,'Données projet'!$E$10+1,1))-AVERAGE(OFFSET($H$3,0,0,'Données projet'!$E$10+1,1))</f>
        <v>160.81094423216069</v>
      </c>
      <c r="AO58" s="62">
        <f t="shared" si="36"/>
        <v>145.53871436439169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6.3932926497989753</v>
      </c>
      <c r="AV58" s="23">
        <f>EXP(-LN(2)/25)*AV57+(1-EXP(-LN(2)/25))/(LN(2)/25)*Calculateur!AQ58*Calculateur!AS58*VLOOKUP('Données projet'!$B$10,Paramètres!$A$1:$I$89,3,0)*0.475*44/12</f>
        <v>2.8273273125811462</v>
      </c>
      <c r="AW58" s="23">
        <f>EXP(-LN(2)/2)*AW57+(1-EXP(-LN(2)/2))/(LN(2)/2)*AQ58*AT58*VLOOKUP('Données projet'!$B$10,Paramètres!$A$1:$I$89,3,0)*0.475*44/12</f>
        <v>7.3766124218389434E-2</v>
      </c>
      <c r="AX58" s="23">
        <f t="shared" si="6"/>
        <v>9.2943860865985108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650</v>
      </c>
      <c r="BB58" s="13">
        <f>VLOOKUP(A58,'Données projet'!$A$87:$I$107,9,0)</f>
        <v>13.8</v>
      </c>
      <c r="BC58" s="13">
        <f t="array" ref="BC58">INDEX(BB:BB,MIN(IF(ISNUMBER(BB58:BB254),ROW(BB58:BB254),"")))</f>
        <v>13.8</v>
      </c>
      <c r="BD58" s="13">
        <f>IF('Données projet'!$A$88&gt;35,BD57+BC58-BL57,IF(A58&lt;'Données projet'!$A$88,$BA$205^A58,IF(A58='Données projet'!$A$88,'Données projet'!$B$88,BD57+BC58-BL57)))</f>
        <v>649.99999999999955</v>
      </c>
      <c r="BE58" s="14">
        <f>BD58*VLOOKUP('Données projet'!$B$11,Paramètres!$A$1:$I$89,3,0)*VLOOKUP('Données projet'!$B$11,Paramètres!$A$1:$I$89,5,0)</f>
        <v>363.34999999999974</v>
      </c>
      <c r="BF58" s="14">
        <f t="shared" si="37"/>
        <v>84.305397464498199</v>
      </c>
      <c r="BG58" s="22">
        <f t="shared" si="7"/>
        <v>779.66648391733395</v>
      </c>
      <c r="BH58" s="62">
        <f t="shared" si="8"/>
        <v>1072.9998172506673</v>
      </c>
      <c r="BI58" s="62">
        <f ca="1">AVERAGE(OFFSET($BH$3,0,0,'Données projet'!$E$11+1,1))-AVERAGE(OFFSET($H$3,0,0,'Données projet'!$E$11+1,1))</f>
        <v>374.67858373761965</v>
      </c>
      <c r="BJ58" s="62">
        <f t="shared" si="38"/>
        <v>468.38066974447543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35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7.8011655481373214</v>
      </c>
      <c r="BQ58" s="23">
        <f>EXP(-LN(2)/25)*BQ57+(1-EXP(-LN(2)/25))/(LN(2)/25)*Calculateur!BL58*Calculateur!BN58*VLOOKUP('Données projet'!$B$11,Paramètres!$A$1:$I$89,3,0)*0.475*44/12</f>
        <v>7.1101021019379944</v>
      </c>
      <c r="BR58" s="23">
        <f>EXP(-LN(2)/2)*BR57+(1-EXP(-LN(2)/2))/(LN(2)/2)*BL58*BO58*VLOOKUP('Données projet'!$B$11,Paramètres!$A$1:$I$89,3,0)*0.475*44/12</f>
        <v>2.1872642616088448E-3</v>
      </c>
      <c r="BS58" s="24">
        <f t="shared" si="9"/>
        <v>14.913454914336926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</v>
      </c>
      <c r="AI59" s="14">
        <f>IF('Données projet'!$A$62&gt;35,AI58+AH59-AQ58,IF(A59&lt;'Données projet'!$A$62,$AF$205^A59,IF(A59='Données projet'!$A$62,'Données projet'!$B$62,AI58+AH59-AQ58)))</f>
        <v>305</v>
      </c>
      <c r="AJ59" s="14">
        <f>AI59*VLOOKUP('Données projet'!$B$10,Paramètres!$A$1:$I$89,3,0)*VLOOKUP('Données projet'!$B$10,Paramètres!$A$1:$I$89,5,0)</f>
        <v>142.74</v>
      </c>
      <c r="AK59" s="14">
        <f t="shared" si="35"/>
        <v>36.923991191656064</v>
      </c>
      <c r="AL59" s="22">
        <f t="shared" si="4"/>
        <v>312.91478465880101</v>
      </c>
      <c r="AM59" s="62">
        <f t="shared" si="5"/>
        <v>606.24811799213433</v>
      </c>
      <c r="AN59" s="62">
        <f ca="1">AVERAGE(OFFSET($AM$3,0,0,'Données projet'!$E$10+1,1))-AVERAGE(OFFSET($H$3,0,0,'Données projet'!$E$10+1,1))</f>
        <v>160.81094423216069</v>
      </c>
      <c r="AO59" s="62">
        <f t="shared" si="36"/>
        <v>145.53871436439169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6.2679240804598875</v>
      </c>
      <c r="AV59" s="23">
        <f>EXP(-LN(2)/25)*AV58+(1-EXP(-LN(2)/25))/(LN(2)/25)*Calculateur!AQ59*Calculateur!AS59*VLOOKUP('Données projet'!$B$10,Paramètres!$A$1:$I$89,3,0)*0.475*44/12</f>
        <v>2.7500138985359333</v>
      </c>
      <c r="AW59" s="23">
        <f>EXP(-LN(2)/2)*AW58+(1-EXP(-LN(2)/2))/(LN(2)/2)*AQ59*AT59*VLOOKUP('Données projet'!$B$10,Paramètres!$A$1:$I$89,3,0)*0.475*44/12</f>
        <v>5.2160526656672382E-2</v>
      </c>
      <c r="AX59" s="23">
        <f t="shared" si="6"/>
        <v>9.0700985056524939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10.199999999999999</v>
      </c>
      <c r="BD59" s="13">
        <f>IF('Données projet'!$A$88&gt;35,BD58+BC59-BL58,IF(A59&lt;'Données projet'!$A$88,$BA$205^A59,IF(A59='Données projet'!$A$88,'Données projet'!$B$88,BD58+BC59-BL58)))</f>
        <v>625.19999999999959</v>
      </c>
      <c r="BE59" s="14">
        <f>BD59*VLOOKUP('Données projet'!$B$11,Paramètres!$A$1:$I$89,3,0)*VLOOKUP('Données projet'!$B$11,Paramètres!$A$1:$I$89,5,0)</f>
        <v>349.48679999999979</v>
      </c>
      <c r="BF59" s="14">
        <f t="shared" si="37"/>
        <v>81.45682900536228</v>
      </c>
      <c r="BG59" s="22">
        <f t="shared" si="7"/>
        <v>750.56015385100557</v>
      </c>
      <c r="BH59" s="62">
        <f t="shared" si="8"/>
        <v>1043.8934871843389</v>
      </c>
      <c r="BI59" s="62">
        <f ca="1">AVERAGE(OFFSET($BH$3,0,0,'Données projet'!$E$11+1,1))-AVERAGE(OFFSET($H$3,0,0,'Données projet'!$E$11+1,1))</f>
        <v>374.67858373761965</v>
      </c>
      <c r="BJ59" s="62">
        <f t="shared" si="38"/>
        <v>468.38066974447543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7.6481894499794958</v>
      </c>
      <c r="BQ59" s="23">
        <f>EXP(-LN(2)/25)*BQ58+(1-EXP(-LN(2)/25))/(LN(2)/25)*Calculateur!BL59*Calculateur!BN59*VLOOKUP('Données projet'!$B$11,Paramètres!$A$1:$I$89,3,0)*0.475*44/12</f>
        <v>6.9156759860564812</v>
      </c>
      <c r="BR59" s="23">
        <f>EXP(-LN(2)/2)*BR58+(1-EXP(-LN(2)/2))/(LN(2)/2)*BL59*BO59*VLOOKUP('Données projet'!$B$11,Paramètres!$A$1:$I$89,3,0)*0.475*44/12</f>
        <v>1.5466293916306009E-3</v>
      </c>
      <c r="BS59" s="24">
        <f t="shared" si="9"/>
        <v>14.565412065427607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</v>
      </c>
      <c r="AI60" s="14">
        <f>IF('Données projet'!$A$62&gt;35,AI59+AH60-AQ59,IF(A60&lt;'Données projet'!$A$62,$AF$205^A60,IF(A60='Données projet'!$A$62,'Données projet'!$B$62,AI59+AH60-AQ59)))</f>
        <v>313</v>
      </c>
      <c r="AJ60" s="14">
        <f>AI60*VLOOKUP('Données projet'!$B$10,Paramètres!$A$1:$I$89,3,0)*VLOOKUP('Données projet'!$B$10,Paramètres!$A$1:$I$89,5,0)</f>
        <v>146.48400000000001</v>
      </c>
      <c r="AK60" s="14">
        <f t="shared" si="35"/>
        <v>37.778462341926023</v>
      </c>
      <c r="AL60" s="22">
        <f t="shared" si="4"/>
        <v>320.9237885788545</v>
      </c>
      <c r="AM60" s="62">
        <f t="shared" si="5"/>
        <v>614.25712191218781</v>
      </c>
      <c r="AN60" s="62">
        <f ca="1">AVERAGE(OFFSET($AM$3,0,0,'Données projet'!$E$10+1,1))-AVERAGE(OFFSET($H$3,0,0,'Données projet'!$E$10+1,1))</f>
        <v>160.81094423216069</v>
      </c>
      <c r="AO60" s="62">
        <f t="shared" si="36"/>
        <v>145.53871436439169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6.1450139122982623</v>
      </c>
      <c r="AV60" s="23">
        <f>EXP(-LN(2)/25)*AV59+(1-EXP(-LN(2)/25))/(LN(2)/25)*Calculateur!AQ60*Calculateur!AS60*VLOOKUP('Données projet'!$B$10,Paramètres!$A$1:$I$89,3,0)*0.475*44/12</f>
        <v>2.6748146238635226</v>
      </c>
      <c r="AW60" s="23">
        <f>EXP(-LN(2)/2)*AW59+(1-EXP(-LN(2)/2))/(LN(2)/2)*AQ60*AT60*VLOOKUP('Données projet'!$B$10,Paramètres!$A$1:$I$89,3,0)*0.475*44/12</f>
        <v>3.6883062109194717E-2</v>
      </c>
      <c r="AX60" s="23">
        <f t="shared" si="6"/>
        <v>8.8567115982709801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10.199999999999999</v>
      </c>
      <c r="BD60" s="13">
        <f>IF('Données projet'!$A$88&gt;35,BD59+BC60-BL59,IF(A60&lt;'Données projet'!$A$88,$BA$205^A60,IF(A60='Données projet'!$A$88,'Données projet'!$B$88,BD59+BC60-BL59)))</f>
        <v>635.39999999999964</v>
      </c>
      <c r="BE60" s="14">
        <f>BD60*VLOOKUP('Données projet'!$B$11,Paramètres!$A$1:$I$89,3,0)*VLOOKUP('Données projet'!$B$11,Paramètres!$A$1:$I$89,5,0)</f>
        <v>355.18859999999984</v>
      </c>
      <c r="BF60" s="14">
        <f t="shared" si="37"/>
        <v>82.629981116726043</v>
      </c>
      <c r="BG60" s="22">
        <f t="shared" si="7"/>
        <v>762.53402877829774</v>
      </c>
      <c r="BH60" s="62">
        <f t="shared" si="8"/>
        <v>1055.8673621116311</v>
      </c>
      <c r="BI60" s="62">
        <f ca="1">AVERAGE(OFFSET($BH$3,0,0,'Données projet'!$E$11+1,1))-AVERAGE(OFFSET($H$3,0,0,'Données projet'!$E$11+1,1))</f>
        <v>374.67858373761965</v>
      </c>
      <c r="BJ60" s="62">
        <f t="shared" si="38"/>
        <v>468.38066974447543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7.4982131198003383</v>
      </c>
      <c r="BQ60" s="23">
        <f>EXP(-LN(2)/25)*BQ59+(1-EXP(-LN(2)/25))/(LN(2)/25)*Calculateur!BL60*Calculateur!BN60*VLOOKUP('Données projet'!$B$11,Paramètres!$A$1:$I$89,3,0)*0.475*44/12</f>
        <v>6.7265664625381723</v>
      </c>
      <c r="BR60" s="23">
        <f>EXP(-LN(2)/2)*BR59+(1-EXP(-LN(2)/2))/(LN(2)/2)*BL60*BO60*VLOOKUP('Données projet'!$B$11,Paramètres!$A$1:$I$89,3,0)*0.475*44/12</f>
        <v>1.0936321308044224E-3</v>
      </c>
      <c r="BS60" s="24">
        <f t="shared" si="9"/>
        <v>14.225873214469313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</v>
      </c>
      <c r="AI61" s="14">
        <f>IF('Données projet'!$A$62&gt;35,AI60+AH61-AQ60,IF(A61&lt;'Données projet'!$A$62,$AF$205^A61,IF(A61='Données projet'!$A$62,'Données projet'!$B$62,AI60+AH61-AQ60)))</f>
        <v>321</v>
      </c>
      <c r="AJ61" s="14">
        <f>AI61*VLOOKUP('Données projet'!$B$10,Paramètres!$A$1:$I$89,3,0)*VLOOKUP('Données projet'!$B$10,Paramètres!$A$1:$I$89,5,0)</f>
        <v>150.22800000000001</v>
      </c>
      <c r="AK61" s="14">
        <f t="shared" si="35"/>
        <v>38.630394857933659</v>
      </c>
      <c r="AL61" s="22">
        <f t="shared" si="4"/>
        <v>328.92837104423444</v>
      </c>
      <c r="AM61" s="62">
        <f t="shared" si="5"/>
        <v>622.26170437756775</v>
      </c>
      <c r="AN61" s="62">
        <f ca="1">AVERAGE(OFFSET($AM$3,0,0,'Données projet'!$E$10+1,1))-AVERAGE(OFFSET($H$3,0,0,'Données projet'!$E$10+1,1))</f>
        <v>160.81094423216069</v>
      </c>
      <c r="AO61" s="62">
        <f t="shared" si="36"/>
        <v>145.53871436439169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6.0245139375664873</v>
      </c>
      <c r="AV61" s="23">
        <f>EXP(-LN(2)/25)*AV60+(1-EXP(-LN(2)/25))/(LN(2)/25)*Calculateur!AQ61*Calculateur!AS61*VLOOKUP('Données projet'!$B$10,Paramètres!$A$1:$I$89,3,0)*0.475*44/12</f>
        <v>2.6016716773115869</v>
      </c>
      <c r="AW61" s="23">
        <f>EXP(-LN(2)/2)*AW60+(1-EXP(-LN(2)/2))/(LN(2)/2)*AQ61*AT61*VLOOKUP('Données projet'!$B$10,Paramètres!$A$1:$I$89,3,0)*0.475*44/12</f>
        <v>2.6080263328336191E-2</v>
      </c>
      <c r="AX61" s="23">
        <f t="shared" si="6"/>
        <v>8.6522658782064106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10.199999999999999</v>
      </c>
      <c r="BD61" s="13">
        <f>IF('Données projet'!$A$88&gt;35,BD60+BC61-BL60,IF(A61&lt;'Données projet'!$A$88,$BA$205^A61,IF(A61='Données projet'!$A$88,'Données projet'!$B$88,BD60+BC61-BL60)))</f>
        <v>645.59999999999968</v>
      </c>
      <c r="BE61" s="14">
        <f>BD61*VLOOKUP('Données projet'!$B$11,Paramètres!$A$1:$I$89,3,0)*VLOOKUP('Données projet'!$B$11,Paramètres!$A$1:$I$89,5,0)</f>
        <v>360.89039999999977</v>
      </c>
      <c r="BF61" s="14">
        <f t="shared" si="37"/>
        <v>83.800943075865291</v>
      </c>
      <c r="BG61" s="22">
        <f t="shared" si="7"/>
        <v>774.50408919046504</v>
      </c>
      <c r="BH61" s="62">
        <f t="shared" si="8"/>
        <v>1067.8374225237983</v>
      </c>
      <c r="BI61" s="62">
        <f ca="1">AVERAGE(OFFSET($BH$3,0,0,'Données projet'!$E$11+1,1))-AVERAGE(OFFSET($H$3,0,0,'Données projet'!$E$11+1,1))</f>
        <v>374.67858373761965</v>
      </c>
      <c r="BJ61" s="62">
        <f t="shared" si="38"/>
        <v>468.38066974447543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7.3511777339794655</v>
      </c>
      <c r="BQ61" s="23">
        <f>EXP(-LN(2)/25)*BQ60+(1-EXP(-LN(2)/25))/(LN(2)/25)*Calculateur!BL61*Calculateur!BN61*VLOOKUP('Données projet'!$B$11,Paramètres!$A$1:$I$89,3,0)*0.475*44/12</f>
        <v>6.5426281488853091</v>
      </c>
      <c r="BR61" s="23">
        <f>EXP(-LN(2)/2)*BR60+(1-EXP(-LN(2)/2))/(LN(2)/2)*BL61*BO61*VLOOKUP('Données projet'!$B$11,Paramètres!$A$1:$I$89,3,0)*0.475*44/12</f>
        <v>7.7331469581530044E-4</v>
      </c>
      <c r="BS61" s="24">
        <f t="shared" si="9"/>
        <v>13.89457919756059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</v>
      </c>
      <c r="AI62" s="14">
        <f>IF('Données projet'!$A$62&gt;35,AI61+AH62-AQ61,IF(A62&lt;'Données projet'!$A$62,$AF$205^A62,IF(A62='Données projet'!$A$62,'Données projet'!$B$62,AI61+AH62-AQ61)))</f>
        <v>329</v>
      </c>
      <c r="AJ62" s="14">
        <f>AI62*VLOOKUP('Données projet'!$B$10,Paramètres!$A$1:$I$89,3,0)*VLOOKUP('Données projet'!$B$10,Paramètres!$A$1:$I$89,5,0)</f>
        <v>153.97200000000001</v>
      </c>
      <c r="AK62" s="14">
        <f t="shared" si="35"/>
        <v>39.479859284656378</v>
      </c>
      <c r="AL62" s="22">
        <f t="shared" si="4"/>
        <v>336.92865492077652</v>
      </c>
      <c r="AM62" s="62">
        <f t="shared" si="5"/>
        <v>630.26198825410984</v>
      </c>
      <c r="AN62" s="62">
        <f ca="1">AVERAGE(OFFSET($AM$3,0,0,'Données projet'!$E$10+1,1))-AVERAGE(OFFSET($H$3,0,0,'Données projet'!$E$10+1,1))</f>
        <v>160.81094423216069</v>
      </c>
      <c r="AO62" s="62">
        <f t="shared" si="36"/>
        <v>145.53871436439169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5.9063768938414745</v>
      </c>
      <c r="AV62" s="23">
        <f>EXP(-LN(2)/25)*AV61+(1-EXP(-LN(2)/25))/(LN(2)/25)*Calculateur!AQ62*Calculateur!AS62*VLOOKUP('Données projet'!$B$10,Paramètres!$A$1:$I$89,3,0)*0.475*44/12</f>
        <v>2.5305288284795342</v>
      </c>
      <c r="AW62" s="23">
        <f>EXP(-LN(2)/2)*AW61+(1-EXP(-LN(2)/2))/(LN(2)/2)*AQ62*AT62*VLOOKUP('Données projet'!$B$10,Paramètres!$A$1:$I$89,3,0)*0.475*44/12</f>
        <v>1.8441531054597358E-2</v>
      </c>
      <c r="AX62" s="23">
        <f t="shared" si="6"/>
        <v>8.4553472533756047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10.199999999999999</v>
      </c>
      <c r="BD62" s="13">
        <f>IF('Données projet'!$A$88&gt;35,BD61+BC62-BL61,IF(A62&lt;'Données projet'!$A$88,$BA$205^A62,IF(A62='Données projet'!$A$88,'Données projet'!$B$88,BD61+BC62-BL61)))</f>
        <v>655.79999999999973</v>
      </c>
      <c r="BE62" s="14">
        <f>BD62*VLOOKUP('Données projet'!$B$11,Paramètres!$A$1:$I$89,3,0)*VLOOKUP('Données projet'!$B$11,Paramètres!$A$1:$I$89,5,0)</f>
        <v>366.59219999999982</v>
      </c>
      <c r="BF62" s="14">
        <f t="shared" si="37"/>
        <v>84.969753481055022</v>
      </c>
      <c r="BG62" s="22">
        <f t="shared" si="7"/>
        <v>786.47040231283711</v>
      </c>
      <c r="BH62" s="62">
        <f t="shared" si="8"/>
        <v>1079.8037356461705</v>
      </c>
      <c r="BI62" s="62">
        <f ca="1">AVERAGE(OFFSET($BH$3,0,0,'Données projet'!$E$11+1,1))-AVERAGE(OFFSET($H$3,0,0,'Données projet'!$E$11+1,1))</f>
        <v>374.67858373761965</v>
      </c>
      <c r="BJ62" s="62">
        <f t="shared" si="38"/>
        <v>468.38066974447543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7.2070256223918099</v>
      </c>
      <c r="BQ62" s="23">
        <f>EXP(-LN(2)/25)*BQ61+(1-EXP(-LN(2)/25))/(LN(2)/25)*Calculateur!BL62*Calculateur!BN62*VLOOKUP('Données projet'!$B$11,Paramètres!$A$1:$I$89,3,0)*0.475*44/12</f>
        <v>6.3637196380921797</v>
      </c>
      <c r="BR62" s="23">
        <f>EXP(-LN(2)/2)*BR61+(1-EXP(-LN(2)/2))/(LN(2)/2)*BL62*BO62*VLOOKUP('Données projet'!$B$11,Paramètres!$A$1:$I$89,3,0)*0.475*44/12</f>
        <v>5.468160654022112E-4</v>
      </c>
      <c r="BS62" s="24">
        <f t="shared" si="9"/>
        <v>13.571292076549391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337</v>
      </c>
      <c r="AG63" s="13">
        <f>VLOOKUP(A63,'Données projet'!$A$61:$I$81,9,0)</f>
        <v>8</v>
      </c>
      <c r="AH63" s="13">
        <f t="array" ref="AH63">INDEX(AG:AG,MIN(IF(ISNUMBER(AG63:AG259),ROW(AG63:AG259),"")))</f>
        <v>8</v>
      </c>
      <c r="AI63" s="14">
        <f>IF('Données projet'!$A$62&gt;35,AI62+AH63-AQ62,IF(A63&lt;'Données projet'!$A$62,$AF$205^A63,IF(A63='Données projet'!$A$62,'Données projet'!$B$62,AI62+AH63-AQ62)))</f>
        <v>337</v>
      </c>
      <c r="AJ63" s="14">
        <f>AI63*VLOOKUP('Données projet'!$B$10,Paramètres!$A$1:$I$89,3,0)*VLOOKUP('Données projet'!$B$10,Paramètres!$A$1:$I$89,5,0)</f>
        <v>157.71600000000001</v>
      </c>
      <c r="AK63" s="14">
        <f t="shared" si="35"/>
        <v>40.326922540698838</v>
      </c>
      <c r="AL63" s="22">
        <f t="shared" si="4"/>
        <v>344.92475675838381</v>
      </c>
      <c r="AM63" s="62">
        <f t="shared" si="5"/>
        <v>638.25809009171712</v>
      </c>
      <c r="AN63" s="62">
        <f ca="1">AVERAGE(OFFSET($AM$3,0,0,'Données projet'!$E$10+1,1))-AVERAGE(OFFSET($H$3,0,0,'Données projet'!$E$10+1,1))</f>
        <v>160.81094423216069</v>
      </c>
      <c r="AO63" s="62">
        <f t="shared" si="36"/>
        <v>145.53871436439169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67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5.7905564454874279</v>
      </c>
      <c r="AV63" s="23">
        <f>EXP(-LN(2)/25)*AV62+(1-EXP(-LN(2)/25))/(LN(2)/25)*Calculateur!AQ63*Calculateur!AS63*VLOOKUP('Données projet'!$B$10,Paramètres!$A$1:$I$89,3,0)*0.475*44/12</f>
        <v>2.461331384590034</v>
      </c>
      <c r="AW63" s="23">
        <f>EXP(-LN(2)/2)*AW62+(1-EXP(-LN(2)/2))/(LN(2)/2)*AQ63*AT63*VLOOKUP('Données projet'!$B$10,Paramètres!$A$1:$I$89,3,0)*0.475*44/12</f>
        <v>1.3040131664168095E-2</v>
      </c>
      <c r="AX63" s="23">
        <f t="shared" si="6"/>
        <v>8.2649279617416287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666</v>
      </c>
      <c r="BB63" s="13">
        <f>VLOOKUP(A63,'Données projet'!$A$87:$I$107,9,0)</f>
        <v>10.199999999999999</v>
      </c>
      <c r="BC63" s="13">
        <f t="array" ref="BC63">INDEX(BB:BB,MIN(IF(ISNUMBER(BB63:BB259),ROW(BB63:BB259),"")))</f>
        <v>10.199999999999999</v>
      </c>
      <c r="BD63" s="13">
        <f>IF('Données projet'!$A$88&gt;35,BD62+BC63-BL62,IF(A63&lt;'Données projet'!$A$88,$BA$205^A63,IF(A63='Données projet'!$A$88,'Données projet'!$B$88,BD62+BC63-BL62)))</f>
        <v>665.99999999999977</v>
      </c>
      <c r="BE63" s="14">
        <f>BD63*VLOOKUP('Données projet'!$B$11,Paramètres!$A$1:$I$89,3,0)*VLOOKUP('Données projet'!$B$11,Paramètres!$A$1:$I$89,5,0)</f>
        <v>372.29399999999987</v>
      </c>
      <c r="BF63" s="14">
        <f t="shared" si="37"/>
        <v>86.136449661008839</v>
      </c>
      <c r="BG63" s="22">
        <f t="shared" si="7"/>
        <v>798.43303315959008</v>
      </c>
      <c r="BH63" s="62">
        <f t="shared" si="8"/>
        <v>1091.7663664929235</v>
      </c>
      <c r="BI63" s="62">
        <f ca="1">AVERAGE(OFFSET($BH$3,0,0,'Données projet'!$E$11+1,1))-AVERAGE(OFFSET($H$3,0,0,'Données projet'!$E$11+1,1))</f>
        <v>374.67858373761965</v>
      </c>
      <c r="BJ63" s="62">
        <f t="shared" si="38"/>
        <v>468.38066974447543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666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7.0657002457882818</v>
      </c>
      <c r="BQ63" s="23">
        <f>EXP(-LN(2)/25)*BQ62+(1-EXP(-LN(2)/25))/(LN(2)/25)*Calculateur!BL63*Calculateur!BN63*VLOOKUP('Données projet'!$B$11,Paramètres!$A$1:$I$89,3,0)*0.475*44/12</f>
        <v>6.1897033899350777</v>
      </c>
      <c r="BR63" s="23">
        <f>EXP(-LN(2)/2)*BR62+(1-EXP(-LN(2)/2))/(LN(2)/2)*BL63*BO63*VLOOKUP('Données projet'!$B$11,Paramètres!$A$1:$I$89,3,0)*0.475*44/12</f>
        <v>3.8665734790765022E-4</v>
      </c>
      <c r="BS63" s="24">
        <f t="shared" si="9"/>
        <v>13.255790293071268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7.5</v>
      </c>
      <c r="AI64" s="14">
        <f>IF('Données projet'!$A$62&gt;35,AI63+AH64-AQ63,IF(A64&lt;'Données projet'!$A$62,$AF$205^A64,IF(A64='Données projet'!$A$62,'Données projet'!$B$62,AI63+AH64-AQ63)))</f>
        <v>277.5</v>
      </c>
      <c r="AJ64" s="14">
        <f>AI64*VLOOKUP('Données projet'!$B$10,Paramètres!$A$1:$I$89,3,0)*VLOOKUP('Données projet'!$B$10,Paramètres!$A$1:$I$89,5,0)</f>
        <v>129.87</v>
      </c>
      <c r="AK64" s="14">
        <f t="shared" si="35"/>
        <v>33.966318400312318</v>
      </c>
      <c r="AL64" s="22">
        <f t="shared" si="4"/>
        <v>285.34825454721067</v>
      </c>
      <c r="AM64" s="62">
        <f t="shared" si="5"/>
        <v>578.68158788054393</v>
      </c>
      <c r="AN64" s="62">
        <f ca="1">AVERAGE(OFFSET($AM$3,0,0,'Données projet'!$E$10+1,1))-AVERAGE(OFFSET($H$3,0,0,'Données projet'!$E$10+1,1))</f>
        <v>160.81094423216069</v>
      </c>
      <c r="AO64" s="62">
        <f t="shared" si="36"/>
        <v>145.53871436439169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5.6770071654821059</v>
      </c>
      <c r="AV64" s="23">
        <f>EXP(-LN(2)/25)*AV63+(1-EXP(-LN(2)/25))/(LN(2)/25)*Calculateur!AQ64*Calculateur!AS64*VLOOKUP('Données projet'!$B$10,Paramètres!$A$1:$I$89,3,0)*0.475*44/12</f>
        <v>2.3940261484426273</v>
      </c>
      <c r="AW64" s="23">
        <f>EXP(-LN(2)/2)*AW63+(1-EXP(-LN(2)/2))/(LN(2)/2)*AQ64*AT64*VLOOKUP('Données projet'!$B$10,Paramètres!$A$1:$I$89,3,0)*0.475*44/12</f>
        <v>9.2207655272986792E-3</v>
      </c>
      <c r="AX64" s="23">
        <f t="shared" si="6"/>
        <v>8.0802540794520326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-2.2737367544323206E-13</v>
      </c>
      <c r="BE64" s="14">
        <f>BD64*VLOOKUP('Données projet'!$B$11,Paramètres!$A$1:$I$89,3,0)*VLOOKUP('Données projet'!$B$11,Paramètres!$A$1:$I$89,5,0)</f>
        <v>-1.2710188457276673E-13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374.67858373761965</v>
      </c>
      <c r="BJ64" s="62">
        <f t="shared" si="38"/>
        <v>468.38066974447543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6.9271461736199811</v>
      </c>
      <c r="BQ64" s="23">
        <f>EXP(-LN(2)/25)*BQ63+(1-EXP(-LN(2)/25))/(LN(2)/25)*Calculateur!BL64*Calculateur!BN64*VLOOKUP('Données projet'!$B$11,Paramètres!$A$1:$I$89,3,0)*0.475*44/12</f>
        <v>6.0204456252349487</v>
      </c>
      <c r="BR64" s="23">
        <f>EXP(-LN(2)/2)*BR63+(1-EXP(-LN(2)/2))/(LN(2)/2)*BL64*BO64*VLOOKUP('Données projet'!$B$11,Paramètres!$A$1:$I$89,3,0)*0.475*44/12</f>
        <v>2.734080327011056E-4</v>
      </c>
      <c r="BS64" s="24">
        <f t="shared" si="9"/>
        <v>12.947865206887631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7.5</v>
      </c>
      <c r="AI65" s="14">
        <f>IF('Données projet'!$A$62&gt;35,AI64+AH65-AQ64,IF(A65&lt;'Données projet'!$A$62,$AF$205^A65,IF(A65='Données projet'!$A$62,'Données projet'!$B$62,AI64+AH65-AQ64)))</f>
        <v>285</v>
      </c>
      <c r="AJ65" s="14">
        <f>AI65*VLOOKUP('Données projet'!$B$10,Paramètres!$A$1:$I$89,3,0)*VLOOKUP('Données projet'!$B$10,Paramètres!$A$1:$I$89,5,0)</f>
        <v>133.38</v>
      </c>
      <c r="AK65" s="14">
        <f t="shared" si="35"/>
        <v>34.776207535548991</v>
      </c>
      <c r="AL65" s="22">
        <f t="shared" si="4"/>
        <v>292.8720614577478</v>
      </c>
      <c r="AM65" s="62">
        <f t="shared" si="5"/>
        <v>586.20539479108106</v>
      </c>
      <c r="AN65" s="62">
        <f ca="1">AVERAGE(OFFSET($AM$3,0,0,'Données projet'!$E$10+1,1))-AVERAGE(OFFSET($H$3,0,0,'Données projet'!$E$10+1,1))</f>
        <v>160.81094423216069</v>
      </c>
      <c r="AO65" s="62">
        <f t="shared" si="36"/>
        <v>145.53871436439169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5.5656845175994665</v>
      </c>
      <c r="AV65" s="23">
        <f>EXP(-LN(2)/25)*AV64+(1-EXP(-LN(2)/25))/(LN(2)/25)*Calculateur!AQ65*Calculateur!AS65*VLOOKUP('Données projet'!$B$10,Paramètres!$A$1:$I$89,3,0)*0.475*44/12</f>
        <v>2.3285613775170999</v>
      </c>
      <c r="AW65" s="23">
        <f>EXP(-LN(2)/2)*AW64+(1-EXP(-LN(2)/2))/(LN(2)/2)*AQ65*AT65*VLOOKUP('Données projet'!$B$10,Paramètres!$A$1:$I$89,3,0)*0.475*44/12</f>
        <v>6.5200658320840477E-3</v>
      </c>
      <c r="AX65" s="23">
        <f t="shared" si="6"/>
        <v>7.9007659609486502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-2.2737367544323206E-13</v>
      </c>
      <c r="BE65" s="14">
        <f>BD65*VLOOKUP('Données projet'!$B$11,Paramètres!$A$1:$I$89,3,0)*VLOOKUP('Données projet'!$B$11,Paramètres!$A$1:$I$89,5,0)</f>
        <v>-1.2710188457276673E-13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374.67858373761965</v>
      </c>
      <c r="BJ65" s="62">
        <f t="shared" si="38"/>
        <v>468.38066974447543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6.7913090622972607</v>
      </c>
      <c r="BQ65" s="23">
        <f>EXP(-LN(2)/25)*BQ64+(1-EXP(-LN(2)/25))/(LN(2)/25)*Calculateur!BL65*Calculateur!BN65*VLOOKUP('Données projet'!$B$11,Paramètres!$A$1:$I$89,3,0)*0.475*44/12</f>
        <v>5.8558162230114235</v>
      </c>
      <c r="BR65" s="23">
        <f>EXP(-LN(2)/2)*BR64+(1-EXP(-LN(2)/2))/(LN(2)/2)*BL65*BO65*VLOOKUP('Données projet'!$B$11,Paramètres!$A$1:$I$89,3,0)*0.475*44/12</f>
        <v>1.9332867395382511E-4</v>
      </c>
      <c r="BS65" s="24">
        <f t="shared" si="9"/>
        <v>12.647318613982637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7.5</v>
      </c>
      <c r="AI66" s="14">
        <f>IF('Données projet'!$A$62&gt;35,AI65+AH66-AQ65,IF(A66&lt;'Données projet'!$A$62,$AF$205^A66,IF(A66='Données projet'!$A$62,'Données projet'!$B$62,AI65+AH66-AQ65)))</f>
        <v>292.5</v>
      </c>
      <c r="AJ66" s="14">
        <f>AI66*VLOOKUP('Données projet'!$B$10,Paramètres!$A$1:$I$89,3,0)*VLOOKUP('Données projet'!$B$10,Paramètres!$A$1:$I$89,5,0)</f>
        <v>136.89000000000001</v>
      </c>
      <c r="AK66" s="14">
        <f t="shared" si="35"/>
        <v>35.583619346017713</v>
      </c>
      <c r="AL66" s="22">
        <f t="shared" si="4"/>
        <v>300.39155369431421</v>
      </c>
      <c r="AM66" s="62">
        <f t="shared" si="5"/>
        <v>593.72488702764758</v>
      </c>
      <c r="AN66" s="62">
        <f ca="1">AVERAGE(OFFSET($AM$3,0,0,'Données projet'!$E$10+1,1))-AVERAGE(OFFSET($H$3,0,0,'Données projet'!$E$10+1,1))</f>
        <v>160.81094423216069</v>
      </c>
      <c r="AO66" s="62">
        <f t="shared" si="36"/>
        <v>145.53871436439169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5.4565448389416948</v>
      </c>
      <c r="AV66" s="23">
        <f>EXP(-LN(2)/25)*AV65+(1-EXP(-LN(2)/25))/(LN(2)/25)*Calculateur!AQ66*Calculateur!AS66*VLOOKUP('Données projet'!$B$10,Paramètres!$A$1:$I$89,3,0)*0.475*44/12</f>
        <v>2.2648867441951741</v>
      </c>
      <c r="AW66" s="23">
        <f>EXP(-LN(2)/2)*AW65+(1-EXP(-LN(2)/2))/(LN(2)/2)*AQ66*AT66*VLOOKUP('Données projet'!$B$10,Paramètres!$A$1:$I$89,3,0)*0.475*44/12</f>
        <v>4.6103827636493396E-3</v>
      </c>
      <c r="AX66" s="23">
        <f t="shared" si="6"/>
        <v>7.7260419659005191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-2.2737367544323206E-13</v>
      </c>
      <c r="BE66" s="14">
        <f>BD66*VLOOKUP('Données projet'!$B$11,Paramètres!$A$1:$I$89,3,0)*VLOOKUP('Données projet'!$B$11,Paramètres!$A$1:$I$89,5,0)</f>
        <v>-1.2710188457276673E-13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374.67858373761965</v>
      </c>
      <c r="BJ66" s="62">
        <f t="shared" si="38"/>
        <v>468.38066974447543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6.6581356338751227</v>
      </c>
      <c r="BQ66" s="23">
        <f>EXP(-LN(2)/25)*BQ65+(1-EXP(-LN(2)/25))/(LN(2)/25)*Calculateur!BL66*Calculateur!BN66*VLOOKUP('Données projet'!$B$11,Paramètres!$A$1:$I$89,3,0)*0.475*44/12</f>
        <v>5.695688620449185</v>
      </c>
      <c r="BR66" s="23">
        <f>EXP(-LN(2)/2)*BR65+(1-EXP(-LN(2)/2))/(LN(2)/2)*BL66*BO66*VLOOKUP('Données projet'!$B$11,Paramètres!$A$1:$I$89,3,0)*0.475*44/12</f>
        <v>1.367040163505528E-4</v>
      </c>
      <c r="BS66" s="24">
        <f t="shared" si="9"/>
        <v>12.353960958340659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7.5</v>
      </c>
      <c r="AI67" s="14">
        <f>IF('Données projet'!$A$62&gt;35,AI66+AH67-AQ66,IF(A67&lt;'Données projet'!$A$62,$AF$205^A67,IF(A67='Données projet'!$A$62,'Données projet'!$B$62,AI66+AH67-AQ66)))</f>
        <v>300</v>
      </c>
      <c r="AJ67" s="14">
        <f>AI67*VLOOKUP('Données projet'!$B$10,Paramètres!$A$1:$I$89,3,0)*VLOOKUP('Données projet'!$B$10,Paramètres!$A$1:$I$89,5,0)</f>
        <v>140.4</v>
      </c>
      <c r="AK67" s="14">
        <f t="shared" si="35"/>
        <v>36.388624656711201</v>
      </c>
      <c r="AL67" s="22">
        <f t="shared" si="4"/>
        <v>307.90685461043864</v>
      </c>
      <c r="AM67" s="62">
        <f t="shared" si="5"/>
        <v>601.24018794377196</v>
      </c>
      <c r="AN67" s="62">
        <f ca="1">AVERAGE(OFFSET($AM$3,0,0,'Données projet'!$E$10+1,1))-AVERAGE(OFFSET($H$3,0,0,'Données projet'!$E$10+1,1))</f>
        <v>160.81094423216069</v>
      </c>
      <c r="AO67" s="62">
        <f t="shared" si="36"/>
        <v>145.53871436439169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5.3495453228137713</v>
      </c>
      <c r="AV67" s="23">
        <f>EXP(-LN(2)/25)*AV66+(1-EXP(-LN(2)/25))/(LN(2)/25)*Calculateur!AQ67*Calculateur!AS67*VLOOKUP('Données projet'!$B$10,Paramètres!$A$1:$I$89,3,0)*0.475*44/12</f>
        <v>2.2029532970699397</v>
      </c>
      <c r="AW67" s="23">
        <f>EXP(-LN(2)/2)*AW66+(1-EXP(-LN(2)/2))/(LN(2)/2)*AQ67*AT67*VLOOKUP('Données projet'!$B$10,Paramètres!$A$1:$I$89,3,0)*0.475*44/12</f>
        <v>3.2600329160420239E-3</v>
      </c>
      <c r="AX67" s="23">
        <f t="shared" si="6"/>
        <v>7.5557586527997529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-2.2737367544323206E-13</v>
      </c>
      <c r="BE67" s="14">
        <f>BD67*VLOOKUP('Données projet'!$B$11,Paramètres!$A$1:$I$89,3,0)*VLOOKUP('Données projet'!$B$11,Paramètres!$A$1:$I$89,5,0)</f>
        <v>-1.2710188457276673E-13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374.67858373761965</v>
      </c>
      <c r="BJ67" s="62">
        <f t="shared" si="38"/>
        <v>468.38066974447543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6.527573655156572</v>
      </c>
      <c r="BQ67" s="23">
        <f>EXP(-LN(2)/25)*BQ66+(1-EXP(-LN(2)/25))/(LN(2)/25)*Calculateur!BL67*Calculateur!BN67*VLOOKUP('Données projet'!$B$11,Paramètres!$A$1:$I$89,3,0)*0.475*44/12</f>
        <v>5.539939715599755</v>
      </c>
      <c r="BR67" s="23">
        <f>EXP(-LN(2)/2)*BR66+(1-EXP(-LN(2)/2))/(LN(2)/2)*BL67*BO67*VLOOKUP('Données projet'!$B$11,Paramètres!$A$1:$I$89,3,0)*0.475*44/12</f>
        <v>9.6664336976912555E-5</v>
      </c>
      <c r="BS67" s="24">
        <f t="shared" si="9"/>
        <v>12.067610035093304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7.5</v>
      </c>
      <c r="AI68" s="14">
        <f>IF('Données projet'!$A$62&gt;35,AI67+AH68-AQ67,IF(A68&lt;'Données projet'!$A$62,$AF$205^A68,IF(A68='Données projet'!$A$62,'Données projet'!$B$62,AI67+AH68-AQ67)))</f>
        <v>307.5</v>
      </c>
      <c r="AJ68" s="14">
        <f>AI68*VLOOKUP('Données projet'!$B$10,Paramètres!$A$1:$I$89,3,0)*VLOOKUP('Données projet'!$B$10,Paramètres!$A$1:$I$89,5,0)</f>
        <v>143.91</v>
      </c>
      <c r="AK68" s="14">
        <f t="shared" si="35"/>
        <v>37.191290549543432</v>
      </c>
      <c r="AL68" s="22">
        <f t="shared" ref="AL68:AL131" si="58">(AJ68+AK68)*0.475*44/12</f>
        <v>315.41808104045475</v>
      </c>
      <c r="AM68" s="62">
        <f t="shared" ref="AM68:AM131" si="59">AL68+(AD68+AE68)*44/12</f>
        <v>608.75141437378807</v>
      </c>
      <c r="AN68" s="62">
        <f ca="1">AVERAGE(OFFSET($AM$3,0,0,'Données projet'!$E$10+1,1))-AVERAGE(OFFSET($H$3,0,0,'Données projet'!$E$10+1,1))</f>
        <v>160.81094423216069</v>
      </c>
      <c r="AO68" s="62">
        <f t="shared" si="36"/>
        <v>145.53871436439169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5.2446440019338558</v>
      </c>
      <c r="AV68" s="23">
        <f>EXP(-LN(2)/25)*AV67+(1-EXP(-LN(2)/25))/(LN(2)/25)*Calculateur!AQ68*Calculateur!AS68*VLOOKUP('Données projet'!$B$10,Paramètres!$A$1:$I$89,3,0)*0.475*44/12</f>
        <v>2.1427134233132832</v>
      </c>
      <c r="AW68" s="23">
        <f>EXP(-LN(2)/2)*AW67+(1-EXP(-LN(2)/2))/(LN(2)/2)*AQ68*AT68*VLOOKUP('Données projet'!$B$10,Paramètres!$A$1:$I$89,3,0)*0.475*44/12</f>
        <v>2.3051913818246698E-3</v>
      </c>
      <c r="AX68" s="23">
        <f t="shared" ref="AX68:AX131" si="60">SUM(AU68:AW68)</f>
        <v>7.3896626166289634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-2.2737367544323206E-13</v>
      </c>
      <c r="BE68" s="14">
        <f>BD68*VLOOKUP('Données projet'!$B$11,Paramètres!$A$1:$I$89,3,0)*VLOOKUP('Données projet'!$B$11,Paramètres!$A$1:$I$89,5,0)</f>
        <v>-1.2710188457276673E-13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374.67858373761965</v>
      </c>
      <c r="BJ68" s="62">
        <f t="shared" si="38"/>
        <v>468.38066974447543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6.3995719172057477</v>
      </c>
      <c r="BQ68" s="23">
        <f>EXP(-LN(2)/25)*BQ67+(1-EXP(-LN(2)/25))/(LN(2)/25)*Calculateur!BL68*Calculateur!BN68*VLOOKUP('Données projet'!$B$11,Paramètres!$A$1:$I$89,3,0)*0.475*44/12</f>
        <v>5.388449772743912</v>
      </c>
      <c r="BR68" s="23">
        <f>EXP(-LN(2)/2)*BR67+(1-EXP(-LN(2)/2))/(LN(2)/2)*BL68*BO68*VLOOKUP('Données projet'!$B$11,Paramètres!$A$1:$I$89,3,0)*0.475*44/12</f>
        <v>6.83520081752764E-5</v>
      </c>
      <c r="BS68" s="24">
        <f t="shared" ref="BS68:BS131" si="63">SUM(BP68:BR68)</f>
        <v>11.788090041957835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7.5</v>
      </c>
      <c r="AI69" s="14">
        <f>IF('Données projet'!$A$62&gt;35,AI68+AH69-AQ68,IF(A69&lt;'Données projet'!$A$62,$AF$205^A69,IF(A69='Données projet'!$A$62,'Données projet'!$B$62,AI68+AH69-AQ68)))</f>
        <v>315</v>
      </c>
      <c r="AJ69" s="14">
        <f>AI69*VLOOKUP('Données projet'!$B$10,Paramètres!$A$1:$I$89,3,0)*VLOOKUP('Données projet'!$B$10,Paramètres!$A$1:$I$89,5,0)</f>
        <v>147.41999999999999</v>
      </c>
      <c r="AK69" s="14">
        <f t="shared" ref="AK69:AK132" si="89">EXP(-1.0587+0.8836*LN(AJ69)+0.284)</f>
        <v>37.991680647570291</v>
      </c>
      <c r="AL69" s="22">
        <f t="shared" si="58"/>
        <v>322.92534379451826</v>
      </c>
      <c r="AM69" s="62">
        <f t="shared" si="59"/>
        <v>616.25867712785157</v>
      </c>
      <c r="AN69" s="62">
        <f ca="1">AVERAGE(OFFSET($AM$3,0,0,'Données projet'!$E$10+1,1))-AVERAGE(OFFSET($H$3,0,0,'Données projet'!$E$10+1,1))</f>
        <v>160.81094423216069</v>
      </c>
      <c r="AO69" s="62">
        <f t="shared" ref="AO69:AO132" si="90">$AO$3</f>
        <v>145.53871436439169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5.141799731972907</v>
      </c>
      <c r="AV69" s="23">
        <f>EXP(-LN(2)/25)*AV68+(1-EXP(-LN(2)/25))/(LN(2)/25)*Calculateur!AQ69*Calculateur!AS69*VLOOKUP('Données projet'!$B$10,Paramètres!$A$1:$I$89,3,0)*0.475*44/12</f>
        <v>2.08412081207238</v>
      </c>
      <c r="AW69" s="23">
        <f>EXP(-LN(2)/2)*AW68+(1-EXP(-LN(2)/2))/(LN(2)/2)*AQ69*AT69*VLOOKUP('Données projet'!$B$10,Paramètres!$A$1:$I$89,3,0)*0.475*44/12</f>
        <v>1.6300164580210119E-3</v>
      </c>
      <c r="AX69" s="23">
        <f t="shared" si="60"/>
        <v>7.2275505605033086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-2.2737367544323206E-13</v>
      </c>
      <c r="BE69" s="14">
        <f>BD69*VLOOKUP('Données projet'!$B$11,Paramètres!$A$1:$I$89,3,0)*VLOOKUP('Données projet'!$B$11,Paramètres!$A$1:$I$89,5,0)</f>
        <v>-1.2710188457276673E-13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374.67858373761965</v>
      </c>
      <c r="BJ69" s="62">
        <f t="shared" ref="BJ69:BJ132" si="92">$BJ$3</f>
        <v>468.38066974447543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6.2740802152627886</v>
      </c>
      <c r="BQ69" s="23">
        <f>EXP(-LN(2)/25)*BQ68+(1-EXP(-LN(2)/25))/(LN(2)/25)*Calculateur!BL69*Calculateur!BN69*VLOOKUP('Données projet'!$B$11,Paramètres!$A$1:$I$89,3,0)*0.475*44/12</f>
        <v>5.2411023303419713</v>
      </c>
      <c r="BR69" s="23">
        <f>EXP(-LN(2)/2)*BR68+(1-EXP(-LN(2)/2))/(LN(2)/2)*BL69*BO69*VLOOKUP('Données projet'!$B$11,Paramètres!$A$1:$I$89,3,0)*0.475*44/12</f>
        <v>4.8332168488456278E-5</v>
      </c>
      <c r="BS69" s="24">
        <f t="shared" si="63"/>
        <v>11.515230877773247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7.5</v>
      </c>
      <c r="AI70" s="14">
        <f>IF('Données projet'!$A$62&gt;35,AI69+AH70-AQ69,IF(A70&lt;'Données projet'!$A$62,$AF$205^A70,IF(A70='Données projet'!$A$62,'Données projet'!$B$62,AI69+AH70-AQ69)))</f>
        <v>322.5</v>
      </c>
      <c r="AJ70" s="14">
        <f>AI70*VLOOKUP('Données projet'!$B$10,Paramètres!$A$1:$I$89,3,0)*VLOOKUP('Données projet'!$B$10,Paramètres!$A$1:$I$89,5,0)</f>
        <v>150.93</v>
      </c>
      <c r="AK70" s="14">
        <f t="shared" si="89"/>
        <v>38.789855371379076</v>
      </c>
      <c r="AL70" s="22">
        <f t="shared" si="58"/>
        <v>330.4287481051519</v>
      </c>
      <c r="AM70" s="62">
        <f t="shared" si="59"/>
        <v>623.76208143848521</v>
      </c>
      <c r="AN70" s="62">
        <f ca="1">AVERAGE(OFFSET($AM$3,0,0,'Données projet'!$E$10+1,1))-AVERAGE(OFFSET($H$3,0,0,'Données projet'!$E$10+1,1))</f>
        <v>160.81094423216069</v>
      </c>
      <c r="AO70" s="62">
        <f t="shared" si="90"/>
        <v>145.53871436439169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5.0409721754170818</v>
      </c>
      <c r="AV70" s="23">
        <f>EXP(-LN(2)/25)*AV69+(1-EXP(-LN(2)/25))/(LN(2)/25)*Calculateur!AQ70*Calculateur!AS70*VLOOKUP('Données projet'!$B$10,Paramètres!$A$1:$I$89,3,0)*0.475*44/12</f>
        <v>2.0271304188671104</v>
      </c>
      <c r="AW70" s="23">
        <f>EXP(-LN(2)/2)*AW69+(1-EXP(-LN(2)/2))/(LN(2)/2)*AQ70*AT70*VLOOKUP('Données projet'!$B$10,Paramètres!$A$1:$I$89,3,0)*0.475*44/12</f>
        <v>1.1525956909123349E-3</v>
      </c>
      <c r="AX70" s="23">
        <f t="shared" si="60"/>
        <v>7.0692551899751042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-2.2737367544323206E-13</v>
      </c>
      <c r="BE70" s="14">
        <f>BD70*VLOOKUP('Données projet'!$B$11,Paramètres!$A$1:$I$89,3,0)*VLOOKUP('Données projet'!$B$11,Paramètres!$A$1:$I$89,5,0)</f>
        <v>-1.2710188457276673E-13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374.67858373761965</v>
      </c>
      <c r="BJ70" s="62">
        <f t="shared" si="92"/>
        <v>468.38066974447543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6.1510493290525501</v>
      </c>
      <c r="BQ70" s="23">
        <f>EXP(-LN(2)/25)*BQ69+(1-EXP(-LN(2)/25))/(LN(2)/25)*Calculateur!BL70*Calculateur!BN70*VLOOKUP('Données projet'!$B$11,Paramètres!$A$1:$I$89,3,0)*0.475*44/12</f>
        <v>5.0977841115011771</v>
      </c>
      <c r="BR70" s="23">
        <f>EXP(-LN(2)/2)*BR69+(1-EXP(-LN(2)/2))/(LN(2)/2)*BL70*BO70*VLOOKUP('Données projet'!$B$11,Paramètres!$A$1:$I$89,3,0)*0.475*44/12</f>
        <v>3.41760040876382E-5</v>
      </c>
      <c r="BS70" s="24">
        <f t="shared" si="63"/>
        <v>11.248867616557815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7.5</v>
      </c>
      <c r="AI71" s="14">
        <f>IF('Données projet'!$A$62&gt;35,AI70+AH71-AQ70,IF(A71&lt;'Données projet'!$A$62,$AF$205^A71,IF(A71='Données projet'!$A$62,'Données projet'!$B$62,AI70+AH71-AQ70)))</f>
        <v>330</v>
      </c>
      <c r="AJ71" s="14">
        <f>AI71*VLOOKUP('Données projet'!$B$10,Paramètres!$A$1:$I$89,3,0)*VLOOKUP('Données projet'!$B$10,Paramètres!$A$1:$I$89,5,0)</f>
        <v>154.44</v>
      </c>
      <c r="AK71" s="14">
        <f t="shared" si="89"/>
        <v>39.58587217095549</v>
      </c>
      <c r="AL71" s="22">
        <f t="shared" si="58"/>
        <v>337.92839403108081</v>
      </c>
      <c r="AM71" s="62">
        <f t="shared" si="59"/>
        <v>631.26172736441413</v>
      </c>
      <c r="AN71" s="62">
        <f ca="1">AVERAGE(OFFSET($AM$3,0,0,'Données projet'!$E$10+1,1))-AVERAGE(OFFSET($H$3,0,0,'Données projet'!$E$10+1,1))</f>
        <v>160.81094423216069</v>
      </c>
      <c r="AO71" s="62">
        <f t="shared" si="90"/>
        <v>145.53871436439169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4.9421217857465791</v>
      </c>
      <c r="AV71" s="23">
        <f>EXP(-LN(2)/25)*AV70+(1-EXP(-LN(2)/25))/(LN(2)/25)*Calculateur!AQ71*Calculateur!AS71*VLOOKUP('Données projet'!$B$10,Paramètres!$A$1:$I$89,3,0)*0.475*44/12</f>
        <v>1.9716984309610337</v>
      </c>
      <c r="AW71" s="23">
        <f>EXP(-LN(2)/2)*AW70+(1-EXP(-LN(2)/2))/(LN(2)/2)*AQ71*AT71*VLOOKUP('Données projet'!$B$10,Paramètres!$A$1:$I$89,3,0)*0.475*44/12</f>
        <v>8.1500822901050597E-4</v>
      </c>
      <c r="AX71" s="23">
        <f t="shared" si="60"/>
        <v>6.9146352249366236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-2.2737367544323206E-13</v>
      </c>
      <c r="BE71" s="14">
        <f>BD71*VLOOKUP('Données projet'!$B$11,Paramètres!$A$1:$I$89,3,0)*VLOOKUP('Données projet'!$B$11,Paramètres!$A$1:$I$89,5,0)</f>
        <v>-1.2710188457276673E-13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374.67858373761965</v>
      </c>
      <c r="BJ71" s="62">
        <f t="shared" si="92"/>
        <v>468.38066974447543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6.0304310034794639</v>
      </c>
      <c r="BQ71" s="23">
        <f>EXP(-LN(2)/25)*BQ70+(1-EXP(-LN(2)/25))/(LN(2)/25)*Calculateur!BL71*Calculateur!BN71*VLOOKUP('Données projet'!$B$11,Paramètres!$A$1:$I$89,3,0)*0.475*44/12</f>
        <v>4.9583849368913624</v>
      </c>
      <c r="BR71" s="23">
        <f>EXP(-LN(2)/2)*BR70+(1-EXP(-LN(2)/2))/(LN(2)/2)*BL71*BO71*VLOOKUP('Données projet'!$B$11,Paramètres!$A$1:$I$89,3,0)*0.475*44/12</f>
        <v>2.4166084244228139E-5</v>
      </c>
      <c r="BS71" s="24">
        <f t="shared" si="63"/>
        <v>10.988840106455072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7.5</v>
      </c>
      <c r="AI72" s="14">
        <f>IF('Données projet'!$A$62&gt;35,AI71+AH72-AQ71,IF(A72&lt;'Données projet'!$A$62,$AF$205^A72,IF(A72='Données projet'!$A$62,'Données projet'!$B$62,AI71+AH72-AQ71)))</f>
        <v>337.5</v>
      </c>
      <c r="AJ72" s="14">
        <f>AI72*VLOOKUP('Données projet'!$B$10,Paramètres!$A$1:$I$89,3,0)*VLOOKUP('Données projet'!$B$10,Paramètres!$A$1:$I$89,5,0)</f>
        <v>157.95000000000002</v>
      </c>
      <c r="AK72" s="14">
        <f t="shared" si="89"/>
        <v>40.379785735878301</v>
      </c>
      <c r="AL72" s="22">
        <f t="shared" si="58"/>
        <v>345.42437682332138</v>
      </c>
      <c r="AM72" s="62">
        <f t="shared" si="59"/>
        <v>638.75771015665464</v>
      </c>
      <c r="AN72" s="62">
        <f ca="1">AVERAGE(OFFSET($AM$3,0,0,'Données projet'!$E$10+1,1))-AVERAGE(OFFSET($H$3,0,0,'Données projet'!$E$10+1,1))</f>
        <v>160.81094423216069</v>
      </c>
      <c r="AO72" s="62">
        <f t="shared" si="90"/>
        <v>145.53871436439169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4.8452097919247308</v>
      </c>
      <c r="AV72" s="23">
        <f>EXP(-LN(2)/25)*AV71+(1-EXP(-LN(2)/25))/(LN(2)/25)*Calculateur!AQ72*Calculateur!AS72*VLOOKUP('Données projet'!$B$10,Paramètres!$A$1:$I$89,3,0)*0.475*44/12</f>
        <v>1.91778223367929</v>
      </c>
      <c r="AW72" s="23">
        <f>EXP(-LN(2)/2)*AW71+(1-EXP(-LN(2)/2))/(LN(2)/2)*AQ72*AT72*VLOOKUP('Données projet'!$B$10,Paramètres!$A$1:$I$89,3,0)*0.475*44/12</f>
        <v>5.7629784545616745E-4</v>
      </c>
      <c r="AX72" s="23">
        <f t="shared" si="60"/>
        <v>6.7635683234494772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-2.2737367544323206E-13</v>
      </c>
      <c r="BE72" s="14">
        <f>BD72*VLOOKUP('Données projet'!$B$11,Paramètres!$A$1:$I$89,3,0)*VLOOKUP('Données projet'!$B$11,Paramètres!$A$1:$I$89,5,0)</f>
        <v>-1.2710188457276673E-13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374.67858373761965</v>
      </c>
      <c r="BJ72" s="62">
        <f t="shared" si="92"/>
        <v>468.38066974447543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5.9121779297009516</v>
      </c>
      <c r="BQ72" s="23">
        <f>EXP(-LN(2)/25)*BQ71+(1-EXP(-LN(2)/25))/(LN(2)/25)*Calculateur!BL72*Calculateur!BN72*VLOOKUP('Données projet'!$B$11,Paramètres!$A$1:$I$89,3,0)*0.475*44/12</f>
        <v>4.8227976400419372</v>
      </c>
      <c r="BR72" s="23">
        <f>EXP(-LN(2)/2)*BR71+(1-EXP(-LN(2)/2))/(LN(2)/2)*BL72*BO72*VLOOKUP('Données projet'!$B$11,Paramètres!$A$1:$I$89,3,0)*0.475*44/12</f>
        <v>1.70880020438191E-5</v>
      </c>
      <c r="BS72" s="24">
        <f t="shared" si="63"/>
        <v>10.734992657744934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345</v>
      </c>
      <c r="AG73" s="13">
        <f>VLOOKUP(A73,'Données projet'!$A$61:$I$81,9,0)</f>
        <v>7.5</v>
      </c>
      <c r="AH73" s="13">
        <f t="array" ref="AH73">INDEX(AG:AG,MIN(IF(ISNUMBER(AG73:AG269),ROW(AG73:AG269),"")))</f>
        <v>7.5</v>
      </c>
      <c r="AI73" s="14">
        <f>IF('Données projet'!$A$62&gt;35,AI72+AH73-AQ72,IF(A73&lt;'Données projet'!$A$62,$AF$205^A73,IF(A73='Données projet'!$A$62,'Données projet'!$B$62,AI72+AH73-AQ72)))</f>
        <v>345</v>
      </c>
      <c r="AJ73" s="14">
        <f>AI73*VLOOKUP('Données projet'!$B$10,Paramètres!$A$1:$I$89,3,0)*VLOOKUP('Données projet'!$B$10,Paramètres!$A$1:$I$89,5,0)</f>
        <v>161.45999999999998</v>
      </c>
      <c r="AK73" s="14">
        <f t="shared" si="89"/>
        <v>41.171648186302534</v>
      </c>
      <c r="AL73" s="22">
        <f t="shared" si="58"/>
        <v>352.9167872578102</v>
      </c>
      <c r="AM73" s="62">
        <f t="shared" si="59"/>
        <v>646.25012059114351</v>
      </c>
      <c r="AN73" s="62">
        <f ca="1">AVERAGE(OFFSET($AM$3,0,0,'Données projet'!$E$10+1,1))-AVERAGE(OFFSET($H$3,0,0,'Données projet'!$E$10+1,1))</f>
        <v>160.81094423216069</v>
      </c>
      <c r="AO73" s="62">
        <f t="shared" si="90"/>
        <v>145.53871436439169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69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4.7501981831912499</v>
      </c>
      <c r="AV73" s="23">
        <f>EXP(-LN(2)/25)*AV72+(1-EXP(-LN(2)/25))/(LN(2)/25)*Calculateur!AQ73*Calculateur!AS73*VLOOKUP('Données projet'!$B$10,Paramètres!$A$1:$I$89,3,0)*0.475*44/12</f>
        <v>1.8653403776475452</v>
      </c>
      <c r="AW73" s="23">
        <f>EXP(-LN(2)/2)*AW72+(1-EXP(-LN(2)/2))/(LN(2)/2)*AQ73*AT73*VLOOKUP('Données projet'!$B$10,Paramètres!$A$1:$I$89,3,0)*0.475*44/12</f>
        <v>4.0750411450525298E-4</v>
      </c>
      <c r="AX73" s="23">
        <f t="shared" si="60"/>
        <v>6.6159460649532997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-2.2737367544323206E-13</v>
      </c>
      <c r="BE73" s="14">
        <f>BD73*VLOOKUP('Données projet'!$B$11,Paramètres!$A$1:$I$89,3,0)*VLOOKUP('Données projet'!$B$11,Paramètres!$A$1:$I$89,5,0)</f>
        <v>-1.2710188457276673E-13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374.67858373761965</v>
      </c>
      <c r="BJ73" s="62">
        <f t="shared" si="92"/>
        <v>468.38066974447543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5.7962437265719826</v>
      </c>
      <c r="BQ73" s="23">
        <f>EXP(-LN(2)/25)*BQ72+(1-EXP(-LN(2)/25))/(LN(2)/25)*Calculateur!BL73*Calculateur!BN73*VLOOKUP('Données projet'!$B$11,Paramètres!$A$1:$I$89,3,0)*0.475*44/12</f>
        <v>4.6909179849550853</v>
      </c>
      <c r="BR73" s="23">
        <f>EXP(-LN(2)/2)*BR72+(1-EXP(-LN(2)/2))/(LN(2)/2)*BL73*BO73*VLOOKUP('Données projet'!$B$11,Paramètres!$A$1:$I$89,3,0)*0.475*44/12</f>
        <v>1.2083042122114069E-5</v>
      </c>
      <c r="BS73" s="24">
        <f t="shared" si="63"/>
        <v>10.487173794569191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</v>
      </c>
      <c r="AI74" s="14">
        <f>IF('Données projet'!$A$62&gt;35,AI73+AH74-AQ73,IF(A74&lt;'Données projet'!$A$62,$AF$205^A74,IF(A74='Données projet'!$A$62,'Données projet'!$B$62,AI73+AH74-AQ73)))</f>
        <v>283.7</v>
      </c>
      <c r="AJ74" s="14">
        <f>AI74*VLOOKUP('Données projet'!$B$10,Paramètres!$A$1:$I$89,3,0)*VLOOKUP('Données projet'!$B$10,Paramètres!$A$1:$I$89,5,0)</f>
        <v>132.77160000000001</v>
      </c>
      <c r="AK74" s="14">
        <f t="shared" si="89"/>
        <v>34.63600628318656</v>
      </c>
      <c r="AL74" s="22">
        <f t="shared" si="58"/>
        <v>291.56824760988326</v>
      </c>
      <c r="AM74" s="62">
        <f t="shared" si="59"/>
        <v>584.90158094321657</v>
      </c>
      <c r="AN74" s="62">
        <f ca="1">AVERAGE(OFFSET($AM$3,0,0,'Données projet'!$E$10+1,1))-AVERAGE(OFFSET($H$3,0,0,'Données projet'!$E$10+1,1))</f>
        <v>160.81094423216069</v>
      </c>
      <c r="AO74" s="62">
        <f t="shared" si="90"/>
        <v>145.53871436439169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4.657049694153673</v>
      </c>
      <c r="AV74" s="23">
        <f>EXP(-LN(2)/25)*AV73+(1-EXP(-LN(2)/25))/(LN(2)/25)*Calculateur!AQ74*Calculateur!AS74*VLOOKUP('Données projet'!$B$10,Paramètres!$A$1:$I$89,3,0)*0.475*44/12</f>
        <v>1.8143325469267859</v>
      </c>
      <c r="AW74" s="23">
        <f>EXP(-LN(2)/2)*AW73+(1-EXP(-LN(2)/2))/(LN(2)/2)*AQ74*AT74*VLOOKUP('Données projet'!$B$10,Paramètres!$A$1:$I$89,3,0)*0.475*44/12</f>
        <v>2.8814892272808373E-4</v>
      </c>
      <c r="AX74" s="23">
        <f t="shared" si="60"/>
        <v>6.4716703900031867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-2.2737367544323206E-13</v>
      </c>
      <c r="BE74" s="14">
        <f>BD74*VLOOKUP('Données projet'!$B$11,Paramètres!$A$1:$I$89,3,0)*VLOOKUP('Données projet'!$B$11,Paramètres!$A$1:$I$89,5,0)</f>
        <v>-1.2710188457276673E-13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374.67858373761965</v>
      </c>
      <c r="BJ74" s="62">
        <f t="shared" si="92"/>
        <v>468.38066974447543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5.6825829224534914</v>
      </c>
      <c r="BQ74" s="23">
        <f>EXP(-LN(2)/25)*BQ73+(1-EXP(-LN(2)/25))/(LN(2)/25)*Calculateur!BL74*Calculateur!BN74*VLOOKUP('Données projet'!$B$11,Paramètres!$A$1:$I$89,3,0)*0.475*44/12</f>
        <v>4.5626445859718325</v>
      </c>
      <c r="BR74" s="23">
        <f>EXP(-LN(2)/2)*BR73+(1-EXP(-LN(2)/2))/(LN(2)/2)*BL74*BO74*VLOOKUP('Données projet'!$B$11,Paramètres!$A$1:$I$89,3,0)*0.475*44/12</f>
        <v>8.54400102190955E-6</v>
      </c>
      <c r="BS74" s="24">
        <f t="shared" si="63"/>
        <v>10.245236052426344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</v>
      </c>
      <c r="AI75" s="14">
        <f>IF('Données projet'!$A$62&gt;35,AI74+AH75-AQ74,IF(A75&lt;'Données projet'!$A$62,$AF$205^A75,IF(A75='Données projet'!$A$62,'Données projet'!$B$62,AI74+AH75-AQ74)))</f>
        <v>291.39999999999998</v>
      </c>
      <c r="AJ75" s="14">
        <f>AI75*VLOOKUP('Données projet'!$B$10,Paramètres!$A$1:$I$89,3,0)*VLOOKUP('Données projet'!$B$10,Paramètres!$A$1:$I$89,5,0)</f>
        <v>136.37519999999998</v>
      </c>
      <c r="AK75" s="14">
        <f t="shared" si="89"/>
        <v>35.465351191683979</v>
      </c>
      <c r="AL75" s="22">
        <f t="shared" si="58"/>
        <v>299.28895999218292</v>
      </c>
      <c r="AM75" s="62">
        <f t="shared" si="59"/>
        <v>592.62229332551624</v>
      </c>
      <c r="AN75" s="62">
        <f ca="1">AVERAGE(OFFSET($AM$3,0,0,'Données projet'!$E$10+1,1))-AVERAGE(OFFSET($H$3,0,0,'Données projet'!$E$10+1,1))</f>
        <v>160.81094423216069</v>
      </c>
      <c r="AO75" s="62">
        <f t="shared" si="90"/>
        <v>145.53871436439169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4.565727790171155</v>
      </c>
      <c r="AV75" s="23">
        <f>EXP(-LN(2)/25)*AV74+(1-EXP(-LN(2)/25))/(LN(2)/25)*Calculateur!AQ75*Calculateur!AS75*VLOOKUP('Données projet'!$B$10,Paramètres!$A$1:$I$89,3,0)*0.475*44/12</f>
        <v>1.764719528019471</v>
      </c>
      <c r="AW75" s="23">
        <f>EXP(-LN(2)/2)*AW74+(1-EXP(-LN(2)/2))/(LN(2)/2)*AQ75*AT75*VLOOKUP('Données projet'!$B$10,Paramètres!$A$1:$I$89,3,0)*0.475*44/12</f>
        <v>2.0375205725262649E-4</v>
      </c>
      <c r="AX75" s="23">
        <f t="shared" si="60"/>
        <v>6.3306510702478791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-2.2737367544323206E-13</v>
      </c>
      <c r="BE75" s="14">
        <f>BD75*VLOOKUP('Données projet'!$B$11,Paramètres!$A$1:$I$89,3,0)*VLOOKUP('Données projet'!$B$11,Paramètres!$A$1:$I$89,5,0)</f>
        <v>-1.2710188457276673E-13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374.67858373761965</v>
      </c>
      <c r="BJ75" s="62">
        <f t="shared" si="92"/>
        <v>468.38066974447543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5.571150937377519</v>
      </c>
      <c r="BQ75" s="23">
        <f>EXP(-LN(2)/25)*BQ74+(1-EXP(-LN(2)/25))/(LN(2)/25)*Calculateur!BL75*Calculateur!BN75*VLOOKUP('Données projet'!$B$11,Paramètres!$A$1:$I$89,3,0)*0.475*44/12</f>
        <v>4.4378788298293816</v>
      </c>
      <c r="BR75" s="23">
        <f>EXP(-LN(2)/2)*BR74+(1-EXP(-LN(2)/2))/(LN(2)/2)*BL75*BO75*VLOOKUP('Données projet'!$B$11,Paramètres!$A$1:$I$89,3,0)*0.475*44/12</f>
        <v>6.0415210610570347E-6</v>
      </c>
      <c r="BS75" s="24">
        <f t="shared" si="63"/>
        <v>10.009035808727962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</v>
      </c>
      <c r="AI76" s="14">
        <f>IF('Données projet'!$A$62&gt;35,AI75+AH76-AQ75,IF(A76&lt;'Données projet'!$A$62,$AF$205^A76,IF(A76='Données projet'!$A$62,'Données projet'!$B$62,AI75+AH76-AQ75)))</f>
        <v>299.09999999999997</v>
      </c>
      <c r="AJ76" s="14">
        <f>AI76*VLOOKUP('Données projet'!$B$10,Paramètres!$A$1:$I$89,3,0)*VLOOKUP('Données projet'!$B$10,Paramètres!$A$1:$I$89,5,0)</f>
        <v>139.97879999999998</v>
      </c>
      <c r="AK76" s="14">
        <f t="shared" si="89"/>
        <v>36.292148829903653</v>
      </c>
      <c r="AL76" s="22">
        <f t="shared" si="58"/>
        <v>307.00523587874881</v>
      </c>
      <c r="AM76" s="62">
        <f t="shared" si="59"/>
        <v>600.33856921208212</v>
      </c>
      <c r="AN76" s="62">
        <f ca="1">AVERAGE(OFFSET($AM$3,0,0,'Données projet'!$E$10+1,1))-AVERAGE(OFFSET($H$3,0,0,'Données projet'!$E$10+1,1))</f>
        <v>160.81094423216069</v>
      </c>
      <c r="AO76" s="62">
        <f t="shared" si="90"/>
        <v>145.53871436439169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4.4761966530248722</v>
      </c>
      <c r="AV76" s="23">
        <f>EXP(-LN(2)/25)*AV75+(1-EXP(-LN(2)/25))/(LN(2)/25)*Calculateur!AQ76*Calculateur!AS76*VLOOKUP('Données projet'!$B$10,Paramètres!$A$1:$I$89,3,0)*0.475*44/12</f>
        <v>1.7164631797232119</v>
      </c>
      <c r="AW76" s="23">
        <f>EXP(-LN(2)/2)*AW75+(1-EXP(-LN(2)/2))/(LN(2)/2)*AQ76*AT76*VLOOKUP('Données projet'!$B$10,Paramètres!$A$1:$I$89,3,0)*0.475*44/12</f>
        <v>1.4407446136404186E-4</v>
      </c>
      <c r="AX76" s="23">
        <f t="shared" si="60"/>
        <v>6.1928039072094485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-2.2737367544323206E-13</v>
      </c>
      <c r="BE76" s="14">
        <f>BD76*VLOOKUP('Données projet'!$B$11,Paramètres!$A$1:$I$89,3,0)*VLOOKUP('Données projet'!$B$11,Paramètres!$A$1:$I$89,5,0)</f>
        <v>-1.2710188457276673E-13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374.67858373761965</v>
      </c>
      <c r="BJ76" s="62">
        <f t="shared" si="92"/>
        <v>468.38066974447543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5.4619040655620861</v>
      </c>
      <c r="BQ76" s="23">
        <f>EXP(-LN(2)/25)*BQ75+(1-EXP(-LN(2)/25))/(LN(2)/25)*Calculateur!BL76*Calculateur!BN76*VLOOKUP('Données projet'!$B$11,Paramètres!$A$1:$I$89,3,0)*0.475*44/12</f>
        <v>4.3165247998497929</v>
      </c>
      <c r="BR76" s="23">
        <f>EXP(-LN(2)/2)*BR75+(1-EXP(-LN(2)/2))/(LN(2)/2)*BL76*BO76*VLOOKUP('Données projet'!$B$11,Paramètres!$A$1:$I$89,3,0)*0.475*44/12</f>
        <v>4.272000510954775E-6</v>
      </c>
      <c r="BS76" s="24">
        <f t="shared" si="63"/>
        <v>9.7784331374123905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</v>
      </c>
      <c r="AI77" s="14">
        <f>IF('Données projet'!$A$62&gt;35,AI76+AH77-AQ76,IF(A77&lt;'Données projet'!$A$62,$AF$205^A77,IF(A77='Données projet'!$A$62,'Données projet'!$B$62,AI76+AH77-AQ76)))</f>
        <v>306.79999999999995</v>
      </c>
      <c r="AJ77" s="14">
        <f>AI77*VLOOKUP('Données projet'!$B$10,Paramètres!$A$1:$I$89,3,0)*VLOOKUP('Données projet'!$B$10,Paramètres!$A$1:$I$89,5,0)</f>
        <v>143.58239999999998</v>
      </c>
      <c r="AK77" s="14">
        <f t="shared" si="89"/>
        <v>37.116472314400653</v>
      </c>
      <c r="AL77" s="22">
        <f t="shared" si="58"/>
        <v>314.71720261424775</v>
      </c>
      <c r="AM77" s="62">
        <f t="shared" si="59"/>
        <v>608.05053594758101</v>
      </c>
      <c r="AN77" s="62">
        <f ca="1">AVERAGE(OFFSET($AM$3,0,0,'Données projet'!$E$10+1,1))-AVERAGE(OFFSET($H$3,0,0,'Données projet'!$E$10+1,1))</f>
        <v>160.81094423216069</v>
      </c>
      <c r="AO77" s="62">
        <f t="shared" si="90"/>
        <v>145.53871436439169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4.3884211668694268</v>
      </c>
      <c r="AV77" s="23">
        <f>EXP(-LN(2)/25)*AV76+(1-EXP(-LN(2)/25))/(LN(2)/25)*Calculateur!AQ77*Calculateur!AS77*VLOOKUP('Données projet'!$B$10,Paramètres!$A$1:$I$89,3,0)*0.475*44/12</f>
        <v>1.6695264038088051</v>
      </c>
      <c r="AW77" s="23">
        <f>EXP(-LN(2)/2)*AW76+(1-EXP(-LN(2)/2))/(LN(2)/2)*AQ77*AT77*VLOOKUP('Données projet'!$B$10,Paramètres!$A$1:$I$89,3,0)*0.475*44/12</f>
        <v>1.0187602862631325E-4</v>
      </c>
      <c r="AX77" s="23">
        <f t="shared" si="60"/>
        <v>6.0580494467068586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-2.2737367544323206E-13</v>
      </c>
      <c r="BE77" s="14">
        <f>BD77*VLOOKUP('Données projet'!$B$11,Paramètres!$A$1:$I$89,3,0)*VLOOKUP('Données projet'!$B$11,Paramètres!$A$1:$I$89,5,0)</f>
        <v>-1.2710188457276673E-13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374.67858373761965</v>
      </c>
      <c r="BJ77" s="62">
        <f t="shared" si="92"/>
        <v>468.38066974447543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5.3547994582689418</v>
      </c>
      <c r="BQ77" s="23">
        <f>EXP(-LN(2)/25)*BQ76+(1-EXP(-LN(2)/25))/(LN(2)/25)*Calculateur!BL77*Calculateur!BN77*VLOOKUP('Données projet'!$B$11,Paramètres!$A$1:$I$89,3,0)*0.475*44/12</f>
        <v>4.1984892022017268</v>
      </c>
      <c r="BR77" s="23">
        <f>EXP(-LN(2)/2)*BR76+(1-EXP(-LN(2)/2))/(LN(2)/2)*BL77*BO77*VLOOKUP('Données projet'!$B$11,Paramètres!$A$1:$I$89,3,0)*0.475*44/12</f>
        <v>3.0207605305285173E-6</v>
      </c>
      <c r="BS77" s="24">
        <f t="shared" si="63"/>
        <v>9.5532916812311992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</v>
      </c>
      <c r="AI78" s="14">
        <f>IF('Données projet'!$A$62&gt;35,AI77+AH78-AQ77,IF(A78&lt;'Données projet'!$A$62,$AF$205^A78,IF(A78='Données projet'!$A$62,'Données projet'!$B$62,AI77+AH78-AQ77)))</f>
        <v>314.49999999999994</v>
      </c>
      <c r="AJ78" s="14">
        <f>AI78*VLOOKUP('Données projet'!$B$10,Paramètres!$A$1:$I$89,3,0)*VLOOKUP('Données projet'!$B$10,Paramètres!$A$1:$I$89,5,0)</f>
        <v>147.18599999999998</v>
      </c>
      <c r="AK78" s="14">
        <f t="shared" si="89"/>
        <v>37.938390882441361</v>
      </c>
      <c r="AL78" s="22">
        <f t="shared" si="58"/>
        <v>322.42498078691864</v>
      </c>
      <c r="AM78" s="62">
        <f t="shared" si="59"/>
        <v>615.75831412025195</v>
      </c>
      <c r="AN78" s="62">
        <f ca="1">AVERAGE(OFFSET($AM$3,0,0,'Données projet'!$E$10+1,1))-AVERAGE(OFFSET($H$3,0,0,'Données projet'!$E$10+1,1))</f>
        <v>160.81094423216069</v>
      </c>
      <c r="AO78" s="62">
        <f t="shared" si="90"/>
        <v>145.53871436439169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4.3023669044597295</v>
      </c>
      <c r="AV78" s="23">
        <f>EXP(-LN(2)/25)*AV77+(1-EXP(-LN(2)/25))/(LN(2)/25)*Calculateur!AQ78*Calculateur!AS78*VLOOKUP('Données projet'!$B$10,Paramètres!$A$1:$I$89,3,0)*0.475*44/12</f>
        <v>1.6238731165000755</v>
      </c>
      <c r="AW78" s="23">
        <f>EXP(-LN(2)/2)*AW77+(1-EXP(-LN(2)/2))/(LN(2)/2)*AQ78*AT78*VLOOKUP('Données projet'!$B$10,Paramètres!$A$1:$I$89,3,0)*0.475*44/12</f>
        <v>7.2037230682020932E-5</v>
      </c>
      <c r="AX78" s="23">
        <f t="shared" si="60"/>
        <v>5.9263120581904865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-2.2737367544323206E-13</v>
      </c>
      <c r="BE78" s="14">
        <f>BD78*VLOOKUP('Données projet'!$B$11,Paramètres!$A$1:$I$89,3,0)*VLOOKUP('Données projet'!$B$11,Paramètres!$A$1:$I$89,5,0)</f>
        <v>-1.2710188457276673E-13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374.67858373761965</v>
      </c>
      <c r="BJ78" s="62">
        <f t="shared" si="92"/>
        <v>468.38066974447543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5.249795106997456</v>
      </c>
      <c r="BQ78" s="23">
        <f>EXP(-LN(2)/25)*BQ77+(1-EXP(-LN(2)/25))/(LN(2)/25)*Calculateur!BL78*Calculateur!BN78*VLOOKUP('Données projet'!$B$11,Paramètres!$A$1:$I$89,3,0)*0.475*44/12</f>
        <v>4.083681294178569</v>
      </c>
      <c r="BR78" s="23">
        <f>EXP(-LN(2)/2)*BR77+(1-EXP(-LN(2)/2))/(LN(2)/2)*BL78*BO78*VLOOKUP('Données projet'!$B$11,Paramètres!$A$1:$I$89,3,0)*0.475*44/12</f>
        <v>2.1360002554773875E-6</v>
      </c>
      <c r="BS78" s="24">
        <f t="shared" si="63"/>
        <v>9.3334785371762798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</v>
      </c>
      <c r="AI79" s="14">
        <f>IF('Données projet'!$A$62&gt;35,AI78+AH79-AQ78,IF(A79&lt;'Données projet'!$A$62,$AF$205^A79,IF(A79='Données projet'!$A$62,'Données projet'!$B$62,AI78+AH79-AQ78)))</f>
        <v>322.19999999999993</v>
      </c>
      <c r="AJ79" s="14">
        <f>AI79*VLOOKUP('Données projet'!$B$10,Paramètres!$A$1:$I$89,3,0)*VLOOKUP('Données projet'!$B$10,Paramètres!$A$1:$I$89,5,0)</f>
        <v>150.78959999999998</v>
      </c>
      <c r="AK79" s="14">
        <f t="shared" si="89"/>
        <v>38.757970187689722</v>
      </c>
      <c r="AL79" s="22">
        <f t="shared" si="58"/>
        <v>330.12868474355952</v>
      </c>
      <c r="AM79" s="62">
        <f t="shared" si="59"/>
        <v>623.46201807689283</v>
      </c>
      <c r="AN79" s="62">
        <f ca="1">AVERAGE(OFFSET($AM$3,0,0,'Données projet'!$E$10+1,1))-AVERAGE(OFFSET($H$3,0,0,'Données projet'!$E$10+1,1))</f>
        <v>160.81094423216069</v>
      </c>
      <c r="AO79" s="62">
        <f t="shared" si="90"/>
        <v>145.53871436439169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4.2180001136479692</v>
      </c>
      <c r="AV79" s="23">
        <f>EXP(-LN(2)/25)*AV78+(1-EXP(-LN(2)/25))/(LN(2)/25)*Calculateur!AQ79*Calculateur!AS79*VLOOKUP('Données projet'!$B$10,Paramètres!$A$1:$I$89,3,0)*0.475*44/12</f>
        <v>1.579468220733605</v>
      </c>
      <c r="AW79" s="23">
        <f>EXP(-LN(2)/2)*AW78+(1-EXP(-LN(2)/2))/(LN(2)/2)*AQ79*AT79*VLOOKUP('Données projet'!$B$10,Paramètres!$A$1:$I$89,3,0)*0.475*44/12</f>
        <v>5.0938014313156623E-5</v>
      </c>
      <c r="AX79" s="23">
        <f t="shared" si="60"/>
        <v>5.7975192723958875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-2.2737367544323206E-13</v>
      </c>
      <c r="BE79" s="14">
        <f>BD79*VLOOKUP('Données projet'!$B$11,Paramètres!$A$1:$I$89,3,0)*VLOOKUP('Données projet'!$B$11,Paramètres!$A$1:$I$89,5,0)</f>
        <v>-1.2710188457276673E-13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374.67858373761965</v>
      </c>
      <c r="BJ79" s="62">
        <f t="shared" si="92"/>
        <v>468.38066974447543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5.146849827008074</v>
      </c>
      <c r="BQ79" s="23">
        <f>EXP(-LN(2)/25)*BQ78+(1-EXP(-LN(2)/25))/(LN(2)/25)*Calculateur!BL79*Calculateur!BN79*VLOOKUP('Données projet'!$B$11,Paramètres!$A$1:$I$89,3,0)*0.475*44/12</f>
        <v>3.97201281443779</v>
      </c>
      <c r="BR79" s="23">
        <f>EXP(-LN(2)/2)*BR78+(1-EXP(-LN(2)/2))/(LN(2)/2)*BL79*BO79*VLOOKUP('Données projet'!$B$11,Paramètres!$A$1:$I$89,3,0)*0.475*44/12</f>
        <v>1.5103802652642587E-6</v>
      </c>
      <c r="BS79" s="24">
        <f t="shared" si="63"/>
        <v>9.1188641518261289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7.7</v>
      </c>
      <c r="AI80" s="14">
        <f>IF('Données projet'!$A$62&gt;35,AI79+AH80-AQ79,IF(A80&lt;'Données projet'!$A$62,$AF$205^A80,IF(A80='Données projet'!$A$62,'Données projet'!$B$62,AI79+AH80-AQ79)))</f>
        <v>329.89999999999992</v>
      </c>
      <c r="AJ80" s="14">
        <f>AI80*VLOOKUP('Données projet'!$B$10,Paramètres!$A$1:$I$89,3,0)*VLOOKUP('Données projet'!$B$10,Paramètres!$A$1:$I$89,5,0)</f>
        <v>154.39319999999995</v>
      </c>
      <c r="AK80" s="14">
        <f t="shared" si="89"/>
        <v>39.575272566832489</v>
      </c>
      <c r="AL80" s="22">
        <f t="shared" si="58"/>
        <v>337.82842305389983</v>
      </c>
      <c r="AM80" s="62">
        <f t="shared" si="59"/>
        <v>631.16175638723314</v>
      </c>
      <c r="AN80" s="62">
        <f ca="1">AVERAGE(OFFSET($AM$3,0,0,'Données projet'!$E$10+1,1))-AVERAGE(OFFSET($H$3,0,0,'Données projet'!$E$10+1,1))</f>
        <v>160.81094423216069</v>
      </c>
      <c r="AO80" s="62">
        <f t="shared" si="90"/>
        <v>145.53871436439169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4.135287704145366</v>
      </c>
      <c r="AV80" s="23">
        <f>EXP(-LN(2)/25)*AV79+(1-EXP(-LN(2)/25))/(LN(2)/25)*Calculateur!AQ80*Calculateur!AS80*VLOOKUP('Données projet'!$B$10,Paramètres!$A$1:$I$89,3,0)*0.475*44/12</f>
        <v>1.5362775791770209</v>
      </c>
      <c r="AW80" s="23">
        <f>EXP(-LN(2)/2)*AW79+(1-EXP(-LN(2)/2))/(LN(2)/2)*AQ80*AT80*VLOOKUP('Données projet'!$B$10,Paramètres!$A$1:$I$89,3,0)*0.475*44/12</f>
        <v>3.6018615341010466E-5</v>
      </c>
      <c r="AX80" s="23">
        <f t="shared" si="60"/>
        <v>5.671601301937728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-2.2737367544323206E-13</v>
      </c>
      <c r="BE80" s="14">
        <f>BD80*VLOOKUP('Données projet'!$B$11,Paramètres!$A$1:$I$89,3,0)*VLOOKUP('Données projet'!$B$11,Paramètres!$A$1:$I$89,5,0)</f>
        <v>-1.2710188457276673E-13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374.67858373761965</v>
      </c>
      <c r="BJ80" s="62">
        <f t="shared" si="92"/>
        <v>468.38066974447543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5.0459232411688628</v>
      </c>
      <c r="BQ80" s="23">
        <f>EXP(-LN(2)/25)*BQ79+(1-EXP(-LN(2)/25))/(LN(2)/25)*Calculateur!BL80*Calculateur!BN80*VLOOKUP('Données projet'!$B$11,Paramètres!$A$1:$I$89,3,0)*0.475*44/12</f>
        <v>3.863397915147913</v>
      </c>
      <c r="BR80" s="23">
        <f>EXP(-LN(2)/2)*BR79+(1-EXP(-LN(2)/2))/(LN(2)/2)*BL80*BO80*VLOOKUP('Données projet'!$B$11,Paramètres!$A$1:$I$89,3,0)*0.475*44/12</f>
        <v>1.0680001277386937E-6</v>
      </c>
      <c r="BS80" s="24">
        <f t="shared" si="63"/>
        <v>8.9093222243169023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7.7</v>
      </c>
      <c r="AI81" s="14">
        <f>IF('Données projet'!$A$62&gt;35,AI80+AH81-AQ80,IF(A81&lt;'Données projet'!$A$62,$AF$205^A81,IF(A81='Données projet'!$A$62,'Données projet'!$B$62,AI80+AH81-AQ80)))</f>
        <v>337.59999999999991</v>
      </c>
      <c r="AJ81" s="14">
        <f>AI81*VLOOKUP('Données projet'!$B$10,Paramètres!$A$1:$I$89,3,0)*VLOOKUP('Données projet'!$B$10,Paramètres!$A$1:$I$89,5,0)</f>
        <v>157.99679999999995</v>
      </c>
      <c r="AK81" s="14">
        <f t="shared" si="89"/>
        <v>40.390357280610026</v>
      </c>
      <c r="AL81" s="22">
        <f t="shared" si="58"/>
        <v>345.52429893039567</v>
      </c>
      <c r="AM81" s="62">
        <f t="shared" si="59"/>
        <v>638.85763226372899</v>
      </c>
      <c r="AN81" s="62">
        <f ca="1">AVERAGE(OFFSET($AM$3,0,0,'Données projet'!$E$10+1,1))-AVERAGE(OFFSET($H$3,0,0,'Données projet'!$E$10+1,1))</f>
        <v>160.81094423216069</v>
      </c>
      <c r="AO81" s="62">
        <f t="shared" si="90"/>
        <v>145.53871436439169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4.0541972345435209</v>
      </c>
      <c r="AV81" s="23">
        <f>EXP(-LN(2)/25)*AV80+(1-EXP(-LN(2)/25))/(LN(2)/25)*Calculateur!AQ81*Calculateur!AS81*VLOOKUP('Données projet'!$B$10,Paramètres!$A$1:$I$89,3,0)*0.475*44/12</f>
        <v>1.4942679879850986</v>
      </c>
      <c r="AW81" s="23">
        <f>EXP(-LN(2)/2)*AW80+(1-EXP(-LN(2)/2))/(LN(2)/2)*AQ81*AT81*VLOOKUP('Données projet'!$B$10,Paramètres!$A$1:$I$89,3,0)*0.475*44/12</f>
        <v>2.5469007156578311E-5</v>
      </c>
      <c r="AX81" s="23">
        <f t="shared" si="60"/>
        <v>5.5484906915357763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-2.2737367544323206E-13</v>
      </c>
      <c r="BE81" s="14">
        <f>BD81*VLOOKUP('Données projet'!$B$11,Paramètres!$A$1:$I$89,3,0)*VLOOKUP('Données projet'!$B$11,Paramètres!$A$1:$I$89,5,0)</f>
        <v>-1.2710188457276673E-13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374.67858373761965</v>
      </c>
      <c r="BJ81" s="62">
        <f t="shared" si="92"/>
        <v>468.38066974447543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4.9469757641188199</v>
      </c>
      <c r="BQ81" s="23">
        <f>EXP(-LN(2)/25)*BQ80+(1-EXP(-LN(2)/25))/(LN(2)/25)*Calculateur!BL81*Calculateur!BN81*VLOOKUP('Données projet'!$B$11,Paramètres!$A$1:$I$89,3,0)*0.475*44/12</f>
        <v>3.7577530959909269</v>
      </c>
      <c r="BR81" s="23">
        <f>EXP(-LN(2)/2)*BR80+(1-EXP(-LN(2)/2))/(LN(2)/2)*BL81*BO81*VLOOKUP('Données projet'!$B$11,Paramètres!$A$1:$I$89,3,0)*0.475*44/12</f>
        <v>7.5519013263212934E-7</v>
      </c>
      <c r="BS81" s="24">
        <f t="shared" si="63"/>
        <v>8.704729615299879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7.7</v>
      </c>
      <c r="AI82" s="14">
        <f>IF('Données projet'!$A$62&gt;35,AI81+AH82-AQ81,IF(A82&lt;'Données projet'!$A$62,$AF$205^A82,IF(A82='Données projet'!$A$62,'Données projet'!$B$62,AI81+AH82-AQ81)))</f>
        <v>345.2999999999999</v>
      </c>
      <c r="AJ82" s="14">
        <f>AI82*VLOOKUP('Données projet'!$B$10,Paramètres!$A$1:$I$89,3,0)*VLOOKUP('Données projet'!$B$10,Paramètres!$A$1:$I$89,5,0)</f>
        <v>161.60039999999995</v>
      </c>
      <c r="AK82" s="14">
        <f t="shared" si="89"/>
        <v>41.203280732237822</v>
      </c>
      <c r="AL82" s="22">
        <f t="shared" si="58"/>
        <v>353.21641060864749</v>
      </c>
      <c r="AM82" s="62">
        <f t="shared" si="59"/>
        <v>646.54974394198075</v>
      </c>
      <c r="AN82" s="62">
        <f ca="1">AVERAGE(OFFSET($AM$3,0,0,'Données projet'!$E$10+1,1))-AVERAGE(OFFSET($H$3,0,0,'Données projet'!$E$10+1,1))</f>
        <v>160.81094423216069</v>
      </c>
      <c r="AO82" s="62">
        <f t="shared" si="90"/>
        <v>145.53871436439169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3.9746968995902652</v>
      </c>
      <c r="AV82" s="23">
        <f>EXP(-LN(2)/25)*AV81+(1-EXP(-LN(2)/25))/(LN(2)/25)*Calculateur!AQ82*Calculateur!AS82*VLOOKUP('Données projet'!$B$10,Paramètres!$A$1:$I$89,3,0)*0.475*44/12</f>
        <v>1.4534071512735078</v>
      </c>
      <c r="AW82" s="23">
        <f>EXP(-LN(2)/2)*AW81+(1-EXP(-LN(2)/2))/(LN(2)/2)*AQ82*AT82*VLOOKUP('Données projet'!$B$10,Paramètres!$A$1:$I$89,3,0)*0.475*44/12</f>
        <v>1.8009307670505233E-5</v>
      </c>
      <c r="AX82" s="23">
        <f t="shared" si="60"/>
        <v>5.4281220601714439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-2.2737367544323206E-13</v>
      </c>
      <c r="BE82" s="14">
        <f>BD82*VLOOKUP('Données projet'!$B$11,Paramètres!$A$1:$I$89,3,0)*VLOOKUP('Données projet'!$B$11,Paramètres!$A$1:$I$89,5,0)</f>
        <v>-1.2710188457276673E-13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374.67858373761965</v>
      </c>
      <c r="BJ82" s="62">
        <f t="shared" si="92"/>
        <v>468.38066974447543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4.8499685867417268</v>
      </c>
      <c r="BQ82" s="23">
        <f>EXP(-LN(2)/25)*BQ81+(1-EXP(-LN(2)/25))/(LN(2)/25)*Calculateur!BL82*Calculateur!BN82*VLOOKUP('Données projet'!$B$11,Paramètres!$A$1:$I$89,3,0)*0.475*44/12</f>
        <v>3.6549971399694083</v>
      </c>
      <c r="BR82" s="23">
        <f>EXP(-LN(2)/2)*BR81+(1-EXP(-LN(2)/2))/(LN(2)/2)*BL82*BO82*VLOOKUP('Données projet'!$B$11,Paramètres!$A$1:$I$89,3,0)*0.475*44/12</f>
        <v>5.3400006386934687E-7</v>
      </c>
      <c r="BS82" s="24">
        <f t="shared" si="63"/>
        <v>8.504966260711198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353</v>
      </c>
      <c r="AG83" s="13">
        <f>VLOOKUP(A83,'Données projet'!$A$61:$I$81,9,0)</f>
        <v>7.7</v>
      </c>
      <c r="AH83" s="13">
        <f t="array" ref="AH83">INDEX(AG:AG,MIN(IF(ISNUMBER(AG83:AG279),ROW(AG83:AG279),"")))</f>
        <v>7.7</v>
      </c>
      <c r="AI83" s="14">
        <f>IF('Données projet'!$A$62&gt;35,AI82+AH83-AQ82,IF(A83&lt;'Données projet'!$A$62,$AF$205^A83,IF(A83='Données projet'!$A$62,'Données projet'!$B$62,AI82+AH83-AQ82)))</f>
        <v>352.99999999999989</v>
      </c>
      <c r="AJ83" s="14">
        <f>AI83*VLOOKUP('Données projet'!$B$10,Paramètres!$A$1:$I$89,3,0)*VLOOKUP('Données projet'!$B$10,Paramètres!$A$1:$I$89,5,0)</f>
        <v>165.20399999999995</v>
      </c>
      <c r="AK83" s="14">
        <f t="shared" si="89"/>
        <v>42.014096665795854</v>
      </c>
      <c r="AL83" s="22">
        <f t="shared" si="58"/>
        <v>360.90485169292765</v>
      </c>
      <c r="AM83" s="62">
        <f t="shared" si="59"/>
        <v>654.23818502626091</v>
      </c>
      <c r="AN83" s="62">
        <f ca="1">AVERAGE(OFFSET($AM$3,0,0,'Données projet'!$E$10+1,1))-AVERAGE(OFFSET($H$3,0,0,'Données projet'!$E$10+1,1))</f>
        <v>160.81094423216069</v>
      </c>
      <c r="AO83" s="62">
        <f t="shared" si="90"/>
        <v>145.53871436439169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71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3.8967555177150266</v>
      </c>
      <c r="AV83" s="23">
        <f>EXP(-LN(2)/25)*AV82+(1-EXP(-LN(2)/25))/(LN(2)/25)*Calculateur!AQ83*Calculateur!AS83*VLOOKUP('Données projet'!$B$10,Paramètres!$A$1:$I$89,3,0)*0.475*44/12</f>
        <v>1.4136636562905736</v>
      </c>
      <c r="AW83" s="23">
        <f>EXP(-LN(2)/2)*AW82+(1-EXP(-LN(2)/2))/(LN(2)/2)*AQ83*AT83*VLOOKUP('Données projet'!$B$10,Paramètres!$A$1:$I$89,3,0)*0.475*44/12</f>
        <v>1.2734503578289156E-5</v>
      </c>
      <c r="AX83" s="23">
        <f t="shared" si="60"/>
        <v>5.3104319085091785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-2.2737367544323206E-13</v>
      </c>
      <c r="BE83" s="14">
        <f>BD83*VLOOKUP('Données projet'!$B$11,Paramètres!$A$1:$I$89,3,0)*VLOOKUP('Données projet'!$B$11,Paramètres!$A$1:$I$89,5,0)</f>
        <v>-1.2710188457276673E-13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374.67858373761965</v>
      </c>
      <c r="BJ83" s="62">
        <f t="shared" si="92"/>
        <v>468.38066974447543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4.754863660944463</v>
      </c>
      <c r="BQ83" s="23">
        <f>EXP(-LN(2)/25)*BQ82+(1-EXP(-LN(2)/25))/(LN(2)/25)*Calculateur!BL83*Calculateur!BN83*VLOOKUP('Données projet'!$B$11,Paramètres!$A$1:$I$89,3,0)*0.475*44/12</f>
        <v>3.555051050968999</v>
      </c>
      <c r="BR83" s="23">
        <f>EXP(-LN(2)/2)*BR82+(1-EXP(-LN(2)/2))/(LN(2)/2)*BL83*BO83*VLOOKUP('Données projet'!$B$11,Paramètres!$A$1:$I$89,3,0)*0.475*44/12</f>
        <v>3.7759506631606467E-7</v>
      </c>
      <c r="BS83" s="24">
        <f t="shared" si="63"/>
        <v>8.3099150895085288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8.3000000000000007</v>
      </c>
      <c r="AI84" s="14">
        <f>IF('Données projet'!$A$62&gt;35,AI83+AH84-AQ83,IF(A84&lt;'Données projet'!$A$62,$AF$205^A84,IF(A84='Données projet'!$A$62,'Données projet'!$B$62,AI83+AH84-AQ83)))</f>
        <v>290.2999999999999</v>
      </c>
      <c r="AJ84" s="14">
        <f>AI84*VLOOKUP('Données projet'!$B$10,Paramètres!$A$1:$I$89,3,0)*VLOOKUP('Données projet'!$B$10,Paramètres!$A$1:$I$89,5,0)</f>
        <v>135.86039999999994</v>
      </c>
      <c r="AK84" s="14">
        <f t="shared" si="89"/>
        <v>35.347031059244749</v>
      </c>
      <c r="AL84" s="22">
        <f t="shared" si="58"/>
        <v>298.18627576151783</v>
      </c>
      <c r="AM84" s="62">
        <f t="shared" si="59"/>
        <v>591.51960909485115</v>
      </c>
      <c r="AN84" s="62">
        <f ca="1">AVERAGE(OFFSET($AM$3,0,0,'Données projet'!$E$10+1,1))-AVERAGE(OFFSET($H$3,0,0,'Données projet'!$E$10+1,1))</f>
        <v>160.81094423216069</v>
      </c>
      <c r="AO84" s="62">
        <f t="shared" si="90"/>
        <v>145.53871436439169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3.8203425187988125</v>
      </c>
      <c r="AV84" s="23">
        <f>EXP(-LN(2)/25)*AV83+(1-EXP(-LN(2)/25))/(LN(2)/25)*Calculateur!AQ84*Calculateur!AS84*VLOOKUP('Données projet'!$B$10,Paramètres!$A$1:$I$89,3,0)*0.475*44/12</f>
        <v>1.3750069492679671</v>
      </c>
      <c r="AW84" s="23">
        <f>EXP(-LN(2)/2)*AW83+(1-EXP(-LN(2)/2))/(LN(2)/2)*AQ84*AT84*VLOOKUP('Données projet'!$B$10,Paramètres!$A$1:$I$89,3,0)*0.475*44/12</f>
        <v>9.0046538352526164E-6</v>
      </c>
      <c r="AX84" s="23">
        <f t="shared" si="60"/>
        <v>5.1953584727206144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-1.2710188457276673E-13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374.67858373761965</v>
      </c>
      <c r="BJ84" s="62">
        <f t="shared" si="92"/>
        <v>468.38066974447543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4.6616236847338062</v>
      </c>
      <c r="BQ84" s="23">
        <f>EXP(-LN(2)/25)*BQ83+(1-EXP(-LN(2)/25))/(LN(2)/25)*Calculateur!BL84*Calculateur!BN84*VLOOKUP('Données projet'!$B$11,Paramètres!$A$1:$I$89,3,0)*0.475*44/12</f>
        <v>3.4578379930282419</v>
      </c>
      <c r="BR84" s="23">
        <f>EXP(-LN(2)/2)*BR83+(1-EXP(-LN(2)/2))/(LN(2)/2)*BL84*BO84*VLOOKUP('Données projet'!$B$11,Paramètres!$A$1:$I$89,3,0)*0.475*44/12</f>
        <v>2.6700003193467344E-7</v>
      </c>
      <c r="BS84" s="24">
        <f t="shared" si="63"/>
        <v>8.1194619447620813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8.3000000000000007</v>
      </c>
      <c r="AI85" s="14">
        <f>IF('Données projet'!$A$62&gt;35,AI84+AH85-AQ84,IF(A85&lt;'Données projet'!$A$62,$AF$205^A85,IF(A85='Données projet'!$A$62,'Données projet'!$B$62,AI84+AH85-AQ84)))</f>
        <v>298.59999999999991</v>
      </c>
      <c r="AJ85" s="14">
        <f>AI85*VLOOKUP('Données projet'!$B$10,Paramètres!$A$1:$I$89,3,0)*VLOOKUP('Données projet'!$B$10,Paramètres!$A$1:$I$89,5,0)</f>
        <v>139.74479999999997</v>
      </c>
      <c r="AK85" s="14">
        <f t="shared" si="89"/>
        <v>36.238536552104364</v>
      </c>
      <c r="AL85" s="22">
        <f t="shared" si="58"/>
        <v>306.50431116158171</v>
      </c>
      <c r="AM85" s="62">
        <f t="shared" si="59"/>
        <v>599.83764449491503</v>
      </c>
      <c r="AN85" s="62">
        <f ca="1">AVERAGE(OFFSET($AM$3,0,0,'Données projet'!$E$10+1,1))-AVERAGE(OFFSET($H$3,0,0,'Données projet'!$E$10+1,1))</f>
        <v>160.81094423216069</v>
      </c>
      <c r="AO85" s="62">
        <f t="shared" si="90"/>
        <v>145.53871436439169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3.7454279321840183</v>
      </c>
      <c r="AV85" s="23">
        <f>EXP(-LN(2)/25)*AV84+(1-EXP(-LN(2)/25))/(LN(2)/25)*Calculateur!AQ85*Calculateur!AS85*VLOOKUP('Données projet'!$B$10,Paramètres!$A$1:$I$89,3,0)*0.475*44/12</f>
        <v>1.3374073119317618</v>
      </c>
      <c r="AW85" s="23">
        <f>EXP(-LN(2)/2)*AW84+(1-EXP(-LN(2)/2))/(LN(2)/2)*AQ85*AT85*VLOOKUP('Données projet'!$B$10,Paramètres!$A$1:$I$89,3,0)*0.475*44/12</f>
        <v>6.3672517891445779E-6</v>
      </c>
      <c r="AX85" s="23">
        <f t="shared" si="60"/>
        <v>5.0828416113675692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-1.2710188457276673E-13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374.67858373761965</v>
      </c>
      <c r="BJ85" s="62">
        <f t="shared" si="92"/>
        <v>468.38066974447543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4.5702120875858707</v>
      </c>
      <c r="BQ85" s="23">
        <f>EXP(-LN(2)/25)*BQ84+(1-EXP(-LN(2)/25))/(LN(2)/25)*Calculateur!BL85*Calculateur!BN85*VLOOKUP('Données projet'!$B$11,Paramètres!$A$1:$I$89,3,0)*0.475*44/12</f>
        <v>3.3632832312690875</v>
      </c>
      <c r="BR85" s="23">
        <f>EXP(-LN(2)/2)*BR84+(1-EXP(-LN(2)/2))/(LN(2)/2)*BL85*BO85*VLOOKUP('Données projet'!$B$11,Paramètres!$A$1:$I$89,3,0)*0.475*44/12</f>
        <v>1.8879753315803233E-7</v>
      </c>
      <c r="BS85" s="24">
        <f t="shared" si="63"/>
        <v>7.9334955076524913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8.3000000000000007</v>
      </c>
      <c r="AI86" s="14">
        <f>IF('Données projet'!$A$62&gt;35,AI85+AH86-AQ85,IF(A86&lt;'Données projet'!$A$62,$AF$205^A86,IF(A86='Données projet'!$A$62,'Données projet'!$B$62,AI85+AH86-AQ85)))</f>
        <v>306.89999999999992</v>
      </c>
      <c r="AJ86" s="14">
        <f>AI86*VLOOKUP('Données projet'!$B$10,Paramètres!$A$1:$I$89,3,0)*VLOOKUP('Données projet'!$B$10,Paramètres!$A$1:$I$89,5,0)</f>
        <v>143.62919999999997</v>
      </c>
      <c r="AK86" s="14">
        <f t="shared" si="89"/>
        <v>37.127161849234348</v>
      </c>
      <c r="AL86" s="22">
        <f t="shared" si="58"/>
        <v>314.81733022074974</v>
      </c>
      <c r="AM86" s="62">
        <f t="shared" si="59"/>
        <v>608.15066355408305</v>
      </c>
      <c r="AN86" s="62">
        <f ca="1">AVERAGE(OFFSET($AM$3,0,0,'Données projet'!$E$10+1,1))-AVERAGE(OFFSET($H$3,0,0,'Données projet'!$E$10+1,1))</f>
        <v>160.81094423216069</v>
      </c>
      <c r="AO86" s="62">
        <f t="shared" si="90"/>
        <v>145.53871436439169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3.6719823749193541</v>
      </c>
      <c r="AV86" s="23">
        <f>EXP(-LN(2)/25)*AV85+(1-EXP(-LN(2)/25))/(LN(2)/25)*Calculateur!AQ86*Calculateur!AS86*VLOOKUP('Données projet'!$B$10,Paramètres!$A$1:$I$89,3,0)*0.475*44/12</f>
        <v>1.3008358386557939</v>
      </c>
      <c r="AW86" s="23">
        <f>EXP(-LN(2)/2)*AW85+(1-EXP(-LN(2)/2))/(LN(2)/2)*AQ86*AT86*VLOOKUP('Données projet'!$B$10,Paramètres!$A$1:$I$89,3,0)*0.475*44/12</f>
        <v>4.5023269176263082E-6</v>
      </c>
      <c r="AX86" s="23">
        <f t="shared" si="60"/>
        <v>4.9728227159020655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-1.2710188457276673E-13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374.67858373761965</v>
      </c>
      <c r="BJ86" s="62">
        <f t="shared" si="92"/>
        <v>468.38066974447543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4.4805930161024374</v>
      </c>
      <c r="BQ86" s="23">
        <f>EXP(-LN(2)/25)*BQ85+(1-EXP(-LN(2)/25))/(LN(2)/25)*Calculateur!BL86*Calculateur!BN86*VLOOKUP('Données projet'!$B$11,Paramètres!$A$1:$I$89,3,0)*0.475*44/12</f>
        <v>3.2713140744426559</v>
      </c>
      <c r="BR86" s="23">
        <f>EXP(-LN(2)/2)*BR85+(1-EXP(-LN(2)/2))/(LN(2)/2)*BL86*BO86*VLOOKUP('Données projet'!$B$11,Paramètres!$A$1:$I$89,3,0)*0.475*44/12</f>
        <v>1.3350001596733672E-7</v>
      </c>
      <c r="BS86" s="24">
        <f t="shared" si="63"/>
        <v>7.7519072240451097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8.3000000000000007</v>
      </c>
      <c r="AI87" s="14">
        <f>IF('Données projet'!$A$62&gt;35,AI86+AH87-AQ86,IF(A87&lt;'Données projet'!$A$62,$AF$205^A87,IF(A87='Données projet'!$A$62,'Données projet'!$B$62,AI86+AH87-AQ86)))</f>
        <v>315.19999999999993</v>
      </c>
      <c r="AJ87" s="14">
        <f>AI87*VLOOKUP('Données projet'!$B$10,Paramètres!$A$1:$I$89,3,0)*VLOOKUP('Données projet'!$B$10,Paramètres!$A$1:$I$89,5,0)</f>
        <v>147.51359999999997</v>
      </c>
      <c r="AK87" s="14">
        <f t="shared" si="89"/>
        <v>38.012993796041464</v>
      </c>
      <c r="AL87" s="22">
        <f t="shared" si="58"/>
        <v>323.12548419477213</v>
      </c>
      <c r="AM87" s="62">
        <f t="shared" si="59"/>
        <v>616.45881752810544</v>
      </c>
      <c r="AN87" s="62">
        <f ca="1">AVERAGE(OFFSET($AM$3,0,0,'Données projet'!$E$10+1,1))-AVERAGE(OFFSET($H$3,0,0,'Données projet'!$E$10+1,1))</f>
        <v>160.81094423216069</v>
      </c>
      <c r="AO87" s="62">
        <f t="shared" si="90"/>
        <v>145.53871436439169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3.5999770402352835</v>
      </c>
      <c r="AV87" s="23">
        <f>EXP(-LN(2)/25)*AV86+(1-EXP(-LN(2)/25))/(LN(2)/25)*Calculateur!AQ87*Calculateur!AS87*VLOOKUP('Données projet'!$B$10,Paramètres!$A$1:$I$89,3,0)*0.475*44/12</f>
        <v>1.2652644142397675</v>
      </c>
      <c r="AW87" s="23">
        <f>EXP(-LN(2)/2)*AW86+(1-EXP(-LN(2)/2))/(LN(2)/2)*AQ87*AT87*VLOOKUP('Données projet'!$B$10,Paramètres!$A$1:$I$89,3,0)*0.475*44/12</f>
        <v>3.1836258945722889E-6</v>
      </c>
      <c r="AX87" s="23">
        <f t="shared" si="60"/>
        <v>4.8652446381009451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-1.2710188457276673E-13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374.67858373761965</v>
      </c>
      <c r="BJ87" s="62">
        <f t="shared" si="92"/>
        <v>468.38066974447543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4.3927313199485578</v>
      </c>
      <c r="BQ87" s="23">
        <f>EXP(-LN(2)/25)*BQ86+(1-EXP(-LN(2)/25))/(LN(2)/25)*Calculateur!BL87*Calculateur!BN87*VLOOKUP('Données projet'!$B$11,Paramètres!$A$1:$I$89,3,0)*0.475*44/12</f>
        <v>3.1818598190460912</v>
      </c>
      <c r="BR87" s="23">
        <f>EXP(-LN(2)/2)*BR86+(1-EXP(-LN(2)/2))/(LN(2)/2)*BL87*BO87*VLOOKUP('Données projet'!$B$11,Paramètres!$A$1:$I$89,3,0)*0.475*44/12</f>
        <v>9.4398766579016167E-8</v>
      </c>
      <c r="BS87" s="24">
        <f t="shared" si="63"/>
        <v>7.5745912333934147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8.3000000000000007</v>
      </c>
      <c r="AI88" s="14">
        <f>IF('Données projet'!$A$62&gt;35,AI87+AH88-AQ87,IF(A88&lt;'Données projet'!$A$62,$AF$205^A88,IF(A88='Données projet'!$A$62,'Données projet'!$B$62,AI87+AH88-AQ87)))</f>
        <v>323.49999999999994</v>
      </c>
      <c r="AJ88" s="14">
        <f>AI88*VLOOKUP('Données projet'!$B$10,Paramètres!$A$1:$I$89,3,0)*VLOOKUP('Données projet'!$B$10,Paramètres!$A$1:$I$89,5,0)</f>
        <v>151.39799999999997</v>
      </c>
      <c r="AK88" s="14">
        <f t="shared" si="89"/>
        <v>38.896114403754709</v>
      </c>
      <c r="AL88" s="22">
        <f t="shared" si="58"/>
        <v>331.42891591987274</v>
      </c>
      <c r="AM88" s="62">
        <f t="shared" si="59"/>
        <v>624.76224925320605</v>
      </c>
      <c r="AN88" s="62">
        <f ca="1">AVERAGE(OFFSET($AM$3,0,0,'Données projet'!$E$10+1,1))-AVERAGE(OFFSET($H$3,0,0,'Données projet'!$E$10+1,1))</f>
        <v>160.81094423216069</v>
      </c>
      <c r="AO88" s="62">
        <f t="shared" si="90"/>
        <v>145.53871436439169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3.52938368624545</v>
      </c>
      <c r="AV88" s="23">
        <f>EXP(-LN(2)/25)*AV87+(1-EXP(-LN(2)/25))/(LN(2)/25)*Calculateur!AQ88*Calculateur!AS88*VLOOKUP('Données projet'!$B$10,Paramètres!$A$1:$I$89,3,0)*0.475*44/12</f>
        <v>1.2306656922950174</v>
      </c>
      <c r="AW88" s="23">
        <f>EXP(-LN(2)/2)*AW87+(1-EXP(-LN(2)/2))/(LN(2)/2)*AQ88*AT88*VLOOKUP('Données projet'!$B$10,Paramètres!$A$1:$I$89,3,0)*0.475*44/12</f>
        <v>2.2511634588131541E-6</v>
      </c>
      <c r="AX88" s="23">
        <f t="shared" si="60"/>
        <v>4.7600516297039261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-1.2710188457276673E-13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374.67858373761965</v>
      </c>
      <c r="BJ88" s="62">
        <f t="shared" si="92"/>
        <v>468.38066974447543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4.3065925380659129</v>
      </c>
      <c r="BQ88" s="23">
        <f>EXP(-LN(2)/25)*BQ87+(1-EXP(-LN(2)/25))/(LN(2)/25)*Calculateur!BL88*Calculateur!BN88*VLOOKUP('Données projet'!$B$11,Paramètres!$A$1:$I$89,3,0)*0.475*44/12</f>
        <v>3.0948516949675402</v>
      </c>
      <c r="BR88" s="23">
        <f>EXP(-LN(2)/2)*BR87+(1-EXP(-LN(2)/2))/(LN(2)/2)*BL88*BO88*VLOOKUP('Données projet'!$B$11,Paramètres!$A$1:$I$89,3,0)*0.475*44/12</f>
        <v>6.6750007983668359E-8</v>
      </c>
      <c r="BS88" s="24">
        <f t="shared" si="63"/>
        <v>7.4014442997834617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8.3000000000000007</v>
      </c>
      <c r="AI89" s="14">
        <f>IF('Données projet'!$A$62&gt;35,AI88+AH89-AQ88,IF(A89&lt;'Données projet'!$A$62,$AF$205^A89,IF(A89='Données projet'!$A$62,'Données projet'!$B$62,AI88+AH89-AQ88)))</f>
        <v>331.79999999999995</v>
      </c>
      <c r="AJ89" s="14">
        <f>AI89*VLOOKUP('Données projet'!$B$10,Paramètres!$A$1:$I$89,3,0)*VLOOKUP('Données projet'!$B$10,Paramètres!$A$1:$I$89,5,0)</f>
        <v>155.28239999999997</v>
      </c>
      <c r="AK89" s="14">
        <f t="shared" si="89"/>
        <v>39.776601235546408</v>
      </c>
      <c r="AL89" s="22">
        <f t="shared" si="58"/>
        <v>339.72776048524321</v>
      </c>
      <c r="AM89" s="62">
        <f t="shared" si="59"/>
        <v>633.06109381857652</v>
      </c>
      <c r="AN89" s="62">
        <f ca="1">AVERAGE(OFFSET($AM$3,0,0,'Données projet'!$E$10+1,1))-AVERAGE(OFFSET($H$3,0,0,'Données projet'!$E$10+1,1))</f>
        <v>160.81094423216069</v>
      </c>
      <c r="AO89" s="62">
        <f t="shared" si="90"/>
        <v>145.53871436439169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3.4601746248696625</v>
      </c>
      <c r="AV89" s="23">
        <f>EXP(-LN(2)/25)*AV88+(1-EXP(-LN(2)/25))/(LN(2)/25)*Calculateur!AQ89*Calculateur!AS89*VLOOKUP('Données projet'!$B$10,Paramètres!$A$1:$I$89,3,0)*0.475*44/12</f>
        <v>1.1970130742213141</v>
      </c>
      <c r="AW89" s="23">
        <f>EXP(-LN(2)/2)*AW88+(1-EXP(-LN(2)/2))/(LN(2)/2)*AQ89*AT89*VLOOKUP('Données projet'!$B$10,Paramètres!$A$1:$I$89,3,0)*0.475*44/12</f>
        <v>1.5918129472861445E-6</v>
      </c>
      <c r="AX89" s="23">
        <f t="shared" si="60"/>
        <v>4.6571892909039239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-1.2710188457276673E-13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374.67858373761965</v>
      </c>
      <c r="BJ89" s="62">
        <f t="shared" si="92"/>
        <v>468.38066974447543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4.2221428851565177</v>
      </c>
      <c r="BQ89" s="23">
        <f>EXP(-LN(2)/25)*BQ88+(1-EXP(-LN(2)/25))/(LN(2)/25)*Calculateur!BL89*Calculateur!BN89*VLOOKUP('Données projet'!$B$11,Paramètres!$A$1:$I$89,3,0)*0.475*44/12</f>
        <v>3.0102228126174757</v>
      </c>
      <c r="BR89" s="23">
        <f>EXP(-LN(2)/2)*BR88+(1-EXP(-LN(2)/2))/(LN(2)/2)*BL89*BO89*VLOOKUP('Données projet'!$B$11,Paramètres!$A$1:$I$89,3,0)*0.475*44/12</f>
        <v>4.7199383289508084E-8</v>
      </c>
      <c r="BS89" s="24">
        <f t="shared" si="63"/>
        <v>7.232365744973376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8.3000000000000007</v>
      </c>
      <c r="AI90" s="14">
        <f>IF('Données projet'!$A$62&gt;35,AI89+AH90-AQ89,IF(A90&lt;'Données projet'!$A$62,$AF$205^A90,IF(A90='Données projet'!$A$62,'Données projet'!$B$62,AI89+AH90-AQ89)))</f>
        <v>340.09999999999997</v>
      </c>
      <c r="AJ90" s="14">
        <f>AI90*VLOOKUP('Données projet'!$B$10,Paramètres!$A$1:$I$89,3,0)*VLOOKUP('Données projet'!$B$10,Paramètres!$A$1:$I$89,5,0)</f>
        <v>159.16679999999997</v>
      </c>
      <c r="AK90" s="14">
        <f t="shared" si="89"/>
        <v>40.654527752930747</v>
      </c>
      <c r="AL90" s="22">
        <f t="shared" si="58"/>
        <v>348.02214583635424</v>
      </c>
      <c r="AM90" s="62">
        <f t="shared" si="59"/>
        <v>641.35547916968756</v>
      </c>
      <c r="AN90" s="62">
        <f ca="1">AVERAGE(OFFSET($AM$3,0,0,'Données projet'!$E$10+1,1))-AVERAGE(OFFSET($H$3,0,0,'Données projet'!$E$10+1,1))</f>
        <v>160.81094423216069</v>
      </c>
      <c r="AO90" s="62">
        <f t="shared" si="90"/>
        <v>145.53871436439169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3.3923227109740952</v>
      </c>
      <c r="AV90" s="23">
        <f>EXP(-LN(2)/25)*AV89+(1-EXP(-LN(2)/25))/(LN(2)/25)*Calculateur!AQ90*Calculateur!AS90*VLOOKUP('Données projet'!$B$10,Paramètres!$A$1:$I$89,3,0)*0.475*44/12</f>
        <v>1.1642806887585504</v>
      </c>
      <c r="AW90" s="23">
        <f>EXP(-LN(2)/2)*AW89+(1-EXP(-LN(2)/2))/(LN(2)/2)*AQ90*AT90*VLOOKUP('Données projet'!$B$10,Paramètres!$A$1:$I$89,3,0)*0.475*44/12</f>
        <v>1.1255817294065771E-6</v>
      </c>
      <c r="AX90" s="23">
        <f t="shared" si="60"/>
        <v>4.5566045253143752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-1.2710188457276673E-13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374.67858373761965</v>
      </c>
      <c r="BJ90" s="62">
        <f t="shared" si="92"/>
        <v>468.38066974447543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4.139349238431473</v>
      </c>
      <c r="BQ90" s="23">
        <f>EXP(-LN(2)/25)*BQ89+(1-EXP(-LN(2)/25))/(LN(2)/25)*Calculateur!BL90*Calculateur!BN90*VLOOKUP('Données projet'!$B$11,Paramètres!$A$1:$I$89,3,0)*0.475*44/12</f>
        <v>2.9279081115057131</v>
      </c>
      <c r="BR90" s="23">
        <f>EXP(-LN(2)/2)*BR89+(1-EXP(-LN(2)/2))/(LN(2)/2)*BL90*BO90*VLOOKUP('Données projet'!$B$11,Paramètres!$A$1:$I$89,3,0)*0.475*44/12</f>
        <v>3.337500399183418E-8</v>
      </c>
      <c r="BS90" s="24">
        <f t="shared" si="63"/>
        <v>7.0672573833121906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8.3000000000000007</v>
      </c>
      <c r="AI91" s="14">
        <f>IF('Données projet'!$A$62&gt;35,AI90+AH91-AQ90,IF(A91&lt;'Données projet'!$A$62,$AF$205^A91,IF(A91='Données projet'!$A$62,'Données projet'!$B$62,AI90+AH91-AQ90)))</f>
        <v>348.4</v>
      </c>
      <c r="AJ91" s="14">
        <f>AI91*VLOOKUP('Données projet'!$B$10,Paramètres!$A$1:$I$89,3,0)*VLOOKUP('Données projet'!$B$10,Paramètres!$A$1:$I$89,5,0)</f>
        <v>163.05119999999999</v>
      </c>
      <c r="AK91" s="14">
        <f t="shared" si="89"/>
        <v>41.529963627394977</v>
      </c>
      <c r="AL91" s="22">
        <f t="shared" si="58"/>
        <v>356.31219331771285</v>
      </c>
      <c r="AM91" s="62">
        <f t="shared" si="59"/>
        <v>649.64552665104611</v>
      </c>
      <c r="AN91" s="62">
        <f ca="1">AVERAGE(OFFSET($AM$3,0,0,'Données projet'!$E$10+1,1))-AVERAGE(OFFSET($H$3,0,0,'Données projet'!$E$10+1,1))</f>
        <v>160.81094423216069</v>
      </c>
      <c r="AO91" s="62">
        <f t="shared" si="90"/>
        <v>145.53871436439169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3.3258013317244388</v>
      </c>
      <c r="AV91" s="23">
        <f>EXP(-LN(2)/25)*AV90+(1-EXP(-LN(2)/25))/(LN(2)/25)*Calculateur!AQ91*Calculateur!AS91*VLOOKUP('Données projet'!$B$10,Paramètres!$A$1:$I$89,3,0)*0.475*44/12</f>
        <v>1.1324433720975875</v>
      </c>
      <c r="AW91" s="23">
        <f>EXP(-LN(2)/2)*AW90+(1-EXP(-LN(2)/2))/(LN(2)/2)*AQ91*AT91*VLOOKUP('Données projet'!$B$10,Paramètres!$A$1:$I$89,3,0)*0.475*44/12</f>
        <v>7.9590647364307223E-7</v>
      </c>
      <c r="AX91" s="23">
        <f t="shared" si="60"/>
        <v>4.4582454997285001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-1.2710188457276673E-13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374.67858373761965</v>
      </c>
      <c r="BJ91" s="62">
        <f t="shared" si="92"/>
        <v>468.38066974447543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4.0581791246195689</v>
      </c>
      <c r="BQ91" s="23">
        <f>EXP(-LN(2)/25)*BQ90+(1-EXP(-LN(2)/25))/(LN(2)/25)*Calculateur!BL91*Calculateur!BN91*VLOOKUP('Données projet'!$B$11,Paramètres!$A$1:$I$89,3,0)*0.475*44/12</f>
        <v>2.8478443102245934</v>
      </c>
      <c r="BR91" s="23">
        <f>EXP(-LN(2)/2)*BR90+(1-EXP(-LN(2)/2))/(LN(2)/2)*BL91*BO91*VLOOKUP('Données projet'!$B$11,Paramètres!$A$1:$I$89,3,0)*0.475*44/12</f>
        <v>2.3599691644754042E-8</v>
      </c>
      <c r="BS91" s="24">
        <f t="shared" si="63"/>
        <v>6.9060234584438538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8.3000000000000007</v>
      </c>
      <c r="AI92" s="14">
        <f>IF('Données projet'!$A$62&gt;35,AI91+AH92-AQ91,IF(A92&lt;'Données projet'!$A$62,$AF$205^A92,IF(A92='Données projet'!$A$62,'Données projet'!$B$62,AI91+AH92-AQ91)))</f>
        <v>356.7</v>
      </c>
      <c r="AJ92" s="14">
        <f>AI92*VLOOKUP('Données projet'!$B$10,Paramètres!$A$1:$I$89,3,0)*VLOOKUP('Données projet'!$B$10,Paramètres!$A$1:$I$89,5,0)</f>
        <v>166.93559999999997</v>
      </c>
      <c r="AK92" s="14">
        <f t="shared" si="89"/>
        <v>42.402975021498193</v>
      </c>
      <c r="AL92" s="22">
        <f t="shared" si="58"/>
        <v>364.59801816244266</v>
      </c>
      <c r="AM92" s="62">
        <f t="shared" si="59"/>
        <v>657.93135149577597</v>
      </c>
      <c r="AN92" s="62">
        <f ca="1">AVERAGE(OFFSET($AM$3,0,0,'Données projet'!$E$10+1,1))-AVERAGE(OFFSET($H$3,0,0,'Données projet'!$E$10+1,1))</f>
        <v>160.81094423216069</v>
      </c>
      <c r="AO92" s="62">
        <f t="shared" si="90"/>
        <v>145.53871436439169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3.2605843961478334</v>
      </c>
      <c r="AV92" s="23">
        <f>EXP(-LN(2)/25)*AV91+(1-EXP(-LN(2)/25))/(LN(2)/25)*Calculateur!AQ92*Calculateur!AS92*VLOOKUP('Données projet'!$B$10,Paramètres!$A$1:$I$89,3,0)*0.475*44/12</f>
        <v>1.1014766485349703</v>
      </c>
      <c r="AW92" s="23">
        <f>EXP(-LN(2)/2)*AW91+(1-EXP(-LN(2)/2))/(LN(2)/2)*AQ92*AT92*VLOOKUP('Données projet'!$B$10,Paramètres!$A$1:$I$89,3,0)*0.475*44/12</f>
        <v>5.6279086470328853E-7</v>
      </c>
      <c r="AX92" s="23">
        <f t="shared" si="60"/>
        <v>4.3620616074736684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-1.2710188457276673E-13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374.67858373761965</v>
      </c>
      <c r="BJ92" s="62">
        <f t="shared" si="92"/>
        <v>468.38066974447543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3.9786007072306351</v>
      </c>
      <c r="BQ92" s="23">
        <f>EXP(-LN(2)/25)*BQ91+(1-EXP(-LN(2)/25))/(LN(2)/25)*Calculateur!BL92*Calculateur!BN92*VLOOKUP('Données projet'!$B$11,Paramètres!$A$1:$I$89,3,0)*0.475*44/12</f>
        <v>2.7699698577998784</v>
      </c>
      <c r="BR92" s="23">
        <f>EXP(-LN(2)/2)*BR91+(1-EXP(-LN(2)/2))/(LN(2)/2)*BL92*BO92*VLOOKUP('Données projet'!$B$11,Paramètres!$A$1:$I$89,3,0)*0.475*44/12</f>
        <v>1.668750199591709E-8</v>
      </c>
      <c r="BS92" s="24">
        <f t="shared" si="63"/>
        <v>6.7485705817180159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365</v>
      </c>
      <c r="AG93" s="13">
        <f>VLOOKUP(A93,'Données projet'!$A$61:$I$81,9,0)</f>
        <v>8.3000000000000007</v>
      </c>
      <c r="AH93" s="13">
        <f t="array" ref="AH93">INDEX(AG:AG,MIN(IF(ISNUMBER(AG93:AG289),ROW(AG93:AG289),"")))</f>
        <v>8.3000000000000007</v>
      </c>
      <c r="AI93" s="14">
        <f>IF('Données projet'!$A$62&gt;35,AI92+AH93-AQ92,IF(A93&lt;'Données projet'!$A$62,$AF$205^A93,IF(A93='Données projet'!$A$62,'Données projet'!$B$62,AI92+AH93-AQ92)))</f>
        <v>365</v>
      </c>
      <c r="AJ93" s="14">
        <f>AI93*VLOOKUP('Données projet'!$B$10,Paramètres!$A$1:$I$89,3,0)*VLOOKUP('Données projet'!$B$10,Paramètres!$A$1:$I$89,5,0)</f>
        <v>170.82000000000002</v>
      </c>
      <c r="AK93" s="14">
        <f t="shared" si="89"/>
        <v>43.273624843069463</v>
      </c>
      <c r="AL93" s="22">
        <f t="shared" si="58"/>
        <v>372.87972993501268</v>
      </c>
      <c r="AM93" s="62">
        <f t="shared" si="59"/>
        <v>666.21306326834599</v>
      </c>
      <c r="AN93" s="62">
        <f ca="1">AVERAGE(OFFSET($AM$3,0,0,'Données projet'!$E$10+1,1))-AVERAGE(OFFSET($H$3,0,0,'Données projet'!$E$10+1,1))</f>
        <v>160.81094423216069</v>
      </c>
      <c r="AO93" s="62">
        <f t="shared" si="90"/>
        <v>145.53871436439169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73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3.1966463248994823</v>
      </c>
      <c r="AV93" s="23">
        <f>EXP(-LN(2)/25)*AV92+(1-EXP(-LN(2)/25))/(LN(2)/25)*Calculateur!AQ93*Calculateur!AS93*VLOOKUP('Données projet'!$B$10,Paramètres!$A$1:$I$89,3,0)*0.475*44/12</f>
        <v>1.071356711656642</v>
      </c>
      <c r="AW93" s="23">
        <f>EXP(-LN(2)/2)*AW92+(1-EXP(-LN(2)/2))/(LN(2)/2)*AQ93*AT93*VLOOKUP('Données projet'!$B$10,Paramètres!$A$1:$I$89,3,0)*0.475*44/12</f>
        <v>3.9795323682153612E-7</v>
      </c>
      <c r="AX93" s="23">
        <f t="shared" si="60"/>
        <v>4.2680034345093611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-1.2710188457276673E-13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374.67858373761965</v>
      </c>
      <c r="BJ93" s="62">
        <f t="shared" si="92"/>
        <v>468.38066974447543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3.9005827740686563</v>
      </c>
      <c r="BQ93" s="23">
        <f>EXP(-LN(2)/25)*BQ92+(1-EXP(-LN(2)/25))/(LN(2)/25)*Calculateur!BL93*Calculateur!BN93*VLOOKUP('Données projet'!$B$11,Paramètres!$A$1:$I$89,3,0)*0.475*44/12</f>
        <v>2.6942248863719569</v>
      </c>
      <c r="BR93" s="23">
        <f>EXP(-LN(2)/2)*BR92+(1-EXP(-LN(2)/2))/(LN(2)/2)*BL93*BO93*VLOOKUP('Données projet'!$B$11,Paramètres!$A$1:$I$89,3,0)*0.475*44/12</f>
        <v>1.1799845822377021E-8</v>
      </c>
      <c r="BS93" s="24">
        <f t="shared" si="63"/>
        <v>6.5948076722404592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8.3000000000000007</v>
      </c>
      <c r="AI94" s="14">
        <f>IF('Données projet'!$A$62&gt;35,AI93+AH94-AQ93,IF(A94&lt;'Données projet'!$A$62,$AF$205^A94,IF(A94='Données projet'!$A$62,'Données projet'!$B$62,AI93+AH94-AQ93)))</f>
        <v>300.3</v>
      </c>
      <c r="AJ94" s="14">
        <f>AI94*VLOOKUP('Données projet'!$B$10,Paramètres!$A$1:$I$89,3,0)*VLOOKUP('Données projet'!$B$10,Paramètres!$A$1:$I$89,5,0)</f>
        <v>140.54040000000001</v>
      </c>
      <c r="AK94" s="14">
        <f t="shared" si="89"/>
        <v>36.420775774849901</v>
      </c>
      <c r="AL94" s="22">
        <f t="shared" si="58"/>
        <v>308.20738114119689</v>
      </c>
      <c r="AM94" s="62">
        <f t="shared" si="59"/>
        <v>601.5407144745302</v>
      </c>
      <c r="AN94" s="62">
        <f ca="1">AVERAGE(OFFSET($AM$3,0,0,'Données projet'!$E$10+1,1))-AVERAGE(OFFSET($H$3,0,0,'Données projet'!$E$10+1,1))</f>
        <v>160.81094423216069</v>
      </c>
      <c r="AO94" s="62">
        <f t="shared" si="90"/>
        <v>145.53871436439169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3.1339620402299389</v>
      </c>
      <c r="AV94" s="23">
        <f>EXP(-LN(2)/25)*AV93+(1-EXP(-LN(2)/25))/(LN(2)/25)*Calculateur!AQ94*Calculateur!AS94*VLOOKUP('Données projet'!$B$10,Paramètres!$A$1:$I$89,3,0)*0.475*44/12</f>
        <v>1.0420604060361902</v>
      </c>
      <c r="AW94" s="23">
        <f>EXP(-LN(2)/2)*AW93+(1-EXP(-LN(2)/2))/(LN(2)/2)*AQ94*AT94*VLOOKUP('Données projet'!$B$10,Paramètres!$A$1:$I$89,3,0)*0.475*44/12</f>
        <v>2.8139543235164426E-7</v>
      </c>
      <c r="AX94" s="23">
        <f t="shared" si="60"/>
        <v>4.1760227276615618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-1.2710188457276673E-13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374.67858373761965</v>
      </c>
      <c r="BJ94" s="62">
        <f t="shared" si="92"/>
        <v>468.38066974447543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3.8240947249897435</v>
      </c>
      <c r="BQ94" s="23">
        <f>EXP(-LN(2)/25)*BQ93+(1-EXP(-LN(2)/25))/(LN(2)/25)*Calculateur!BL94*Calculateur!BN94*VLOOKUP('Données projet'!$B$11,Paramètres!$A$1:$I$89,3,0)*0.475*44/12</f>
        <v>2.6205511651709865</v>
      </c>
      <c r="BR94" s="23">
        <f>EXP(-LN(2)/2)*BR93+(1-EXP(-LN(2)/2))/(LN(2)/2)*BL94*BO94*VLOOKUP('Données projet'!$B$11,Paramètres!$A$1:$I$89,3,0)*0.475*44/12</f>
        <v>8.3437509979585449E-9</v>
      </c>
      <c r="BS94" s="24">
        <f t="shared" si="63"/>
        <v>6.444645898504481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8.3000000000000007</v>
      </c>
      <c r="AI95" s="14">
        <f>IF('Données projet'!$A$62&gt;35,AI94+AH95-AQ94,IF(A95&lt;'Données projet'!$A$62,$AF$205^A95,IF(A95='Données projet'!$A$62,'Données projet'!$B$62,AI94+AH95-AQ94)))</f>
        <v>308.60000000000002</v>
      </c>
      <c r="AJ95" s="14">
        <f>AI95*VLOOKUP('Données projet'!$B$10,Paramètres!$A$1:$I$89,3,0)*VLOOKUP('Données projet'!$B$10,Paramètres!$A$1:$I$89,5,0)</f>
        <v>144.4248</v>
      </c>
      <c r="AK95" s="14">
        <f t="shared" si="89"/>
        <v>37.308822031923654</v>
      </c>
      <c r="AL95" s="22">
        <f t="shared" si="58"/>
        <v>316.51939170560036</v>
      </c>
      <c r="AM95" s="62">
        <f t="shared" si="59"/>
        <v>609.85272503893361</v>
      </c>
      <c r="AN95" s="62">
        <f ca="1">AVERAGE(OFFSET($AM$3,0,0,'Données projet'!$E$10+1,1))-AVERAGE(OFFSET($H$3,0,0,'Données projet'!$E$10+1,1))</f>
        <v>160.81094423216069</v>
      </c>
      <c r="AO95" s="62">
        <f t="shared" si="90"/>
        <v>145.53871436439169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3.0725069561491267</v>
      </c>
      <c r="AV95" s="23">
        <f>EXP(-LN(2)/25)*AV94+(1-EXP(-LN(2)/25))/(LN(2)/25)*Calculateur!AQ95*Calculateur!AS95*VLOOKUP('Données projet'!$B$10,Paramètres!$A$1:$I$89,3,0)*0.475*44/12</f>
        <v>1.0135652094335554</v>
      </c>
      <c r="AW95" s="23">
        <f>EXP(-LN(2)/2)*AW94+(1-EXP(-LN(2)/2))/(LN(2)/2)*AQ95*AT95*VLOOKUP('Données projet'!$B$10,Paramètres!$A$1:$I$89,3,0)*0.475*44/12</f>
        <v>1.9897661841076806E-7</v>
      </c>
      <c r="AX95" s="23">
        <f t="shared" si="60"/>
        <v>4.0860723645593007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-1.2710188457276673E-13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374.67858373761965</v>
      </c>
      <c r="BJ95" s="62">
        <f t="shared" si="92"/>
        <v>468.38066974447543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3.7491065599001647</v>
      </c>
      <c r="BQ95" s="23">
        <f>EXP(-LN(2)/25)*BQ94+(1-EXP(-LN(2)/25))/(LN(2)/25)*Calculateur!BL95*Calculateur!BN95*VLOOKUP('Données projet'!$B$11,Paramètres!$A$1:$I$89,3,0)*0.475*44/12</f>
        <v>2.5488920557505894</v>
      </c>
      <c r="BR95" s="23">
        <f>EXP(-LN(2)/2)*BR94+(1-EXP(-LN(2)/2))/(LN(2)/2)*BL95*BO95*VLOOKUP('Données projet'!$B$11,Paramètres!$A$1:$I$89,3,0)*0.475*44/12</f>
        <v>5.8999229111885104E-9</v>
      </c>
      <c r="BS95" s="24">
        <f t="shared" si="63"/>
        <v>6.2979986215506774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8.3000000000000007</v>
      </c>
      <c r="AI96" s="14">
        <f>IF('Données projet'!$A$62&gt;35,AI95+AH96-AQ95,IF(A96&lt;'Données projet'!$A$62,$AF$205^A96,IF(A96='Données projet'!$A$62,'Données projet'!$B$62,AI95+AH96-AQ95)))</f>
        <v>316.90000000000003</v>
      </c>
      <c r="AJ96" s="14">
        <f>AI96*VLOOKUP('Données projet'!$B$10,Paramètres!$A$1:$I$89,3,0)*VLOOKUP('Données projet'!$B$10,Paramètres!$A$1:$I$89,5,0)</f>
        <v>148.3092</v>
      </c>
      <c r="AK96" s="14">
        <f t="shared" si="89"/>
        <v>38.194092116566551</v>
      </c>
      <c r="AL96" s="22">
        <f t="shared" si="58"/>
        <v>324.82656710302007</v>
      </c>
      <c r="AM96" s="62">
        <f t="shared" si="59"/>
        <v>618.15990043635338</v>
      </c>
      <c r="AN96" s="62">
        <f ca="1">AVERAGE(OFFSET($AM$3,0,0,'Données projet'!$E$10+1,1))-AVERAGE(OFFSET($H$3,0,0,'Données projet'!$E$10+1,1))</f>
        <v>160.81094423216069</v>
      </c>
      <c r="AO96" s="62">
        <f t="shared" si="90"/>
        <v>145.53871436439169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3.0122569687832392</v>
      </c>
      <c r="AV96" s="23">
        <f>EXP(-LN(2)/25)*AV95+(1-EXP(-LN(2)/25))/(LN(2)/25)*Calculateur!AQ96*Calculateur!AS96*VLOOKUP('Données projet'!$B$10,Paramètres!$A$1:$I$89,3,0)*0.475*44/12</f>
        <v>0.98584921548051707</v>
      </c>
      <c r="AW96" s="23">
        <f>EXP(-LN(2)/2)*AW95+(1-EXP(-LN(2)/2))/(LN(2)/2)*AQ96*AT96*VLOOKUP('Données projet'!$B$10,Paramètres!$A$1:$I$89,3,0)*0.475*44/12</f>
        <v>1.4069771617582213E-7</v>
      </c>
      <c r="AX96" s="23">
        <f t="shared" si="60"/>
        <v>3.9981063249614723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-1.2710188457276673E-13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374.67858373761965</v>
      </c>
      <c r="BJ96" s="62">
        <f t="shared" si="92"/>
        <v>468.38066974447543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3.6755888669897283</v>
      </c>
      <c r="BQ96" s="23">
        <f>EXP(-LN(2)/25)*BQ95+(1-EXP(-LN(2)/25))/(LN(2)/25)*Calculateur!BL96*Calculateur!BN96*VLOOKUP('Données projet'!$B$11,Paramètres!$A$1:$I$89,3,0)*0.475*44/12</f>
        <v>2.4791924684456821</v>
      </c>
      <c r="BR96" s="23">
        <f>EXP(-LN(2)/2)*BR95+(1-EXP(-LN(2)/2))/(LN(2)/2)*BL96*BO96*VLOOKUP('Données projet'!$B$11,Paramètres!$A$1:$I$89,3,0)*0.475*44/12</f>
        <v>4.1718754989792724E-9</v>
      </c>
      <c r="BS96" s="24">
        <f t="shared" si="63"/>
        <v>6.1547813396072861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8.3000000000000007</v>
      </c>
      <c r="AI97" s="14">
        <f>IF('Données projet'!$A$62&gt;35,AI96+AH97-AQ96,IF(A97&lt;'Données projet'!$A$62,$AF$205^A97,IF(A97='Données projet'!$A$62,'Données projet'!$B$62,AI96+AH97-AQ96)))</f>
        <v>325.20000000000005</v>
      </c>
      <c r="AJ97" s="14">
        <f>AI97*VLOOKUP('Données projet'!$B$10,Paramètres!$A$1:$I$89,3,0)*VLOOKUP('Données projet'!$B$10,Paramètres!$A$1:$I$89,5,0)</f>
        <v>152.19360000000003</v>
      </c>
      <c r="AK97" s="14">
        <f t="shared" si="89"/>
        <v>39.076667098894909</v>
      </c>
      <c r="AL97" s="22">
        <f t="shared" si="58"/>
        <v>333.1290485305754</v>
      </c>
      <c r="AM97" s="62">
        <f t="shared" si="59"/>
        <v>626.46238186390872</v>
      </c>
      <c r="AN97" s="62">
        <f ca="1">AVERAGE(OFFSET($AM$3,0,0,'Données projet'!$E$10+1,1))-AVERAGE(OFFSET($H$3,0,0,'Données projet'!$E$10+1,1))</f>
        <v>160.81094423216069</v>
      </c>
      <c r="AO97" s="62">
        <f t="shared" si="90"/>
        <v>145.53871436439169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2.9531884469207332</v>
      </c>
      <c r="AV97" s="23">
        <f>EXP(-LN(2)/25)*AV96+(1-EXP(-LN(2)/25))/(LN(2)/25)*Calculateur!AQ97*Calculateur!AS97*VLOOKUP('Données projet'!$B$10,Paramètres!$A$1:$I$89,3,0)*0.475*44/12</f>
        <v>0.95889111683964523</v>
      </c>
      <c r="AW97" s="23">
        <f>EXP(-LN(2)/2)*AW96+(1-EXP(-LN(2)/2))/(LN(2)/2)*AQ97*AT97*VLOOKUP('Données projet'!$B$10,Paramètres!$A$1:$I$89,3,0)*0.475*44/12</f>
        <v>9.9488309205384029E-8</v>
      </c>
      <c r="AX97" s="23">
        <f t="shared" si="60"/>
        <v>3.9120796632486874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-1.2710188457276673E-13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374.67858373761965</v>
      </c>
      <c r="BJ97" s="62">
        <f t="shared" si="92"/>
        <v>468.38066974447543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3.6035128111959005</v>
      </c>
      <c r="BQ97" s="23">
        <f>EXP(-LN(2)/25)*BQ96+(1-EXP(-LN(2)/25))/(LN(2)/25)*Calculateur!BL97*Calculateur!BN97*VLOOKUP('Données projet'!$B$11,Paramètres!$A$1:$I$89,3,0)*0.475*44/12</f>
        <v>2.4113988200209691</v>
      </c>
      <c r="BR97" s="23">
        <f>EXP(-LN(2)/2)*BR96+(1-EXP(-LN(2)/2))/(LN(2)/2)*BL97*BO97*VLOOKUP('Données projet'!$B$11,Paramètres!$A$1:$I$89,3,0)*0.475*44/12</f>
        <v>2.9499614555942552E-9</v>
      </c>
      <c r="BS97" s="24">
        <f t="shared" si="63"/>
        <v>6.0149116341668307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8.3000000000000007</v>
      </c>
      <c r="AI98" s="14">
        <f>IF('Données projet'!$A$62&gt;35,AI97+AH98-AQ97,IF(A98&lt;'Données projet'!$A$62,$AF$205^A98,IF(A98='Données projet'!$A$62,'Données projet'!$B$62,AI97+AH98-AQ97)))</f>
        <v>333.50000000000006</v>
      </c>
      <c r="AJ98" s="14">
        <f>AI98*VLOOKUP('Données projet'!$B$10,Paramètres!$A$1:$I$89,3,0)*VLOOKUP('Données projet'!$B$10,Paramètres!$A$1:$I$89,5,0)</f>
        <v>156.07800000000003</v>
      </c>
      <c r="AK98" s="14">
        <f t="shared" si="89"/>
        <v>39.956623674978466</v>
      </c>
      <c r="AL98" s="22">
        <f t="shared" si="58"/>
        <v>341.42696956725422</v>
      </c>
      <c r="AM98" s="62">
        <f t="shared" si="59"/>
        <v>634.76030290058748</v>
      </c>
      <c r="AN98" s="62">
        <f ca="1">AVERAGE(OFFSET($AM$3,0,0,'Données projet'!$E$10+1,1))-AVERAGE(OFFSET($H$3,0,0,'Données projet'!$E$10+1,1))</f>
        <v>160.81094423216069</v>
      </c>
      <c r="AO98" s="62">
        <f t="shared" si="90"/>
        <v>145.53871436439169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2.8952782227437099</v>
      </c>
      <c r="AV98" s="23">
        <f>EXP(-LN(2)/25)*AV97+(1-EXP(-LN(2)/25))/(LN(2)/25)*Calculateur!AQ98*Calculateur!AS98*VLOOKUP('Données projet'!$B$10,Paramètres!$A$1:$I$89,3,0)*0.475*44/12</f>
        <v>0.93267018882377284</v>
      </c>
      <c r="AW98" s="23">
        <f>EXP(-LN(2)/2)*AW97+(1-EXP(-LN(2)/2))/(LN(2)/2)*AQ98*AT98*VLOOKUP('Données projet'!$B$10,Paramètres!$A$1:$I$89,3,0)*0.475*44/12</f>
        <v>7.0348858087911066E-8</v>
      </c>
      <c r="AX98" s="23">
        <f t="shared" si="60"/>
        <v>3.8279484819163412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-1.2710188457276673E-13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374.67858373761965</v>
      </c>
      <c r="BJ98" s="62">
        <f t="shared" si="92"/>
        <v>468.38066974447543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3.5328501228941365</v>
      </c>
      <c r="BQ98" s="23">
        <f>EXP(-LN(2)/25)*BQ97+(1-EXP(-LN(2)/25))/(LN(2)/25)*Calculateur!BL98*Calculateur!BN98*VLOOKUP('Données projet'!$B$11,Paramètres!$A$1:$I$89,3,0)*0.475*44/12</f>
        <v>2.3454589924775431</v>
      </c>
      <c r="BR98" s="23">
        <f>EXP(-LN(2)/2)*BR97+(1-EXP(-LN(2)/2))/(LN(2)/2)*BL98*BO98*VLOOKUP('Données projet'!$B$11,Paramètres!$A$1:$I$89,3,0)*0.475*44/12</f>
        <v>2.0859377494896362E-9</v>
      </c>
      <c r="BS98" s="24">
        <f t="shared" si="63"/>
        <v>5.8783091174576176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8.3000000000000007</v>
      </c>
      <c r="AI99" s="14">
        <f>IF('Données projet'!$A$62&gt;35,AI98+AH99-AQ98,IF(A99&lt;'Données projet'!$A$62,$AF$205^A99,IF(A99='Données projet'!$A$62,'Données projet'!$B$62,AI98+AH99-AQ98)))</f>
        <v>341.80000000000007</v>
      </c>
      <c r="AJ99" s="14">
        <f>AI99*VLOOKUP('Données projet'!$B$10,Paramètres!$A$1:$I$89,3,0)*VLOOKUP('Données projet'!$B$10,Paramètres!$A$1:$I$89,5,0)</f>
        <v>159.96240000000003</v>
      </c>
      <c r="AK99" s="14">
        <f t="shared" si="89"/>
        <v>40.834034505739851</v>
      </c>
      <c r="AL99" s="22">
        <f t="shared" si="58"/>
        <v>349.7204567641636</v>
      </c>
      <c r="AM99" s="62">
        <f t="shared" si="59"/>
        <v>643.05379009749686</v>
      </c>
      <c r="AN99" s="62">
        <f ca="1">AVERAGE(OFFSET($AM$3,0,0,'Données projet'!$E$10+1,1))-AVERAGE(OFFSET($H$3,0,0,'Données projet'!$E$10+1,1))</f>
        <v>160.81094423216069</v>
      </c>
      <c r="AO99" s="62">
        <f t="shared" si="90"/>
        <v>145.53871436439169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2.838503582741049</v>
      </c>
      <c r="AV99" s="23">
        <f>EXP(-LN(2)/25)*AV98+(1-EXP(-LN(2)/25))/(LN(2)/25)*Calculateur!AQ99*Calculateur!AS99*VLOOKUP('Données projet'!$B$10,Paramètres!$A$1:$I$89,3,0)*0.475*44/12</f>
        <v>0.90716627346339318</v>
      </c>
      <c r="AW99" s="23">
        <f>EXP(-LN(2)/2)*AW98+(1-EXP(-LN(2)/2))/(LN(2)/2)*AQ99*AT99*VLOOKUP('Données projet'!$B$10,Paramètres!$A$1:$I$89,3,0)*0.475*44/12</f>
        <v>4.9744154602692015E-8</v>
      </c>
      <c r="AX99" s="23">
        <f t="shared" si="60"/>
        <v>3.7456699059485965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-1.2710188457276673E-13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374.67858373761965</v>
      </c>
      <c r="BJ99" s="62">
        <f t="shared" si="92"/>
        <v>468.38066974447543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3.4635730868099861</v>
      </c>
      <c r="BQ99" s="23">
        <f>EXP(-LN(2)/25)*BQ98+(1-EXP(-LN(2)/25))/(LN(2)/25)*Calculateur!BL99*Calculateur!BN99*VLOOKUP('Données projet'!$B$11,Paramètres!$A$1:$I$89,3,0)*0.475*44/12</f>
        <v>2.2813222929859167</v>
      </c>
      <c r="BR99" s="23">
        <f>EXP(-LN(2)/2)*BR98+(1-EXP(-LN(2)/2))/(LN(2)/2)*BL99*BO99*VLOOKUP('Données projet'!$B$11,Paramètres!$A$1:$I$89,3,0)*0.475*44/12</f>
        <v>1.4749807277971276E-9</v>
      </c>
      <c r="BS99" s="24">
        <f t="shared" si="63"/>
        <v>5.7448953812708838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8.3000000000000007</v>
      </c>
      <c r="AI100" s="14">
        <f>IF('Données projet'!$A$62&gt;35,AI99+AH100-AQ99,IF(A100&lt;'Données projet'!$A$62,$AF$205^A100,IF(A100='Données projet'!$A$62,'Données projet'!$B$62,AI99+AH100-AQ99)))</f>
        <v>350.10000000000008</v>
      </c>
      <c r="AJ100" s="14">
        <f>AI100*VLOOKUP('Données projet'!$B$10,Paramètres!$A$1:$I$89,3,0)*VLOOKUP('Données projet'!$B$10,Paramètres!$A$1:$I$89,5,0)</f>
        <v>163.84680000000003</v>
      </c>
      <c r="AK100" s="14">
        <f t="shared" si="89"/>
        <v>41.708968522008732</v>
      </c>
      <c r="AL100" s="22">
        <f t="shared" si="58"/>
        <v>358.00963017583189</v>
      </c>
      <c r="AM100" s="62">
        <f t="shared" si="59"/>
        <v>651.3429635091652</v>
      </c>
      <c r="AN100" s="62">
        <f ca="1">AVERAGE(OFFSET($AM$3,0,0,'Données projet'!$E$10+1,1))-AVERAGE(OFFSET($H$3,0,0,'Données projet'!$E$10+1,1))</f>
        <v>160.81094423216069</v>
      </c>
      <c r="AO100" s="62">
        <f t="shared" si="90"/>
        <v>145.53871436439169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2.7828422587997292</v>
      </c>
      <c r="AV100" s="23">
        <f>EXP(-LN(2)/25)*AV99+(1-EXP(-LN(2)/25))/(LN(2)/25)*Calculateur!AQ100*Calculateur!AS100*VLOOKUP('Données projet'!$B$10,Paramètres!$A$1:$I$89,3,0)*0.475*44/12</f>
        <v>0.8823597640097357</v>
      </c>
      <c r="AW100" s="23">
        <f>EXP(-LN(2)/2)*AW99+(1-EXP(-LN(2)/2))/(LN(2)/2)*AQ100*AT100*VLOOKUP('Données projet'!$B$10,Paramètres!$A$1:$I$89,3,0)*0.475*44/12</f>
        <v>3.5174429043955533E-8</v>
      </c>
      <c r="AX100" s="23">
        <f t="shared" si="60"/>
        <v>3.665202057983894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-1.2710188457276673E-13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374.67858373761965</v>
      </c>
      <c r="BJ100" s="62">
        <f t="shared" si="92"/>
        <v>468.38066974447543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3.3956545311486264</v>
      </c>
      <c r="BQ100" s="23">
        <f>EXP(-LN(2)/25)*BQ99+(1-EXP(-LN(2)/25))/(LN(2)/25)*Calculateur!BL100*Calculateur!BN100*VLOOKUP('Données projet'!$B$11,Paramètres!$A$1:$I$89,3,0)*0.475*44/12</f>
        <v>2.2189394149146913</v>
      </c>
      <c r="BR100" s="23">
        <f>EXP(-LN(2)/2)*BR99+(1-EXP(-LN(2)/2))/(LN(2)/2)*BL100*BO100*VLOOKUP('Données projet'!$B$11,Paramètres!$A$1:$I$89,3,0)*0.475*44/12</f>
        <v>1.0429688747448181E-9</v>
      </c>
      <c r="BS100" s="24">
        <f t="shared" si="63"/>
        <v>5.6145939471062869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8.3000000000000007</v>
      </c>
      <c r="AI101" s="14">
        <f>IF('Données projet'!$A$62&gt;35,AI100+AH101-AQ100,IF(A101&lt;'Données projet'!$A$62,$AF$205^A101,IF(A101='Données projet'!$A$62,'Données projet'!$B$62,AI100+AH101-AQ100)))</f>
        <v>358.40000000000009</v>
      </c>
      <c r="AJ101" s="14">
        <f>AI101*VLOOKUP('Données projet'!$B$10,Paramètres!$A$1:$I$89,3,0)*VLOOKUP('Données projet'!$B$10,Paramètres!$A$1:$I$89,5,0)</f>
        <v>167.73120000000006</v>
      </c>
      <c r="AK101" s="14">
        <f t="shared" si="89"/>
        <v>42.581491199832655</v>
      </c>
      <c r="AL101" s="22">
        <f t="shared" si="58"/>
        <v>366.29460383970871</v>
      </c>
      <c r="AM101" s="62">
        <f t="shared" si="59"/>
        <v>659.62793717304203</v>
      </c>
      <c r="AN101" s="62">
        <f ca="1">AVERAGE(OFFSET($AM$3,0,0,'Données projet'!$E$10+1,1))-AVERAGE(OFFSET($H$3,0,0,'Données projet'!$E$10+1,1))</f>
        <v>160.81094423216069</v>
      </c>
      <c r="AO101" s="62">
        <f t="shared" si="90"/>
        <v>145.53871436439169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2.7282724194708434</v>
      </c>
      <c r="AV101" s="23">
        <f>EXP(-LN(2)/25)*AV100+(1-EXP(-LN(2)/25))/(LN(2)/25)*Calculateur!AQ101*Calculateur!AS101*VLOOKUP('Données projet'!$B$10,Paramètres!$A$1:$I$89,3,0)*0.475*44/12</f>
        <v>0.85823158986160619</v>
      </c>
      <c r="AW101" s="23">
        <f>EXP(-LN(2)/2)*AW100+(1-EXP(-LN(2)/2))/(LN(2)/2)*AQ101*AT101*VLOOKUP('Données projet'!$B$10,Paramètres!$A$1:$I$89,3,0)*0.475*44/12</f>
        <v>2.4872077301346007E-8</v>
      </c>
      <c r="AX101" s="23">
        <f t="shared" si="60"/>
        <v>3.5865040342045269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-1.2710188457276673E-13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374.67858373761965</v>
      </c>
      <c r="BJ101" s="62">
        <f t="shared" si="92"/>
        <v>468.38066974447543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3.3290678169375574</v>
      </c>
      <c r="BQ101" s="23">
        <f>EXP(-LN(2)/25)*BQ100+(1-EXP(-LN(2)/25))/(LN(2)/25)*Calculateur!BL101*Calculateur!BN101*VLOOKUP('Données projet'!$B$11,Paramètres!$A$1:$I$89,3,0)*0.475*44/12</f>
        <v>2.1582623999248969</v>
      </c>
      <c r="BR101" s="23">
        <f>EXP(-LN(2)/2)*BR100+(1-EXP(-LN(2)/2))/(LN(2)/2)*BL101*BO101*VLOOKUP('Données projet'!$B$11,Paramètres!$A$1:$I$89,3,0)*0.475*44/12</f>
        <v>7.3749036389856381E-10</v>
      </c>
      <c r="BS101" s="24">
        <f t="shared" si="63"/>
        <v>5.4873302175999443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8.3000000000000007</v>
      </c>
      <c r="AI102" s="14">
        <f>IF('Données projet'!$A$62&gt;35,AI101+AH102-AQ101,IF(A102&lt;'Données projet'!$A$62,$AF$205^A102,IF(A102='Données projet'!$A$62,'Données projet'!$B$62,AI101+AH102-AQ101)))</f>
        <v>366.7000000000001</v>
      </c>
      <c r="AJ102" s="14">
        <f>AI102*VLOOKUP('Données projet'!$B$10,Paramètres!$A$1:$I$89,3,0)*VLOOKUP('Données projet'!$B$10,Paramètres!$A$1:$I$89,5,0)</f>
        <v>171.61560000000006</v>
      </c>
      <c r="AK102" s="14">
        <f t="shared" si="89"/>
        <v>43.45166480956653</v>
      </c>
      <c r="AL102" s="22">
        <f t="shared" si="58"/>
        <v>374.57548620999506</v>
      </c>
      <c r="AM102" s="62">
        <f t="shared" si="59"/>
        <v>667.90881954332838</v>
      </c>
      <c r="AN102" s="62">
        <f ca="1">AVERAGE(OFFSET($AM$3,0,0,'Données projet'!$E$10+1,1))-AVERAGE(OFFSET($H$3,0,0,'Données projet'!$E$10+1,1))</f>
        <v>160.81094423216069</v>
      </c>
      <c r="AO102" s="62">
        <f t="shared" si="90"/>
        <v>145.53871436439169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2.6747726614068816</v>
      </c>
      <c r="AV102" s="23">
        <f>EXP(-LN(2)/25)*AV101+(1-EXP(-LN(2)/25))/(LN(2)/25)*Calculateur!AQ102*Calculateur!AS102*VLOOKUP('Données projet'!$B$10,Paramètres!$A$1:$I$89,3,0)*0.475*44/12</f>
        <v>0.83476320190440279</v>
      </c>
      <c r="AW102" s="23">
        <f>EXP(-LN(2)/2)*AW101+(1-EXP(-LN(2)/2))/(LN(2)/2)*AQ102*AT102*VLOOKUP('Données projet'!$B$10,Paramètres!$A$1:$I$89,3,0)*0.475*44/12</f>
        <v>1.7587214521977766E-8</v>
      </c>
      <c r="AX102" s="23">
        <f t="shared" si="60"/>
        <v>3.5095358808984987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-1.2710188457276673E-13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374.67858373761965</v>
      </c>
      <c r="BJ102" s="62">
        <f t="shared" si="92"/>
        <v>468.38066974447543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3.263786827578282</v>
      </c>
      <c r="BQ102" s="23">
        <f>EXP(-LN(2)/25)*BQ101+(1-EXP(-LN(2)/25))/(LN(2)/25)*Calculateur!BL102*Calculateur!BN102*VLOOKUP('Données projet'!$B$11,Paramètres!$A$1:$I$89,3,0)*0.475*44/12</f>
        <v>2.0992446011008639</v>
      </c>
      <c r="BR102" s="23">
        <f>EXP(-LN(2)/2)*BR101+(1-EXP(-LN(2)/2))/(LN(2)/2)*BL102*BO102*VLOOKUP('Données projet'!$B$11,Paramètres!$A$1:$I$89,3,0)*0.475*44/12</f>
        <v>5.2148443737240906E-10</v>
      </c>
      <c r="BS102" s="24">
        <f t="shared" si="63"/>
        <v>5.36303142920063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375</v>
      </c>
      <c r="AG103" s="13">
        <f>VLOOKUP(A103,'Données projet'!$A$61:$I$81,9,0)</f>
        <v>8.3000000000000007</v>
      </c>
      <c r="AH103" s="13">
        <f t="array" ref="AH103">INDEX(AG:AG,MIN(IF(ISNUMBER(AG103:AG299),ROW(AG103:AG299),"")))</f>
        <v>8.3000000000000007</v>
      </c>
      <c r="AI103" s="14">
        <f>IF('Données projet'!$A$62&gt;35,AI102+AH103-AQ102,IF(A103&lt;'Données projet'!$A$62,$AF$205^A103,IF(A103='Données projet'!$A$62,'Données projet'!$B$62,AI102+AH103-AQ102)))</f>
        <v>375.00000000000011</v>
      </c>
      <c r="AJ103" s="14">
        <f>AI103*VLOOKUP('Données projet'!$B$10,Paramètres!$A$1:$I$89,3,0)*VLOOKUP('Données projet'!$B$10,Paramètres!$A$1:$I$89,5,0)</f>
        <v>175.50000000000006</v>
      </c>
      <c r="AK103" s="14">
        <f t="shared" si="89"/>
        <v>44.319548641773906</v>
      </c>
      <c r="AL103" s="22">
        <f t="shared" si="58"/>
        <v>382.85238055108965</v>
      </c>
      <c r="AM103" s="62">
        <f t="shared" si="59"/>
        <v>676.18571388442297</v>
      </c>
      <c r="AN103" s="62">
        <f ca="1">AVERAGE(OFFSET($AM$3,0,0,'Données projet'!$E$10+1,1))-AVERAGE(OFFSET($H$3,0,0,'Données projet'!$E$10+1,1))</f>
        <v>160.81094423216069</v>
      </c>
      <c r="AO103" s="62">
        <f t="shared" si="90"/>
        <v>145.53871436439169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375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2.6223220009669239</v>
      </c>
      <c r="AV103" s="23">
        <f>EXP(-LN(2)/25)*AV102+(1-EXP(-LN(2)/25))/(LN(2)/25)*Calculateur!AQ103*Calculateur!AS103*VLOOKUP('Données projet'!$B$10,Paramètres!$A$1:$I$89,3,0)*0.475*44/12</f>
        <v>0.81193655825003797</v>
      </c>
      <c r="AW103" s="23">
        <f>EXP(-LN(2)/2)*AW102+(1-EXP(-LN(2)/2))/(LN(2)/2)*AQ103*AT103*VLOOKUP('Données projet'!$B$10,Paramètres!$A$1:$I$89,3,0)*0.475*44/12</f>
        <v>1.2436038650673004E-8</v>
      </c>
      <c r="AX103" s="23">
        <f t="shared" si="60"/>
        <v>3.4342585716530007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-1.2710188457276673E-13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374.67858373761965</v>
      </c>
      <c r="BJ103" s="62">
        <f t="shared" si="92"/>
        <v>468.38066974447543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3.1997859586028699</v>
      </c>
      <c r="BQ103" s="23">
        <f>EXP(-LN(2)/25)*BQ102+(1-EXP(-LN(2)/25))/(LN(2)/25)*Calculateur!BL103*Calculateur!BN103*VLOOKUP('Données projet'!$B$11,Paramètres!$A$1:$I$89,3,0)*0.475*44/12</f>
        <v>2.0418406470892849</v>
      </c>
      <c r="BR103" s="23">
        <f>EXP(-LN(2)/2)*BR102+(1-EXP(-LN(2)/2))/(LN(2)/2)*BL103*BO103*VLOOKUP('Données projet'!$B$11,Paramètres!$A$1:$I$89,3,0)*0.475*44/12</f>
        <v>3.687451819492819E-10</v>
      </c>
      <c r="BS103" s="24">
        <f t="shared" si="63"/>
        <v>5.2416266060608994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5.3205440053716299E-14</v>
      </c>
      <c r="AK104" s="14">
        <f t="shared" si="89"/>
        <v>8.602146238565607E-13</v>
      </c>
      <c r="AL104" s="22">
        <f t="shared" si="58"/>
        <v>1.590873277977066E-12</v>
      </c>
      <c r="AM104" s="62">
        <f t="shared" si="59"/>
        <v>293.33333333333491</v>
      </c>
      <c r="AN104" s="62">
        <f ca="1">AVERAGE(OFFSET($AM$3,0,0,'Données projet'!$E$10+1,1))-AVERAGE(OFFSET($H$3,0,0,'Données projet'!$E$10+1,1))</f>
        <v>160.81094423216069</v>
      </c>
      <c r="AO104" s="62">
        <f t="shared" si="90"/>
        <v>145.53871436439169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2.5708998659864499</v>
      </c>
      <c r="AV104" s="23">
        <f>EXP(-LN(2)/25)*AV103+(1-EXP(-LN(2)/25))/(LN(2)/25)*Calculateur!AQ104*Calculateur!AS104*VLOOKUP('Données projet'!$B$10,Paramètres!$A$1:$I$89,3,0)*0.475*44/12</f>
        <v>0.78973411036680274</v>
      </c>
      <c r="AW104" s="23">
        <f>EXP(-LN(2)/2)*AW103+(1-EXP(-LN(2)/2))/(LN(2)/2)*AQ104*AT104*VLOOKUP('Données projet'!$B$10,Paramètres!$A$1:$I$89,3,0)*0.475*44/12</f>
        <v>8.7936072609888832E-9</v>
      </c>
      <c r="AX104" s="23">
        <f t="shared" si="60"/>
        <v>3.3606339851468596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-1.2710188457276673E-13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374.67858373761965</v>
      </c>
      <c r="BJ104" s="62">
        <f t="shared" si="92"/>
        <v>468.38066974447543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3.1370401076313903</v>
      </c>
      <c r="BQ104" s="23">
        <f>EXP(-LN(2)/25)*BQ103+(1-EXP(-LN(2)/25))/(LN(2)/25)*Calculateur!BL104*Calculateur!BN104*VLOOKUP('Données projet'!$B$11,Paramètres!$A$1:$I$89,3,0)*0.475*44/12</f>
        <v>1.9860064072188954</v>
      </c>
      <c r="BR104" s="23">
        <f>EXP(-LN(2)/2)*BR103+(1-EXP(-LN(2)/2))/(LN(2)/2)*BL104*BO104*VLOOKUP('Données projet'!$B$11,Paramètres!$A$1:$I$89,3,0)*0.475*44/12</f>
        <v>2.6074221868620453E-10</v>
      </c>
      <c r="BS104" s="24">
        <f t="shared" si="63"/>
        <v>5.123046515111028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5.3205440053716299E-14</v>
      </c>
      <c r="AK105" s="14">
        <f t="shared" si="89"/>
        <v>8.602146238565607E-13</v>
      </c>
      <c r="AL105" s="22">
        <f t="shared" si="58"/>
        <v>1.590873277977066E-12</v>
      </c>
      <c r="AM105" s="62">
        <f t="shared" si="59"/>
        <v>293.33333333333491</v>
      </c>
      <c r="AN105" s="62">
        <f ca="1">AVERAGE(OFFSET($AM$3,0,0,'Données projet'!$E$10+1,1))-AVERAGE(OFFSET($H$3,0,0,'Données projet'!$E$10+1,1))</f>
        <v>160.81094423216069</v>
      </c>
      <c r="AO105" s="62">
        <f t="shared" si="90"/>
        <v>145.53871436439169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2.5204860877085373</v>
      </c>
      <c r="AV105" s="23">
        <f>EXP(-LN(2)/25)*AV104+(1-EXP(-LN(2)/25))/(LN(2)/25)*Calculateur!AQ105*Calculateur!AS105*VLOOKUP('Données projet'!$B$10,Paramètres!$A$1:$I$89,3,0)*0.475*44/12</f>
        <v>0.76813878958851067</v>
      </c>
      <c r="AW105" s="23">
        <f>EXP(-LN(2)/2)*AW104+(1-EXP(-LN(2)/2))/(LN(2)/2)*AQ105*AT105*VLOOKUP('Données projet'!$B$10,Paramètres!$A$1:$I$89,3,0)*0.475*44/12</f>
        <v>6.2180193253365018E-9</v>
      </c>
      <c r="AX105" s="23">
        <f t="shared" si="60"/>
        <v>3.2886248835150673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-1.2710188457276673E-13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374.67858373761965</v>
      </c>
      <c r="BJ105" s="62">
        <f t="shared" si="92"/>
        <v>468.38066974447543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3.0755246645262715</v>
      </c>
      <c r="BQ105" s="23">
        <f>EXP(-LN(2)/25)*BQ104+(1-EXP(-LN(2)/25))/(LN(2)/25)*Calculateur!BL105*Calculateur!BN105*VLOOKUP('Données projet'!$B$11,Paramètres!$A$1:$I$89,3,0)*0.475*44/12</f>
        <v>1.9316989575739569</v>
      </c>
      <c r="BR105" s="23">
        <f>EXP(-LN(2)/2)*BR104+(1-EXP(-LN(2)/2))/(LN(2)/2)*BL105*BO105*VLOOKUP('Données projet'!$B$11,Paramètres!$A$1:$I$89,3,0)*0.475*44/12</f>
        <v>1.8437259097464095E-10</v>
      </c>
      <c r="BS105" s="24">
        <f t="shared" si="63"/>
        <v>5.0072236222846014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5.3205440053716299E-14</v>
      </c>
      <c r="AK106" s="14">
        <f t="shared" si="89"/>
        <v>8.602146238565607E-13</v>
      </c>
      <c r="AL106" s="22">
        <f t="shared" si="58"/>
        <v>1.590873277977066E-12</v>
      </c>
      <c r="AM106" s="62">
        <f t="shared" si="59"/>
        <v>293.33333333333491</v>
      </c>
      <c r="AN106" s="62">
        <f ca="1">AVERAGE(OFFSET($AM$3,0,0,'Données projet'!$E$10+1,1))-AVERAGE(OFFSET($H$3,0,0,'Données projet'!$E$10+1,1))</f>
        <v>160.81094423216069</v>
      </c>
      <c r="AO106" s="62">
        <f t="shared" si="90"/>
        <v>145.53871436439169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2.471060892873286</v>
      </c>
      <c r="AV106" s="23">
        <f>EXP(-LN(2)/25)*AV105+(1-EXP(-LN(2)/25))/(LN(2)/25)*Calculateur!AQ106*Calculateur!AS106*VLOOKUP('Données projet'!$B$10,Paramètres!$A$1:$I$89,3,0)*0.475*44/12</f>
        <v>0.74713399399254954</v>
      </c>
      <c r="AW106" s="23">
        <f>EXP(-LN(2)/2)*AW105+(1-EXP(-LN(2)/2))/(LN(2)/2)*AQ106*AT106*VLOOKUP('Données projet'!$B$10,Paramètres!$A$1:$I$89,3,0)*0.475*44/12</f>
        <v>4.3968036304944416E-9</v>
      </c>
      <c r="AX106" s="23">
        <f t="shared" si="60"/>
        <v>3.2181948912626392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-1.2710188457276673E-13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374.67858373761965</v>
      </c>
      <c r="BJ106" s="62">
        <f t="shared" si="92"/>
        <v>468.38066974447543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3.0152155017397284</v>
      </c>
      <c r="BQ106" s="23">
        <f>EXP(-LN(2)/25)*BQ105+(1-EXP(-LN(2)/25))/(LN(2)/25)*Calculateur!BL106*Calculateur!BN106*VLOOKUP('Données projet'!$B$11,Paramètres!$A$1:$I$89,3,0)*0.475*44/12</f>
        <v>1.8788765479954639</v>
      </c>
      <c r="BR106" s="23">
        <f>EXP(-LN(2)/2)*BR105+(1-EXP(-LN(2)/2))/(LN(2)/2)*BL106*BO106*VLOOKUP('Données projet'!$B$11,Paramètres!$A$1:$I$89,3,0)*0.475*44/12</f>
        <v>1.3037110934310226E-10</v>
      </c>
      <c r="BS106" s="24">
        <f t="shared" si="63"/>
        <v>4.8940920498655638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5.3205440053716299E-14</v>
      </c>
      <c r="AK107" s="14">
        <f t="shared" si="89"/>
        <v>8.602146238565607E-13</v>
      </c>
      <c r="AL107" s="22">
        <f t="shared" si="58"/>
        <v>1.590873277977066E-12</v>
      </c>
      <c r="AM107" s="62">
        <f t="shared" si="59"/>
        <v>293.33333333333491</v>
      </c>
      <c r="AN107" s="62">
        <f ca="1">AVERAGE(OFFSET($AM$3,0,0,'Données projet'!$E$10+1,1))-AVERAGE(OFFSET($H$3,0,0,'Données projet'!$E$10+1,1))</f>
        <v>160.81094423216069</v>
      </c>
      <c r="AO107" s="62">
        <f t="shared" si="90"/>
        <v>145.53871436439169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2.4226048959623618</v>
      </c>
      <c r="AV107" s="23">
        <f>EXP(-LN(2)/25)*AV106+(1-EXP(-LN(2)/25))/(LN(2)/25)*Calculateur!AQ107*Calculateur!AS107*VLOOKUP('Données projet'!$B$10,Paramètres!$A$1:$I$89,3,0)*0.475*44/12</f>
        <v>0.72670357563675414</v>
      </c>
      <c r="AW107" s="23">
        <f>EXP(-LN(2)/2)*AW106+(1-EXP(-LN(2)/2))/(LN(2)/2)*AQ107*AT107*VLOOKUP('Données projet'!$B$10,Paramètres!$A$1:$I$89,3,0)*0.475*44/12</f>
        <v>3.1090096626682509E-9</v>
      </c>
      <c r="AX107" s="23">
        <f t="shared" si="60"/>
        <v>3.1493084747081252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-1.2710188457276673E-13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374.67858373761965</v>
      </c>
      <c r="BJ107" s="62">
        <f t="shared" si="92"/>
        <v>468.38066974447543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2.9560889648504722</v>
      </c>
      <c r="BQ107" s="23">
        <f>EXP(-LN(2)/25)*BQ106+(1-EXP(-LN(2)/25))/(LN(2)/25)*Calculateur!BL107*Calculateur!BN107*VLOOKUP('Données projet'!$B$11,Paramètres!$A$1:$I$89,3,0)*0.475*44/12</f>
        <v>1.8274985699847044</v>
      </c>
      <c r="BR107" s="23">
        <f>EXP(-LN(2)/2)*BR106+(1-EXP(-LN(2)/2))/(LN(2)/2)*BL107*BO107*VLOOKUP('Données projet'!$B$11,Paramètres!$A$1:$I$89,3,0)*0.475*44/12</f>
        <v>9.2186295487320476E-11</v>
      </c>
      <c r="BS107" s="24">
        <f t="shared" si="63"/>
        <v>4.7835875349273635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5.3205440053716299E-14</v>
      </c>
      <c r="AK108" s="14">
        <f t="shared" si="89"/>
        <v>8.602146238565607E-13</v>
      </c>
      <c r="AL108" s="22">
        <f t="shared" si="58"/>
        <v>1.590873277977066E-12</v>
      </c>
      <c r="AM108" s="62">
        <f t="shared" si="59"/>
        <v>293.33333333333491</v>
      </c>
      <c r="AN108" s="62">
        <f ca="1">AVERAGE(OFFSET($AM$3,0,0,'Données projet'!$E$10+1,1))-AVERAGE(OFFSET($H$3,0,0,'Données projet'!$E$10+1,1))</f>
        <v>160.81094423216069</v>
      </c>
      <c r="AO108" s="62">
        <f t="shared" si="90"/>
        <v>145.53871436439169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2.3750990915956214</v>
      </c>
      <c r="AV108" s="23">
        <f>EXP(-LN(2)/25)*AV107+(1-EXP(-LN(2)/25))/(LN(2)/25)*Calculateur!AQ108*Calculateur!AS108*VLOOKUP('Données projet'!$B$10,Paramètres!$A$1:$I$89,3,0)*0.475*44/12</f>
        <v>0.706831828145287</v>
      </c>
      <c r="AW108" s="23">
        <f>EXP(-LN(2)/2)*AW107+(1-EXP(-LN(2)/2))/(LN(2)/2)*AQ108*AT108*VLOOKUP('Données projet'!$B$10,Paramètres!$A$1:$I$89,3,0)*0.475*44/12</f>
        <v>2.1984018152472208E-9</v>
      </c>
      <c r="AX108" s="23">
        <f t="shared" si="60"/>
        <v>3.0819309219393101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-1.2710188457276673E-13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374.67858373761965</v>
      </c>
      <c r="BJ108" s="62">
        <f t="shared" si="92"/>
        <v>468.38066974447543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2.8981218632859882</v>
      </c>
      <c r="BQ108" s="23">
        <f>EXP(-LN(2)/25)*BQ107+(1-EXP(-LN(2)/25))/(LN(2)/25)*Calculateur!BL108*Calculateur!BN108*VLOOKUP('Données projet'!$B$11,Paramètres!$A$1:$I$89,3,0)*0.475*44/12</f>
        <v>1.7775255254844997</v>
      </c>
      <c r="BR108" s="23">
        <f>EXP(-LN(2)/2)*BR107+(1-EXP(-LN(2)/2))/(LN(2)/2)*BL108*BO108*VLOOKUP('Données projet'!$B$11,Paramètres!$A$1:$I$89,3,0)*0.475*44/12</f>
        <v>6.5185554671551132E-11</v>
      </c>
      <c r="BS108" s="24">
        <f t="shared" si="63"/>
        <v>4.6756473888356727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5.3205440053716299E-14</v>
      </c>
      <c r="AK109" s="14">
        <f t="shared" si="89"/>
        <v>8.602146238565607E-13</v>
      </c>
      <c r="AL109" s="22">
        <f t="shared" si="58"/>
        <v>1.590873277977066E-12</v>
      </c>
      <c r="AM109" s="62">
        <f t="shared" si="59"/>
        <v>293.33333333333491</v>
      </c>
      <c r="AN109" s="62">
        <f ca="1">AVERAGE(OFFSET($AM$3,0,0,'Données projet'!$E$10+1,1))-AVERAGE(OFFSET($H$3,0,0,'Données projet'!$E$10+1,1))</f>
        <v>160.81094423216069</v>
      </c>
      <c r="AO109" s="62">
        <f t="shared" si="90"/>
        <v>145.53871436439169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2.3285248470768329</v>
      </c>
      <c r="AV109" s="23">
        <f>EXP(-LN(2)/25)*AV108+(1-EXP(-LN(2)/25))/(LN(2)/25)*Calculateur!AQ109*Calculateur!AS109*VLOOKUP('Données projet'!$B$10,Paramètres!$A$1:$I$89,3,0)*0.475*44/12</f>
        <v>0.68750347463398376</v>
      </c>
      <c r="AW109" s="23">
        <f>EXP(-LN(2)/2)*AW108+(1-EXP(-LN(2)/2))/(LN(2)/2)*AQ109*AT109*VLOOKUP('Données projet'!$B$10,Paramètres!$A$1:$I$89,3,0)*0.475*44/12</f>
        <v>1.5545048313341255E-9</v>
      </c>
      <c r="AX109" s="23">
        <f t="shared" si="60"/>
        <v>3.0160283232653216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-1.2710188457276673E-13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374.67858373761965</v>
      </c>
      <c r="BJ109" s="62">
        <f t="shared" si="92"/>
        <v>468.38066974447543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2.8412914612267426</v>
      </c>
      <c r="BQ109" s="23">
        <f>EXP(-LN(2)/25)*BQ108+(1-EXP(-LN(2)/25))/(LN(2)/25)*Calculateur!BL109*Calculateur!BN109*VLOOKUP('Données projet'!$B$11,Paramètres!$A$1:$I$89,3,0)*0.475*44/12</f>
        <v>1.7289189965141212</v>
      </c>
      <c r="BR109" s="23">
        <f>EXP(-LN(2)/2)*BR108+(1-EXP(-LN(2)/2))/(LN(2)/2)*BL109*BO109*VLOOKUP('Données projet'!$B$11,Paramètres!$A$1:$I$89,3,0)*0.475*44/12</f>
        <v>4.6093147743660238E-11</v>
      </c>
      <c r="BS109" s="24">
        <f t="shared" si="63"/>
        <v>4.5702104577869562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5.3205440053716299E-14</v>
      </c>
      <c r="AK110" s="14">
        <f t="shared" si="89"/>
        <v>8.602146238565607E-13</v>
      </c>
      <c r="AL110" s="22">
        <f t="shared" si="58"/>
        <v>1.590873277977066E-12</v>
      </c>
      <c r="AM110" s="62">
        <f t="shared" si="59"/>
        <v>293.33333333333491</v>
      </c>
      <c r="AN110" s="62">
        <f ca="1">AVERAGE(OFFSET($AM$3,0,0,'Données projet'!$E$10+1,1))-AVERAGE(OFFSET($H$3,0,0,'Données projet'!$E$10+1,1))</f>
        <v>160.81094423216069</v>
      </c>
      <c r="AO110" s="62">
        <f t="shared" si="90"/>
        <v>145.53871436439169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2.282863895085574</v>
      </c>
      <c r="AV110" s="23">
        <f>EXP(-LN(2)/25)*AV109+(1-EXP(-LN(2)/25))/(LN(2)/25)*Calculateur!AQ110*Calculateur!AS110*VLOOKUP('Données projet'!$B$10,Paramètres!$A$1:$I$89,3,0)*0.475*44/12</f>
        <v>0.66870365596588111</v>
      </c>
      <c r="AW110" s="23">
        <f>EXP(-LN(2)/2)*AW109+(1-EXP(-LN(2)/2))/(LN(2)/2)*AQ110*AT110*VLOOKUP('Données projet'!$B$10,Paramètres!$A$1:$I$89,3,0)*0.475*44/12</f>
        <v>1.0992009076236104E-9</v>
      </c>
      <c r="AX110" s="23">
        <f t="shared" si="60"/>
        <v>2.9515675521506557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-1.2710188457276673E-13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374.67858373761965</v>
      </c>
      <c r="BJ110" s="62">
        <f t="shared" si="92"/>
        <v>468.38066974447543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2.7855754686887564</v>
      </c>
      <c r="BQ110" s="23">
        <f>EXP(-LN(2)/25)*BQ109+(1-EXP(-LN(2)/25))/(LN(2)/25)*Calculateur!BL110*Calculateur!BN110*VLOOKUP('Données projet'!$B$11,Paramètres!$A$1:$I$89,3,0)*0.475*44/12</f>
        <v>1.681641615634544</v>
      </c>
      <c r="BR110" s="23">
        <f>EXP(-LN(2)/2)*BR109+(1-EXP(-LN(2)/2))/(LN(2)/2)*BL110*BO110*VLOOKUP('Données projet'!$B$11,Paramètres!$A$1:$I$89,3,0)*0.475*44/12</f>
        <v>3.2592777335775566E-11</v>
      </c>
      <c r="BS110" s="24">
        <f t="shared" si="63"/>
        <v>4.4672170843558927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5.3205440053716299E-14</v>
      </c>
      <c r="AK111" s="14">
        <f t="shared" si="89"/>
        <v>8.602146238565607E-13</v>
      </c>
      <c r="AL111" s="22">
        <f t="shared" si="58"/>
        <v>1.590873277977066E-12</v>
      </c>
      <c r="AM111" s="62">
        <f t="shared" si="59"/>
        <v>293.33333333333491</v>
      </c>
      <c r="AN111" s="62">
        <f ca="1">AVERAGE(OFFSET($AM$3,0,0,'Données projet'!$E$10+1,1))-AVERAGE(OFFSET($H$3,0,0,'Données projet'!$E$10+1,1))</f>
        <v>160.81094423216069</v>
      </c>
      <c r="AO111" s="62">
        <f t="shared" si="90"/>
        <v>145.53871436439169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2.238098326512433</v>
      </c>
      <c r="AV111" s="23">
        <f>EXP(-LN(2)/25)*AV110+(1-EXP(-LN(2)/25))/(LN(2)/25)*Calculateur!AQ111*Calculateur!AS111*VLOOKUP('Données projet'!$B$10,Paramètres!$A$1:$I$89,3,0)*0.475*44/12</f>
        <v>0.65041791932789716</v>
      </c>
      <c r="AW111" s="23">
        <f>EXP(-LN(2)/2)*AW110+(1-EXP(-LN(2)/2))/(LN(2)/2)*AQ111*AT111*VLOOKUP('Données projet'!$B$10,Paramètres!$A$1:$I$89,3,0)*0.475*44/12</f>
        <v>7.7725241566706273E-10</v>
      </c>
      <c r="AX111" s="23">
        <f t="shared" si="60"/>
        <v>2.8885162466175829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-1.2710188457276673E-13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374.67858373761965</v>
      </c>
      <c r="BJ111" s="62">
        <f t="shared" si="92"/>
        <v>468.38066974447543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2.7309520327810404</v>
      </c>
      <c r="BQ111" s="23">
        <f>EXP(-LN(2)/25)*BQ110+(1-EXP(-LN(2)/25))/(LN(2)/25)*Calculateur!BL111*Calculateur!BN111*VLOOKUP('Données projet'!$B$11,Paramètres!$A$1:$I$89,3,0)*0.475*44/12</f>
        <v>1.6356570372213282</v>
      </c>
      <c r="BR111" s="23">
        <f>EXP(-LN(2)/2)*BR110+(1-EXP(-LN(2)/2))/(LN(2)/2)*BL111*BO111*VLOOKUP('Données projet'!$B$11,Paramètres!$A$1:$I$89,3,0)*0.475*44/12</f>
        <v>2.3046573871830119E-11</v>
      </c>
      <c r="BS111" s="24">
        <f t="shared" si="63"/>
        <v>4.3666090700254152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5.3205440053716299E-14</v>
      </c>
      <c r="AK112" s="14">
        <f t="shared" si="89"/>
        <v>8.602146238565607E-13</v>
      </c>
      <c r="AL112" s="22">
        <f t="shared" si="58"/>
        <v>1.590873277977066E-12</v>
      </c>
      <c r="AM112" s="62">
        <f t="shared" si="59"/>
        <v>293.33333333333491</v>
      </c>
      <c r="AN112" s="62">
        <f ca="1">AVERAGE(OFFSET($AM$3,0,0,'Données projet'!$E$10+1,1))-AVERAGE(OFFSET($H$3,0,0,'Données projet'!$E$10+1,1))</f>
        <v>160.81094423216069</v>
      </c>
      <c r="AO112" s="62">
        <f t="shared" si="90"/>
        <v>145.53871436439169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2.1942105834347103</v>
      </c>
      <c r="AV112" s="23">
        <f>EXP(-LN(2)/25)*AV111+(1-EXP(-LN(2)/25))/(LN(2)/25)*Calculateur!AQ112*Calculateur!AS112*VLOOKUP('Données projet'!$B$10,Paramètres!$A$1:$I$89,3,0)*0.475*44/12</f>
        <v>0.63263220711988399</v>
      </c>
      <c r="AW112" s="23">
        <f>EXP(-LN(2)/2)*AW111+(1-EXP(-LN(2)/2))/(LN(2)/2)*AQ112*AT112*VLOOKUP('Données projet'!$B$10,Paramètres!$A$1:$I$89,3,0)*0.475*44/12</f>
        <v>5.496004538118052E-10</v>
      </c>
      <c r="AX112" s="23">
        <f t="shared" si="60"/>
        <v>2.8268427911041947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-1.2710188457276673E-13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374.67858373761965</v>
      </c>
      <c r="BJ112" s="62">
        <f t="shared" si="92"/>
        <v>468.38066974447543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2.6773997291344682</v>
      </c>
      <c r="BQ112" s="23">
        <f>EXP(-LN(2)/25)*BQ111+(1-EXP(-LN(2)/25))/(LN(2)/25)*Calculateur!BL112*Calculateur!BN112*VLOOKUP('Données projet'!$B$11,Paramètres!$A$1:$I$89,3,0)*0.475*44/12</f>
        <v>1.5909299095230458</v>
      </c>
      <c r="BR112" s="23">
        <f>EXP(-LN(2)/2)*BR111+(1-EXP(-LN(2)/2))/(LN(2)/2)*BL112*BO112*VLOOKUP('Données projet'!$B$11,Paramètres!$A$1:$I$89,3,0)*0.475*44/12</f>
        <v>1.6296388667887783E-11</v>
      </c>
      <c r="BS112" s="24">
        <f t="shared" si="63"/>
        <v>4.2683296386738103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5.3205440053716299E-14</v>
      </c>
      <c r="AK113" s="14">
        <f t="shared" si="89"/>
        <v>8.602146238565607E-13</v>
      </c>
      <c r="AL113" s="22">
        <f t="shared" si="58"/>
        <v>1.590873277977066E-12</v>
      </c>
      <c r="AM113" s="62">
        <f t="shared" si="59"/>
        <v>293.33333333333491</v>
      </c>
      <c r="AN113" s="62">
        <f ca="1">AVERAGE(OFFSET($AM$3,0,0,'Données projet'!$E$10+1,1))-AVERAGE(OFFSET($H$3,0,0,'Données projet'!$E$10+1,1))</f>
        <v>160.81094423216069</v>
      </c>
      <c r="AO113" s="62">
        <f t="shared" si="90"/>
        <v>145.53871436439169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2.1511834522298616</v>
      </c>
      <c r="AV113" s="23">
        <f>EXP(-LN(2)/25)*AV112+(1-EXP(-LN(2)/25))/(LN(2)/25)*Calculateur!AQ113*Calculateur!AS113*VLOOKUP('Données projet'!$B$10,Paramètres!$A$1:$I$89,3,0)*0.475*44/12</f>
        <v>0.61533284614750894</v>
      </c>
      <c r="AW113" s="23">
        <f>EXP(-LN(2)/2)*AW112+(1-EXP(-LN(2)/2))/(LN(2)/2)*AQ113*AT113*VLOOKUP('Données projet'!$B$10,Paramètres!$A$1:$I$89,3,0)*0.475*44/12</f>
        <v>3.8862620783353136E-10</v>
      </c>
      <c r="AX113" s="23">
        <f t="shared" si="60"/>
        <v>2.7665162987659966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-1.2710188457276673E-13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374.67858373761965</v>
      </c>
      <c r="BJ113" s="62">
        <f t="shared" si="92"/>
        <v>468.38066974447543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2.6248975534987253</v>
      </c>
      <c r="BQ113" s="23">
        <f>EXP(-LN(2)/25)*BQ112+(1-EXP(-LN(2)/25))/(LN(2)/25)*Calculateur!BL113*Calculateur!BN113*VLOOKUP('Données projet'!$B$11,Paramètres!$A$1:$I$89,3,0)*0.475*44/12</f>
        <v>1.5474258474837703</v>
      </c>
      <c r="BR113" s="23">
        <f>EXP(-LN(2)/2)*BR112+(1-EXP(-LN(2)/2))/(LN(2)/2)*BL113*BO113*VLOOKUP('Données projet'!$B$11,Paramètres!$A$1:$I$89,3,0)*0.475*44/12</f>
        <v>1.1523286935915059E-11</v>
      </c>
      <c r="BS113" s="24">
        <f t="shared" si="63"/>
        <v>4.1723234009940189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5.3205440053716299E-14</v>
      </c>
      <c r="AK114" s="14">
        <f t="shared" si="89"/>
        <v>8.602146238565607E-13</v>
      </c>
      <c r="AL114" s="22">
        <f t="shared" si="58"/>
        <v>1.590873277977066E-12</v>
      </c>
      <c r="AM114" s="62">
        <f t="shared" si="59"/>
        <v>293.33333333333491</v>
      </c>
      <c r="AN114" s="62">
        <f ca="1">AVERAGE(OFFSET($AM$3,0,0,'Données projet'!$E$10+1,1))-AVERAGE(OFFSET($H$3,0,0,'Données projet'!$E$10+1,1))</f>
        <v>160.81094423216069</v>
      </c>
      <c r="AO114" s="62">
        <f t="shared" si="90"/>
        <v>145.53871436439169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2.1090000568239815</v>
      </c>
      <c r="AV114" s="23">
        <f>EXP(-LN(2)/25)*AV113+(1-EXP(-LN(2)/25))/(LN(2)/25)*Calculateur!AQ114*Calculateur!AS114*VLOOKUP('Données projet'!$B$10,Paramètres!$A$1:$I$89,3,0)*0.475*44/12</f>
        <v>0.59850653711065727</v>
      </c>
      <c r="AW114" s="23">
        <f>EXP(-LN(2)/2)*AW113+(1-EXP(-LN(2)/2))/(LN(2)/2)*AQ114*AT114*VLOOKUP('Données projet'!$B$10,Paramètres!$A$1:$I$89,3,0)*0.475*44/12</f>
        <v>2.748002269059026E-10</v>
      </c>
      <c r="AX114" s="23">
        <f t="shared" si="60"/>
        <v>2.707506594209439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-1.2710188457276673E-13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374.67858373761965</v>
      </c>
      <c r="BJ114" s="62">
        <f t="shared" si="92"/>
        <v>468.38066974447543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2.5734249135040344</v>
      </c>
      <c r="BQ114" s="23">
        <f>EXP(-LN(2)/25)*BQ113+(1-EXP(-LN(2)/25))/(LN(2)/25)*Calculateur!BL114*Calculateur!BN114*VLOOKUP('Données projet'!$B$11,Paramètres!$A$1:$I$89,3,0)*0.475*44/12</f>
        <v>1.5051114063087381</v>
      </c>
      <c r="BR114" s="23">
        <f>EXP(-LN(2)/2)*BR113+(1-EXP(-LN(2)/2))/(LN(2)/2)*BL114*BO114*VLOOKUP('Données projet'!$B$11,Paramètres!$A$1:$I$89,3,0)*0.475*44/12</f>
        <v>8.1481943339438915E-12</v>
      </c>
      <c r="BS114" s="24">
        <f t="shared" si="63"/>
        <v>4.0785363198209206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5.3205440053716299E-14</v>
      </c>
      <c r="AK115" s="14">
        <f t="shared" si="89"/>
        <v>8.602146238565607E-13</v>
      </c>
      <c r="AL115" s="22">
        <f t="shared" si="58"/>
        <v>1.590873277977066E-12</v>
      </c>
      <c r="AM115" s="62">
        <f t="shared" si="59"/>
        <v>293.33333333333491</v>
      </c>
      <c r="AN115" s="62">
        <f ca="1">AVERAGE(OFFSET($AM$3,0,0,'Données projet'!$E$10+1,1))-AVERAGE(OFFSET($H$3,0,0,'Données projet'!$E$10+1,1))</f>
        <v>160.81094423216069</v>
      </c>
      <c r="AO115" s="62">
        <f t="shared" si="90"/>
        <v>145.53871436439169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2.0676438520726803</v>
      </c>
      <c r="AV115" s="23">
        <f>EXP(-LN(2)/25)*AV114+(1-EXP(-LN(2)/25))/(LN(2)/25)*Calculateur!AQ115*Calculateur!AS115*VLOOKUP('Données projet'!$B$10,Paramètres!$A$1:$I$89,3,0)*0.475*44/12</f>
        <v>0.58214034437927542</v>
      </c>
      <c r="AW115" s="23">
        <f>EXP(-LN(2)/2)*AW114+(1-EXP(-LN(2)/2))/(LN(2)/2)*AQ115*AT115*VLOOKUP('Données projet'!$B$10,Paramètres!$A$1:$I$89,3,0)*0.475*44/12</f>
        <v>1.9431310391676568E-10</v>
      </c>
      <c r="AX115" s="23">
        <f t="shared" si="60"/>
        <v>2.6497841966462685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-1.2710188457276673E-13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374.67858373761965</v>
      </c>
      <c r="BJ115" s="62">
        <f t="shared" si="92"/>
        <v>468.38066974447543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2.5229616205844292</v>
      </c>
      <c r="BQ115" s="23">
        <f>EXP(-LN(2)/25)*BQ114+(1-EXP(-LN(2)/25))/(LN(2)/25)*Calculateur!BL115*Calculateur!BN115*VLOOKUP('Données projet'!$B$11,Paramètres!$A$1:$I$89,3,0)*0.475*44/12</f>
        <v>1.4639540557528568</v>
      </c>
      <c r="BR115" s="23">
        <f>EXP(-LN(2)/2)*BR114+(1-EXP(-LN(2)/2))/(LN(2)/2)*BL115*BO115*VLOOKUP('Données projet'!$B$11,Paramètres!$A$1:$I$89,3,0)*0.475*44/12</f>
        <v>5.7616434679575297E-12</v>
      </c>
      <c r="BS115" s="24">
        <f t="shared" si="63"/>
        <v>3.9869156763430476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5.3205440053716299E-14</v>
      </c>
      <c r="AK116" s="14">
        <f t="shared" si="89"/>
        <v>8.602146238565607E-13</v>
      </c>
      <c r="AL116" s="22">
        <f t="shared" si="58"/>
        <v>1.590873277977066E-12</v>
      </c>
      <c r="AM116" s="62">
        <f t="shared" si="59"/>
        <v>293.33333333333491</v>
      </c>
      <c r="AN116" s="62">
        <f ca="1">AVERAGE(OFFSET($AM$3,0,0,'Données projet'!$E$10+1,1))-AVERAGE(OFFSET($H$3,0,0,'Données projet'!$E$10+1,1))</f>
        <v>160.81094423216069</v>
      </c>
      <c r="AO116" s="62">
        <f t="shared" si="90"/>
        <v>145.53871436439169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2.0270986172717578</v>
      </c>
      <c r="AV116" s="23">
        <f>EXP(-LN(2)/25)*AV115+(1-EXP(-LN(2)/25))/(LN(2)/25)*Calculateur!AQ116*Calculateur!AS116*VLOOKUP('Données projet'!$B$10,Paramètres!$A$1:$I$89,3,0)*0.475*44/12</f>
        <v>0.56622168604879397</v>
      </c>
      <c r="AW116" s="23">
        <f>EXP(-LN(2)/2)*AW115+(1-EXP(-LN(2)/2))/(LN(2)/2)*AQ116*AT116*VLOOKUP('Données projet'!$B$10,Paramètres!$A$1:$I$89,3,0)*0.475*44/12</f>
        <v>1.374001134529513E-10</v>
      </c>
      <c r="AX116" s="23">
        <f t="shared" si="60"/>
        <v>2.5933203034579519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-1.2710188457276673E-13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374.67858373761965</v>
      </c>
      <c r="BJ116" s="62">
        <f t="shared" si="92"/>
        <v>468.38066974447543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2.4734878820594077</v>
      </c>
      <c r="BQ116" s="23">
        <f>EXP(-LN(2)/25)*BQ115+(1-EXP(-LN(2)/25))/(LN(2)/25)*Calculateur!BL116*Calculateur!BN116*VLOOKUP('Données projet'!$B$11,Paramètres!$A$1:$I$89,3,0)*0.475*44/12</f>
        <v>1.4239221551122969</v>
      </c>
      <c r="BR116" s="23">
        <f>EXP(-LN(2)/2)*BR115+(1-EXP(-LN(2)/2))/(LN(2)/2)*BL116*BO116*VLOOKUP('Données projet'!$B$11,Paramètres!$A$1:$I$89,3,0)*0.475*44/12</f>
        <v>4.0740971669719457E-12</v>
      </c>
      <c r="BS116" s="24">
        <f t="shared" si="63"/>
        <v>3.8974100371757787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5.3205440053716299E-14</v>
      </c>
      <c r="AK117" s="14">
        <f t="shared" si="89"/>
        <v>8.602146238565607E-13</v>
      </c>
      <c r="AL117" s="22">
        <f t="shared" si="58"/>
        <v>1.590873277977066E-12</v>
      </c>
      <c r="AM117" s="62">
        <f t="shared" si="59"/>
        <v>293.33333333333491</v>
      </c>
      <c r="AN117" s="62">
        <f ca="1">AVERAGE(OFFSET($AM$3,0,0,'Données projet'!$E$10+1,1))-AVERAGE(OFFSET($H$3,0,0,'Données projet'!$E$10+1,1))</f>
        <v>160.81094423216069</v>
      </c>
      <c r="AO117" s="62">
        <f t="shared" si="90"/>
        <v>145.53871436439169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1.9873484497951299</v>
      </c>
      <c r="AV117" s="23">
        <f>EXP(-LN(2)/25)*AV116+(1-EXP(-LN(2)/25))/(LN(2)/25)*Calculateur!AQ117*Calculateur!AS117*VLOOKUP('Données projet'!$B$10,Paramètres!$A$1:$I$89,3,0)*0.475*44/12</f>
        <v>0.55073832426748537</v>
      </c>
      <c r="AW117" s="23">
        <f>EXP(-LN(2)/2)*AW116+(1-EXP(-LN(2)/2))/(LN(2)/2)*AQ117*AT117*VLOOKUP('Données projet'!$B$10,Paramètres!$A$1:$I$89,3,0)*0.475*44/12</f>
        <v>9.7156551958382841E-11</v>
      </c>
      <c r="AX117" s="23">
        <f t="shared" si="60"/>
        <v>2.5380867741597717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-1.2710188457276673E-13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374.67858373761965</v>
      </c>
      <c r="BJ117" s="62">
        <f t="shared" si="92"/>
        <v>468.38066974447543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2.4249842933708612</v>
      </c>
      <c r="BQ117" s="23">
        <f>EXP(-LN(2)/25)*BQ116+(1-EXP(-LN(2)/25))/(LN(2)/25)*Calculateur!BL117*Calculateur!BN117*VLOOKUP('Données projet'!$B$11,Paramètres!$A$1:$I$89,3,0)*0.475*44/12</f>
        <v>1.3849849288999394</v>
      </c>
      <c r="BR117" s="23">
        <f>EXP(-LN(2)/2)*BR116+(1-EXP(-LN(2)/2))/(LN(2)/2)*BL117*BO117*VLOOKUP('Données projet'!$B$11,Paramètres!$A$1:$I$89,3,0)*0.475*44/12</f>
        <v>2.8808217339787649E-12</v>
      </c>
      <c r="BS117" s="24">
        <f t="shared" si="63"/>
        <v>3.8099692222736814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5.3205440053716299E-14</v>
      </c>
      <c r="AK118" s="14">
        <f t="shared" si="89"/>
        <v>8.602146238565607E-13</v>
      </c>
      <c r="AL118" s="22">
        <f t="shared" si="58"/>
        <v>1.590873277977066E-12</v>
      </c>
      <c r="AM118" s="62">
        <f t="shared" si="59"/>
        <v>293.33333333333491</v>
      </c>
      <c r="AN118" s="62">
        <f ca="1">AVERAGE(OFFSET($AM$3,0,0,'Données projet'!$E$10+1,1))-AVERAGE(OFFSET($H$3,0,0,'Données projet'!$E$10+1,1))</f>
        <v>160.81094423216069</v>
      </c>
      <c r="AO118" s="62">
        <f t="shared" si="90"/>
        <v>145.53871436439169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1.9483777588575106</v>
      </c>
      <c r="AV118" s="23">
        <f>EXP(-LN(2)/25)*AV117+(1-EXP(-LN(2)/25))/(LN(2)/25)*Calculateur!AQ118*Calculateur!AS118*VLOOKUP('Données projet'!$B$10,Paramètres!$A$1:$I$89,3,0)*0.475*44/12</f>
        <v>0.53567835582832124</v>
      </c>
      <c r="AW118" s="23">
        <f>EXP(-LN(2)/2)*AW117+(1-EXP(-LN(2)/2))/(LN(2)/2)*AQ118*AT118*VLOOKUP('Données projet'!$B$10,Paramètres!$A$1:$I$89,3,0)*0.475*44/12</f>
        <v>6.870005672647565E-11</v>
      </c>
      <c r="AX118" s="23">
        <f t="shared" si="60"/>
        <v>2.4840561147545319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-1.2710188457276673E-13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374.67858373761965</v>
      </c>
      <c r="BJ118" s="62">
        <f t="shared" si="92"/>
        <v>468.38066974447543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2.3774318304722293</v>
      </c>
      <c r="BQ118" s="23">
        <f>EXP(-LN(2)/25)*BQ117+(1-EXP(-LN(2)/25))/(LN(2)/25)*Calculateur!BL118*Calculateur!BN118*VLOOKUP('Données projet'!$B$11,Paramètres!$A$1:$I$89,3,0)*0.475*44/12</f>
        <v>1.3471124431859787</v>
      </c>
      <c r="BR118" s="23">
        <f>EXP(-LN(2)/2)*BR117+(1-EXP(-LN(2)/2))/(LN(2)/2)*BL118*BO118*VLOOKUP('Données projet'!$B$11,Paramètres!$A$1:$I$89,3,0)*0.475*44/12</f>
        <v>2.0370485834859729E-12</v>
      </c>
      <c r="BS118" s="24">
        <f t="shared" si="63"/>
        <v>3.724544273660245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5.3205440053716299E-14</v>
      </c>
      <c r="AK119" s="14">
        <f t="shared" si="89"/>
        <v>8.602146238565607E-13</v>
      </c>
      <c r="AL119" s="22">
        <f t="shared" si="58"/>
        <v>1.590873277977066E-12</v>
      </c>
      <c r="AM119" s="62">
        <f t="shared" si="59"/>
        <v>293.33333333333491</v>
      </c>
      <c r="AN119" s="62">
        <f ca="1">AVERAGE(OFFSET($AM$3,0,0,'Données projet'!$E$10+1,1))-AVERAGE(OFFSET($H$3,0,0,'Données projet'!$E$10+1,1))</f>
        <v>160.81094423216069</v>
      </c>
      <c r="AO119" s="62">
        <f t="shared" si="90"/>
        <v>145.53871436439169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1.9101712593994036</v>
      </c>
      <c r="AV119" s="23">
        <f>EXP(-LN(2)/25)*AV118+(1-EXP(-LN(2)/25))/(LN(2)/25)*Calculateur!AQ119*Calculateur!AS119*VLOOKUP('Données projet'!$B$10,Paramètres!$A$1:$I$89,3,0)*0.475*44/12</f>
        <v>0.52103020301809533</v>
      </c>
      <c r="AW119" s="23">
        <f>EXP(-LN(2)/2)*AW118+(1-EXP(-LN(2)/2))/(LN(2)/2)*AQ119*AT119*VLOOKUP('Données projet'!$B$10,Paramètres!$A$1:$I$89,3,0)*0.475*44/12</f>
        <v>4.857827597919142E-11</v>
      </c>
      <c r="AX119" s="23">
        <f t="shared" si="60"/>
        <v>2.4312014624660772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-1.2710188457276673E-13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374.67858373761965</v>
      </c>
      <c r="BJ119" s="62">
        <f t="shared" si="92"/>
        <v>468.38066974447543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2.3308118423669009</v>
      </c>
      <c r="BQ119" s="23">
        <f>EXP(-LN(2)/25)*BQ118+(1-EXP(-LN(2)/25))/(LN(2)/25)*Calculateur!BL119*Calculateur!BN119*VLOOKUP('Données projet'!$B$11,Paramètres!$A$1:$I$89,3,0)*0.475*44/12</f>
        <v>1.3102755825854935</v>
      </c>
      <c r="BR119" s="23">
        <f>EXP(-LN(2)/2)*BR118+(1-EXP(-LN(2)/2))/(LN(2)/2)*BL119*BO119*VLOOKUP('Données projet'!$B$11,Paramètres!$A$1:$I$89,3,0)*0.475*44/12</f>
        <v>1.4404108669893824E-12</v>
      </c>
      <c r="BS119" s="24">
        <f t="shared" si="63"/>
        <v>3.641087424953835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5.3205440053716299E-14</v>
      </c>
      <c r="AK120" s="14">
        <f t="shared" si="89"/>
        <v>8.602146238565607E-13</v>
      </c>
      <c r="AL120" s="22">
        <f t="shared" si="58"/>
        <v>1.590873277977066E-12</v>
      </c>
      <c r="AM120" s="62">
        <f t="shared" si="59"/>
        <v>293.33333333333491</v>
      </c>
      <c r="AN120" s="62">
        <f ca="1">AVERAGE(OFFSET($AM$3,0,0,'Données projet'!$E$10+1,1))-AVERAGE(OFFSET($H$3,0,0,'Données projet'!$E$10+1,1))</f>
        <v>160.81094423216069</v>
      </c>
      <c r="AO120" s="62">
        <f t="shared" si="90"/>
        <v>145.53871436439169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1.8727139660920065</v>
      </c>
      <c r="AV120" s="23">
        <f>EXP(-LN(2)/25)*AV119+(1-EXP(-LN(2)/25))/(LN(2)/25)*Calculateur!AQ120*Calculateur!AS120*VLOOKUP('Données projet'!$B$10,Paramètres!$A$1:$I$89,3,0)*0.475*44/12</f>
        <v>0.50678260471677794</v>
      </c>
      <c r="AW120" s="23">
        <f>EXP(-LN(2)/2)*AW119+(1-EXP(-LN(2)/2))/(LN(2)/2)*AQ120*AT120*VLOOKUP('Données projet'!$B$10,Paramètres!$A$1:$I$89,3,0)*0.475*44/12</f>
        <v>3.4350028363237825E-11</v>
      </c>
      <c r="AX120" s="23">
        <f t="shared" si="60"/>
        <v>2.3794965708431342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-1.2710188457276673E-13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374.67858373761965</v>
      </c>
      <c r="BJ120" s="62">
        <f t="shared" si="92"/>
        <v>468.38066974447543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2.2851060437929331</v>
      </c>
      <c r="BQ120" s="23">
        <f>EXP(-LN(2)/25)*BQ119+(1-EXP(-LN(2)/25))/(LN(2)/25)*Calculateur!BL120*Calculateur!BN120*VLOOKUP('Données projet'!$B$11,Paramètres!$A$1:$I$89,3,0)*0.475*44/12</f>
        <v>1.2744460278752949</v>
      </c>
      <c r="BR120" s="23">
        <f>EXP(-LN(2)/2)*BR119+(1-EXP(-LN(2)/2))/(LN(2)/2)*BL120*BO120*VLOOKUP('Données projet'!$B$11,Paramètres!$A$1:$I$89,3,0)*0.475*44/12</f>
        <v>1.0185242917429864E-12</v>
      </c>
      <c r="BS120" s="24">
        <f t="shared" si="63"/>
        <v>3.5595520716692466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5.3205440053716299E-14</v>
      </c>
      <c r="AK121" s="14">
        <f t="shared" si="89"/>
        <v>8.602146238565607E-13</v>
      </c>
      <c r="AL121" s="22">
        <f t="shared" si="58"/>
        <v>1.590873277977066E-12</v>
      </c>
      <c r="AM121" s="62">
        <f t="shared" si="59"/>
        <v>293.33333333333491</v>
      </c>
      <c r="AN121" s="62">
        <f ca="1">AVERAGE(OFFSET($AM$3,0,0,'Données projet'!$E$10+1,1))-AVERAGE(OFFSET($H$3,0,0,'Données projet'!$E$10+1,1))</f>
        <v>160.81094423216069</v>
      </c>
      <c r="AO121" s="62">
        <f t="shared" si="90"/>
        <v>145.53871436439169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1.8359911874596744</v>
      </c>
      <c r="AV121" s="23">
        <f>EXP(-LN(2)/25)*AV120+(1-EXP(-LN(2)/25))/(LN(2)/25)*Calculateur!AQ121*Calculateur!AS121*VLOOKUP('Données projet'!$B$10,Paramètres!$A$1:$I$89,3,0)*0.475*44/12</f>
        <v>0.49292460774025876</v>
      </c>
      <c r="AW121" s="23">
        <f>EXP(-LN(2)/2)*AW120+(1-EXP(-LN(2)/2))/(LN(2)/2)*AQ121*AT121*VLOOKUP('Données projet'!$B$10,Paramètres!$A$1:$I$89,3,0)*0.475*44/12</f>
        <v>2.428913798959571E-11</v>
      </c>
      <c r="AX121" s="23">
        <f t="shared" si="60"/>
        <v>2.3289157952242223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-1.2710188457276673E-13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374.67858373761965</v>
      </c>
      <c r="BJ121" s="62">
        <f t="shared" si="92"/>
        <v>468.38066974447543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2.2402965080512165</v>
      </c>
      <c r="BQ121" s="23">
        <f>EXP(-LN(2)/25)*BQ120+(1-EXP(-LN(2)/25))/(LN(2)/25)*Calculateur!BL121*Calculateur!BN121*VLOOKUP('Données projet'!$B$11,Paramètres!$A$1:$I$89,3,0)*0.475*44/12</f>
        <v>1.2395962342228413</v>
      </c>
      <c r="BR121" s="23">
        <f>EXP(-LN(2)/2)*BR120+(1-EXP(-LN(2)/2))/(LN(2)/2)*BL121*BO121*VLOOKUP('Données projet'!$B$11,Paramètres!$A$1:$I$89,3,0)*0.475*44/12</f>
        <v>7.2020543349469122E-13</v>
      </c>
      <c r="BS121" s="24">
        <f t="shared" si="63"/>
        <v>3.4798927422747781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5.3205440053716299E-14</v>
      </c>
      <c r="AK122" s="14">
        <f t="shared" si="89"/>
        <v>8.602146238565607E-13</v>
      </c>
      <c r="AL122" s="22">
        <f t="shared" si="58"/>
        <v>1.590873277977066E-12</v>
      </c>
      <c r="AM122" s="62">
        <f t="shared" si="59"/>
        <v>293.33333333333491</v>
      </c>
      <c r="AN122" s="62">
        <f ca="1">AVERAGE(OFFSET($AM$3,0,0,'Données projet'!$E$10+1,1))-AVERAGE(OFFSET($H$3,0,0,'Données projet'!$E$10+1,1))</f>
        <v>160.81094423216069</v>
      </c>
      <c r="AO122" s="62">
        <f t="shared" si="90"/>
        <v>145.53871436439169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1.7999885201176391</v>
      </c>
      <c r="AV122" s="23">
        <f>EXP(-LN(2)/25)*AV121+(1-EXP(-LN(2)/25))/(LN(2)/25)*Calculateur!AQ122*Calculateur!AS122*VLOOKUP('Données projet'!$B$10,Paramètres!$A$1:$I$89,3,0)*0.475*44/12</f>
        <v>0.47944555841982284</v>
      </c>
      <c r="AW122" s="23">
        <f>EXP(-LN(2)/2)*AW121+(1-EXP(-LN(2)/2))/(LN(2)/2)*AQ122*AT122*VLOOKUP('Données projet'!$B$10,Paramètres!$A$1:$I$89,3,0)*0.475*44/12</f>
        <v>1.7175014181618913E-11</v>
      </c>
      <c r="AX122" s="23">
        <f t="shared" si="60"/>
        <v>2.2794340785546372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-1.2710188457276673E-13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374.67858373761965</v>
      </c>
      <c r="BJ122" s="62">
        <f t="shared" si="92"/>
        <v>468.38066974447543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2.1963656599742767</v>
      </c>
      <c r="BQ122" s="23">
        <f>EXP(-LN(2)/25)*BQ121+(1-EXP(-LN(2)/25))/(LN(2)/25)*Calculateur!BL122*Calculateur!BN122*VLOOKUP('Données projet'!$B$11,Paramètres!$A$1:$I$89,3,0)*0.475*44/12</f>
        <v>1.2056994100104848</v>
      </c>
      <c r="BR122" s="23">
        <f>EXP(-LN(2)/2)*BR121+(1-EXP(-LN(2)/2))/(LN(2)/2)*BL122*BO122*VLOOKUP('Données projet'!$B$11,Paramètres!$A$1:$I$89,3,0)*0.475*44/12</f>
        <v>5.0926214587149322E-13</v>
      </c>
      <c r="BS122" s="24">
        <f t="shared" si="63"/>
        <v>3.4020650699852708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5.3205440053716299E-14</v>
      </c>
      <c r="AK123" s="14">
        <f t="shared" si="89"/>
        <v>8.602146238565607E-13</v>
      </c>
      <c r="AL123" s="22">
        <f t="shared" si="58"/>
        <v>1.590873277977066E-12</v>
      </c>
      <c r="AM123" s="62">
        <f t="shared" si="59"/>
        <v>293.33333333333491</v>
      </c>
      <c r="AN123" s="62">
        <f ca="1">AVERAGE(OFFSET($AM$3,0,0,'Données projet'!$E$10+1,1))-AVERAGE(OFFSET($H$3,0,0,'Données projet'!$E$10+1,1))</f>
        <v>160.81094423216069</v>
      </c>
      <c r="AO123" s="62">
        <f t="shared" si="90"/>
        <v>145.53871436439169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1.7646918431227223</v>
      </c>
      <c r="AV123" s="23">
        <f>EXP(-LN(2)/25)*AV122+(1-EXP(-LN(2)/25))/(LN(2)/25)*Calculateur!AQ123*Calculateur!AS123*VLOOKUP('Données projet'!$B$10,Paramètres!$A$1:$I$89,3,0)*0.475*44/12</f>
        <v>0.46633509441188664</v>
      </c>
      <c r="AW123" s="23">
        <f>EXP(-LN(2)/2)*AW122+(1-EXP(-LN(2)/2))/(LN(2)/2)*AQ123*AT123*VLOOKUP('Données projet'!$B$10,Paramètres!$A$1:$I$89,3,0)*0.475*44/12</f>
        <v>1.2144568994797855E-11</v>
      </c>
      <c r="AX123" s="23">
        <f t="shared" si="60"/>
        <v>2.2310269375467535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-1.2710188457276673E-13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374.67858373761965</v>
      </c>
      <c r="BJ123" s="62">
        <f t="shared" si="92"/>
        <v>468.38066974447543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2.1532962690329542</v>
      </c>
      <c r="BQ123" s="23">
        <f>EXP(-LN(2)/25)*BQ122+(1-EXP(-LN(2)/25))/(LN(2)/25)*Calculateur!BL123*Calculateur!BN123*VLOOKUP('Données projet'!$B$11,Paramètres!$A$1:$I$89,3,0)*0.475*44/12</f>
        <v>1.1727294962387718</v>
      </c>
      <c r="BR123" s="23">
        <f>EXP(-LN(2)/2)*BR122+(1-EXP(-LN(2)/2))/(LN(2)/2)*BL123*BO123*VLOOKUP('Données projet'!$B$11,Paramètres!$A$1:$I$89,3,0)*0.475*44/12</f>
        <v>3.6010271674734561E-13</v>
      </c>
      <c r="BS123" s="24">
        <f t="shared" si="63"/>
        <v>3.3260257652720862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5.3205440053716299E-14</v>
      </c>
      <c r="AK124" s="14">
        <f t="shared" si="89"/>
        <v>8.602146238565607E-13</v>
      </c>
      <c r="AL124" s="22">
        <f t="shared" si="58"/>
        <v>1.590873277977066E-12</v>
      </c>
      <c r="AM124" s="62">
        <f t="shared" si="59"/>
        <v>293.33333333333491</v>
      </c>
      <c r="AN124" s="62">
        <f ca="1">AVERAGE(OFFSET($AM$3,0,0,'Données projet'!$E$10+1,1))-AVERAGE(OFFSET($H$3,0,0,'Données projet'!$E$10+1,1))</f>
        <v>160.81094423216069</v>
      </c>
      <c r="AO124" s="62">
        <f t="shared" si="90"/>
        <v>145.53871436439169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1.7300873124348288</v>
      </c>
      <c r="AV124" s="23">
        <f>EXP(-LN(2)/25)*AV123+(1-EXP(-LN(2)/25))/(LN(2)/25)*Calculateur!AQ124*Calculateur!AS124*VLOOKUP('Données projet'!$B$10,Paramètres!$A$1:$I$89,3,0)*0.475*44/12</f>
        <v>0.45358313673169681</v>
      </c>
      <c r="AW124" s="23">
        <f>EXP(-LN(2)/2)*AW123+(1-EXP(-LN(2)/2))/(LN(2)/2)*AQ124*AT124*VLOOKUP('Données projet'!$B$10,Paramètres!$A$1:$I$89,3,0)*0.475*44/12</f>
        <v>8.5875070908094563E-12</v>
      </c>
      <c r="AX124" s="23">
        <f t="shared" si="60"/>
        <v>2.1836704491751129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-1.2710188457276673E-13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374.67858373761965</v>
      </c>
      <c r="BJ124" s="62">
        <f t="shared" si="92"/>
        <v>468.38066974447543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2.1110714425782566</v>
      </c>
      <c r="BQ124" s="23">
        <f>EXP(-LN(2)/25)*BQ123+(1-EXP(-LN(2)/25))/(LN(2)/25)*Calculateur!BL124*Calculateur!BN124*VLOOKUP('Données projet'!$B$11,Paramètres!$A$1:$I$89,3,0)*0.475*44/12</f>
        <v>1.1406611464929586</v>
      </c>
      <c r="BR124" s="23">
        <f>EXP(-LN(2)/2)*BR123+(1-EXP(-LN(2)/2))/(LN(2)/2)*BL124*BO124*VLOOKUP('Données projet'!$B$11,Paramètres!$A$1:$I$89,3,0)*0.475*44/12</f>
        <v>2.5463107293574661E-13</v>
      </c>
      <c r="BS124" s="24">
        <f t="shared" si="63"/>
        <v>3.2517325890714699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5.3205440053716299E-14</v>
      </c>
      <c r="AK125" s="14">
        <f t="shared" si="89"/>
        <v>8.602146238565607E-13</v>
      </c>
      <c r="AL125" s="22">
        <f t="shared" si="58"/>
        <v>1.590873277977066E-12</v>
      </c>
      <c r="AM125" s="62">
        <f t="shared" si="59"/>
        <v>293.33333333333491</v>
      </c>
      <c r="AN125" s="62">
        <f ca="1">AVERAGE(OFFSET($AM$3,0,0,'Données projet'!$E$10+1,1))-AVERAGE(OFFSET($H$3,0,0,'Données projet'!$E$10+1,1))</f>
        <v>160.81094423216069</v>
      </c>
      <c r="AO125" s="62">
        <f t="shared" si="90"/>
        <v>145.53871436439169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1.6961613554870452</v>
      </c>
      <c r="AV125" s="23">
        <f>EXP(-LN(2)/25)*AV124+(1-EXP(-LN(2)/25))/(LN(2)/25)*Calculateur!AQ125*Calculateur!AS125*VLOOKUP('Données projet'!$B$10,Paramètres!$A$1:$I$89,3,0)*0.475*44/12</f>
        <v>0.44117988200486807</v>
      </c>
      <c r="AW125" s="23">
        <f>EXP(-LN(2)/2)*AW124+(1-EXP(-LN(2)/2))/(LN(2)/2)*AQ125*AT125*VLOOKUP('Données projet'!$B$10,Paramètres!$A$1:$I$89,3,0)*0.475*44/12</f>
        <v>6.0722844973989276E-12</v>
      </c>
      <c r="AX125" s="23">
        <f t="shared" si="60"/>
        <v>2.1373412374979859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-1.2710188457276673E-13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374.67858373761965</v>
      </c>
      <c r="BJ125" s="62">
        <f t="shared" si="92"/>
        <v>468.38066974447543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2.0696746192157343</v>
      </c>
      <c r="BQ125" s="23">
        <f>EXP(-LN(2)/25)*BQ124+(1-EXP(-LN(2)/25))/(LN(2)/25)*Calculateur!BL125*Calculateur!BN125*VLOOKUP('Données projet'!$B$11,Paramètres!$A$1:$I$89,3,0)*0.475*44/12</f>
        <v>1.1094697074573459</v>
      </c>
      <c r="BR125" s="23">
        <f>EXP(-LN(2)/2)*BR124+(1-EXP(-LN(2)/2))/(LN(2)/2)*BL125*BO125*VLOOKUP('Données projet'!$B$11,Paramètres!$A$1:$I$89,3,0)*0.475*44/12</f>
        <v>1.800513583736728E-13</v>
      </c>
      <c r="BS125" s="24">
        <f t="shared" si="63"/>
        <v>3.17914432667326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5.3205440053716299E-14</v>
      </c>
      <c r="AK126" s="14">
        <f t="shared" si="89"/>
        <v>8.602146238565607E-13</v>
      </c>
      <c r="AL126" s="22">
        <f t="shared" si="58"/>
        <v>1.590873277977066E-12</v>
      </c>
      <c r="AM126" s="62">
        <f t="shared" si="59"/>
        <v>293.33333333333491</v>
      </c>
      <c r="AN126" s="62">
        <f ca="1">AVERAGE(OFFSET($AM$3,0,0,'Données projet'!$E$10+1,1))-AVERAGE(OFFSET($H$3,0,0,'Données projet'!$E$10+1,1))</f>
        <v>160.81094423216069</v>
      </c>
      <c r="AO126" s="62">
        <f t="shared" si="90"/>
        <v>145.53871436439169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1.6629006658622172</v>
      </c>
      <c r="AV126" s="23">
        <f>EXP(-LN(2)/25)*AV125+(1-EXP(-LN(2)/25))/(LN(2)/25)*Calculateur!AQ126*Calculateur!AS126*VLOOKUP('Données projet'!$B$10,Paramètres!$A$1:$I$89,3,0)*0.475*44/12</f>
        <v>0.42911579493080332</v>
      </c>
      <c r="AW126" s="23">
        <f>EXP(-LN(2)/2)*AW125+(1-EXP(-LN(2)/2))/(LN(2)/2)*AQ126*AT126*VLOOKUP('Données projet'!$B$10,Paramètres!$A$1:$I$89,3,0)*0.475*44/12</f>
        <v>4.2937535454047281E-12</v>
      </c>
      <c r="AX126" s="23">
        <f t="shared" si="60"/>
        <v>2.0920164607973146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-1.2710188457276673E-13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374.67858373761965</v>
      </c>
      <c r="BJ126" s="62">
        <f t="shared" si="92"/>
        <v>468.38066974447543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2.0290895623097822</v>
      </c>
      <c r="BQ126" s="23">
        <f>EXP(-LN(2)/25)*BQ125+(1-EXP(-LN(2)/25))/(LN(2)/25)*Calculateur!BL126*Calculateur!BN126*VLOOKUP('Données projet'!$B$11,Paramètres!$A$1:$I$89,3,0)*0.475*44/12</f>
        <v>1.0791311999624484</v>
      </c>
      <c r="BR126" s="23">
        <f>EXP(-LN(2)/2)*BR125+(1-EXP(-LN(2)/2))/(LN(2)/2)*BL126*BO126*VLOOKUP('Données projet'!$B$11,Paramètres!$A$1:$I$89,3,0)*0.475*44/12</f>
        <v>1.273155364678733E-13</v>
      </c>
      <c r="BS126" s="24">
        <f t="shared" si="63"/>
        <v>3.1082207622723579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5.3205440053716299E-14</v>
      </c>
      <c r="AK127" s="14">
        <f t="shared" si="89"/>
        <v>8.602146238565607E-13</v>
      </c>
      <c r="AL127" s="22">
        <f t="shared" si="58"/>
        <v>1.590873277977066E-12</v>
      </c>
      <c r="AM127" s="62">
        <f t="shared" si="59"/>
        <v>293.33333333333491</v>
      </c>
      <c r="AN127" s="62">
        <f ca="1">AVERAGE(OFFSET($AM$3,0,0,'Données projet'!$E$10+1,1))-AVERAGE(OFFSET($H$3,0,0,'Données projet'!$E$10+1,1))</f>
        <v>160.81094423216069</v>
      </c>
      <c r="AO127" s="62">
        <f t="shared" si="90"/>
        <v>145.53871436439169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1.6302921980739145</v>
      </c>
      <c r="AV127" s="23">
        <f>EXP(-LN(2)/25)*AV126+(1-EXP(-LN(2)/25))/(LN(2)/25)*Calculateur!AQ127*Calculateur!AS127*VLOOKUP('Données projet'!$B$10,Paramètres!$A$1:$I$89,3,0)*0.475*44/12</f>
        <v>0.41738160095220161</v>
      </c>
      <c r="AW127" s="23">
        <f>EXP(-LN(2)/2)*AW126+(1-EXP(-LN(2)/2))/(LN(2)/2)*AQ127*AT127*VLOOKUP('Données projet'!$B$10,Paramètres!$A$1:$I$89,3,0)*0.475*44/12</f>
        <v>3.0361422486994638E-12</v>
      </c>
      <c r="AX127" s="23">
        <f t="shared" si="60"/>
        <v>2.0476737990291523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-1.2710188457276673E-13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374.67858373761965</v>
      </c>
      <c r="BJ127" s="62">
        <f t="shared" si="92"/>
        <v>468.38066974447543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1.9893003536153153</v>
      </c>
      <c r="BQ127" s="23">
        <f>EXP(-LN(2)/25)*BQ126+(1-EXP(-LN(2)/25))/(LN(2)/25)*Calculateur!BL127*Calculateur!BN127*VLOOKUP('Données projet'!$B$11,Paramètres!$A$1:$I$89,3,0)*0.475*44/12</f>
        <v>1.0496223005504319</v>
      </c>
      <c r="BR127" s="23">
        <f>EXP(-LN(2)/2)*BR126+(1-EXP(-LN(2)/2))/(LN(2)/2)*BL127*BO127*VLOOKUP('Données projet'!$B$11,Paramètres!$A$1:$I$89,3,0)*0.475*44/12</f>
        <v>9.0025679186836402E-14</v>
      </c>
      <c r="BS127" s="24">
        <f t="shared" si="63"/>
        <v>3.0389226541658374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5.3205440053716299E-14</v>
      </c>
      <c r="AK128" s="14">
        <f t="shared" si="89"/>
        <v>8.602146238565607E-13</v>
      </c>
      <c r="AL128" s="22">
        <f t="shared" si="58"/>
        <v>1.590873277977066E-12</v>
      </c>
      <c r="AM128" s="62">
        <f t="shared" si="59"/>
        <v>293.33333333333491</v>
      </c>
      <c r="AN128" s="62">
        <f ca="1">AVERAGE(OFFSET($AM$3,0,0,'Données projet'!$E$10+1,1))-AVERAGE(OFFSET($H$3,0,0,'Données projet'!$E$10+1,1))</f>
        <v>160.81094423216069</v>
      </c>
      <c r="AO128" s="62">
        <f t="shared" si="90"/>
        <v>145.53871436439169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1.5983231624497389</v>
      </c>
      <c r="AV128" s="23">
        <f>EXP(-LN(2)/25)*AV127+(1-EXP(-LN(2)/25))/(LN(2)/25)*Calculateur!AQ128*Calculateur!AS128*VLOOKUP('Données projet'!$B$10,Paramètres!$A$1:$I$89,3,0)*0.475*44/12</f>
        <v>0.4059682791250192</v>
      </c>
      <c r="AW128" s="23">
        <f>EXP(-LN(2)/2)*AW127+(1-EXP(-LN(2)/2))/(LN(2)/2)*AQ128*AT128*VLOOKUP('Données projet'!$B$10,Paramètres!$A$1:$I$89,3,0)*0.475*44/12</f>
        <v>2.1468767727023641E-12</v>
      </c>
      <c r="AX128" s="23">
        <f t="shared" si="60"/>
        <v>2.0042914415769051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-1.2710188457276673E-13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374.67858373761965</v>
      </c>
      <c r="BJ128" s="62">
        <f t="shared" si="92"/>
        <v>468.38066974447543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1.9502913870343259</v>
      </c>
      <c r="BQ128" s="23">
        <f>EXP(-LN(2)/25)*BQ127+(1-EXP(-LN(2)/25))/(LN(2)/25)*Calculateur!BL128*Calculateur!BN128*VLOOKUP('Données projet'!$B$11,Paramètres!$A$1:$I$89,3,0)*0.475*44/12</f>
        <v>1.0209203235446425</v>
      </c>
      <c r="BR128" s="23">
        <f>EXP(-LN(2)/2)*BR127+(1-EXP(-LN(2)/2))/(LN(2)/2)*BL128*BO128*VLOOKUP('Données projet'!$B$11,Paramètres!$A$1:$I$89,3,0)*0.475*44/12</f>
        <v>6.3657768233936652E-14</v>
      </c>
      <c r="BS128" s="24">
        <f t="shared" si="63"/>
        <v>2.9712117105790319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5.3205440053716299E-14</v>
      </c>
      <c r="AK129" s="14">
        <f t="shared" si="89"/>
        <v>8.602146238565607E-13</v>
      </c>
      <c r="AL129" s="22">
        <f t="shared" si="58"/>
        <v>1.590873277977066E-12</v>
      </c>
      <c r="AM129" s="62">
        <f t="shared" si="59"/>
        <v>293.33333333333491</v>
      </c>
      <c r="AN129" s="62">
        <f ca="1">AVERAGE(OFFSET($AM$3,0,0,'Données projet'!$E$10+1,1))-AVERAGE(OFFSET($H$3,0,0,'Données projet'!$E$10+1,1))</f>
        <v>160.81094423216069</v>
      </c>
      <c r="AO129" s="62">
        <f t="shared" si="90"/>
        <v>145.53871436439169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1.5669810201149672</v>
      </c>
      <c r="AV129" s="23">
        <f>EXP(-LN(2)/25)*AV128+(1-EXP(-LN(2)/25))/(LN(2)/25)*Calculateur!AQ129*Calculateur!AS129*VLOOKUP('Données projet'!$B$10,Paramètres!$A$1:$I$89,3,0)*0.475*44/12</f>
        <v>0.39486705518340159</v>
      </c>
      <c r="AW129" s="23">
        <f>EXP(-LN(2)/2)*AW128+(1-EXP(-LN(2)/2))/(LN(2)/2)*AQ129*AT129*VLOOKUP('Données projet'!$B$10,Paramètres!$A$1:$I$89,3,0)*0.475*44/12</f>
        <v>1.5180711243497319E-12</v>
      </c>
      <c r="AX129" s="23">
        <f t="shared" si="60"/>
        <v>1.9618480752998868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-1.2710188457276673E-13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374.67858373761965</v>
      </c>
      <c r="BJ129" s="62">
        <f t="shared" si="92"/>
        <v>468.38066974447543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1.9120473624948695</v>
      </c>
      <c r="BQ129" s="23">
        <f>EXP(-LN(2)/25)*BQ128+(1-EXP(-LN(2)/25))/(LN(2)/25)*Calculateur!BL129*Calculateur!BN129*VLOOKUP('Données projet'!$B$11,Paramètres!$A$1:$I$89,3,0)*0.475*44/12</f>
        <v>0.99300320360944772</v>
      </c>
      <c r="BR129" s="23">
        <f>EXP(-LN(2)/2)*BR128+(1-EXP(-LN(2)/2))/(LN(2)/2)*BL129*BO129*VLOOKUP('Données projet'!$B$11,Paramètres!$A$1:$I$89,3,0)*0.475*44/12</f>
        <v>4.5012839593418201E-14</v>
      </c>
      <c r="BS129" s="24">
        <f t="shared" si="63"/>
        <v>2.9050505661043622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5.3205440053716299E-14</v>
      </c>
      <c r="AK130" s="14">
        <f t="shared" si="89"/>
        <v>8.602146238565607E-13</v>
      </c>
      <c r="AL130" s="22">
        <f t="shared" si="58"/>
        <v>1.590873277977066E-12</v>
      </c>
      <c r="AM130" s="62">
        <f t="shared" si="59"/>
        <v>293.33333333333491</v>
      </c>
      <c r="AN130" s="62">
        <f ca="1">AVERAGE(OFFSET($AM$3,0,0,'Données projet'!$E$10+1,1))-AVERAGE(OFFSET($H$3,0,0,'Données projet'!$E$10+1,1))</f>
        <v>160.81094423216069</v>
      </c>
      <c r="AO130" s="62">
        <f t="shared" si="90"/>
        <v>145.53871436439169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1.5362534780745611</v>
      </c>
      <c r="AV130" s="23">
        <f>EXP(-LN(2)/25)*AV129+(1-EXP(-LN(2)/25))/(LN(2)/25)*Calculateur!AQ130*Calculateur!AS130*VLOOKUP('Données projet'!$B$10,Paramètres!$A$1:$I$89,3,0)*0.475*44/12</f>
        <v>0.3840693947942555</v>
      </c>
      <c r="AW130" s="23">
        <f>EXP(-LN(2)/2)*AW129+(1-EXP(-LN(2)/2))/(LN(2)/2)*AQ130*AT130*VLOOKUP('Données projet'!$B$10,Paramètres!$A$1:$I$89,3,0)*0.475*44/12</f>
        <v>1.073438386351182E-12</v>
      </c>
      <c r="AX130" s="23">
        <f t="shared" si="60"/>
        <v>1.92032287286989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-1.2710188457276673E-13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374.67858373761965</v>
      </c>
      <c r="BJ130" s="62">
        <f t="shared" si="92"/>
        <v>468.38066974447543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1.8745532799500801</v>
      </c>
      <c r="BQ130" s="23">
        <f>EXP(-LN(2)/25)*BQ129+(1-EXP(-LN(2)/25))/(LN(2)/25)*Calculateur!BL130*Calculateur!BN130*VLOOKUP('Données projet'!$B$11,Paramètres!$A$1:$I$89,3,0)*0.475*44/12</f>
        <v>0.96584947878697847</v>
      </c>
      <c r="BR130" s="23">
        <f>EXP(-LN(2)/2)*BR129+(1-EXP(-LN(2)/2))/(LN(2)/2)*BL130*BO130*VLOOKUP('Données projet'!$B$11,Paramètres!$A$1:$I$89,3,0)*0.475*44/12</f>
        <v>3.1828884116968326E-14</v>
      </c>
      <c r="BS130" s="24">
        <f t="shared" si="63"/>
        <v>2.8404027587370906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5.3205440053716299E-14</v>
      </c>
      <c r="AK131" s="14">
        <f t="shared" si="89"/>
        <v>8.602146238565607E-13</v>
      </c>
      <c r="AL131" s="22">
        <f t="shared" si="58"/>
        <v>1.590873277977066E-12</v>
      </c>
      <c r="AM131" s="62">
        <f t="shared" si="59"/>
        <v>293.33333333333491</v>
      </c>
      <c r="AN131" s="62">
        <f ca="1">AVERAGE(OFFSET($AM$3,0,0,'Données projet'!$E$10+1,1))-AVERAGE(OFFSET($H$3,0,0,'Données projet'!$E$10+1,1))</f>
        <v>160.81094423216069</v>
      </c>
      <c r="AO131" s="62">
        <f t="shared" si="90"/>
        <v>145.53871436439169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1.5061284843916174</v>
      </c>
      <c r="AV131" s="23">
        <f>EXP(-LN(2)/25)*AV130+(1-EXP(-LN(2)/25))/(LN(2)/25)*Calculateur!AQ131*Calculateur!AS131*VLOOKUP('Données projet'!$B$10,Paramètres!$A$1:$I$89,3,0)*0.475*44/12</f>
        <v>0.37356699699627494</v>
      </c>
      <c r="AW131" s="23">
        <f>EXP(-LN(2)/2)*AW130+(1-EXP(-LN(2)/2))/(LN(2)/2)*AQ131*AT131*VLOOKUP('Données projet'!$B$10,Paramètres!$A$1:$I$89,3,0)*0.475*44/12</f>
        <v>7.5903556217486594E-13</v>
      </c>
      <c r="AX131" s="23">
        <f t="shared" si="60"/>
        <v>1.8796954813886513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-1.2710188457276673E-13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374.67858373761965</v>
      </c>
      <c r="BJ131" s="62">
        <f t="shared" si="92"/>
        <v>468.38066974447543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1.8377944334948619</v>
      </c>
      <c r="BQ131" s="23">
        <f>EXP(-LN(2)/25)*BQ130+(1-EXP(-LN(2)/25))/(LN(2)/25)*Calculateur!BL131*Calculateur!BN131*VLOOKUP('Données projet'!$B$11,Paramètres!$A$1:$I$89,3,0)*0.475*44/12</f>
        <v>0.93943827399773194</v>
      </c>
      <c r="BR131" s="23">
        <f>EXP(-LN(2)/2)*BR130+(1-EXP(-LN(2)/2))/(LN(2)/2)*BL131*BO131*VLOOKUP('Données projet'!$B$11,Paramètres!$A$1:$I$89,3,0)*0.475*44/12</f>
        <v>2.2506419796709101E-14</v>
      </c>
      <c r="BS131" s="24">
        <f t="shared" si="63"/>
        <v>2.7772327074926166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5.3205440053716299E-14</v>
      </c>
      <c r="AK132" s="14">
        <f t="shared" si="89"/>
        <v>8.602146238565607E-13</v>
      </c>
      <c r="AL132" s="22">
        <f t="shared" ref="AL132:AL153" si="112">(AJ132+AK132)*0.475*44/12</f>
        <v>1.590873277977066E-12</v>
      </c>
      <c r="AM132" s="62">
        <f t="shared" ref="AM132:AM195" si="113">AL132+(AD132+AE132)*44/12</f>
        <v>293.33333333333491</v>
      </c>
      <c r="AN132" s="62">
        <f ca="1">AVERAGE(OFFSET($AM$3,0,0,'Données projet'!$E$10+1,1))-AVERAGE(OFFSET($H$3,0,0,'Données projet'!$E$10+1,1))</f>
        <v>160.81094423216069</v>
      </c>
      <c r="AO132" s="62">
        <f t="shared" si="90"/>
        <v>145.53871436439169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1.4765942234603644</v>
      </c>
      <c r="AV132" s="23">
        <f>EXP(-LN(2)/25)*AV131+(1-EXP(-LN(2)/25))/(LN(2)/25)*Calculateur!AQ132*Calculateur!AS132*VLOOKUP('Données projet'!$B$10,Paramètres!$A$1:$I$89,3,0)*0.475*44/12</f>
        <v>0.36335178781837724</v>
      </c>
      <c r="AW132" s="23">
        <f>EXP(-LN(2)/2)*AW131+(1-EXP(-LN(2)/2))/(LN(2)/2)*AQ132*AT132*VLOOKUP('Données projet'!$B$10,Paramètres!$A$1:$I$89,3,0)*0.475*44/12</f>
        <v>5.3671919317559102E-13</v>
      </c>
      <c r="AX132" s="23">
        <f t="shared" ref="AX132:AX153" si="114">SUM(AU132:AW132)</f>
        <v>1.8399460112792783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-1.2710188457276673E-13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374.67858373761965</v>
      </c>
      <c r="BJ132" s="62">
        <f t="shared" si="92"/>
        <v>468.38066974447543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1.801756405597948</v>
      </c>
      <c r="BQ132" s="23">
        <f>EXP(-LN(2)/25)*BQ131+(1-EXP(-LN(2)/25))/(LN(2)/25)*Calculateur!BL132*Calculateur!BN132*VLOOKUP('Données projet'!$B$11,Paramètres!$A$1:$I$89,3,0)*0.475*44/12</f>
        <v>0.9137492849923522</v>
      </c>
      <c r="BR132" s="23">
        <f>EXP(-LN(2)/2)*BR131+(1-EXP(-LN(2)/2))/(LN(2)/2)*BL132*BO132*VLOOKUP('Données projet'!$B$11,Paramètres!$A$1:$I$89,3,0)*0.475*44/12</f>
        <v>1.5914442058484163E-14</v>
      </c>
      <c r="BS132" s="24">
        <f t="shared" ref="BS132:BS153" si="117">SUM(BP132:BR132)</f>
        <v>2.7155056905903163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5.3205440053716299E-14</v>
      </c>
      <c r="AK133" s="14">
        <f t="shared" ref="AK133:AK153" si="143">EXP(-1.0587+0.8836*LN(AJ133)+0.284)</f>
        <v>8.602146238565607E-13</v>
      </c>
      <c r="AL133" s="22">
        <f t="shared" si="112"/>
        <v>1.590873277977066E-12</v>
      </c>
      <c r="AM133" s="62">
        <f t="shared" si="113"/>
        <v>293.33333333333491</v>
      </c>
      <c r="AN133" s="62">
        <f ca="1">AVERAGE(OFFSET($AM$3,0,0,'Données projet'!$E$10+1,1))-AVERAGE(OFFSET($H$3,0,0,'Données projet'!$E$10+1,1))</f>
        <v>160.81094423216069</v>
      </c>
      <c r="AO133" s="62">
        <f t="shared" ref="AO133:AO196" si="144">$AO$3</f>
        <v>145.53871436439169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1.4476391113718527</v>
      </c>
      <c r="AV133" s="23">
        <f>EXP(-LN(2)/25)*AV132+(1-EXP(-LN(2)/25))/(LN(2)/25)*Calculateur!AQ133*Calculateur!AS133*VLOOKUP('Données projet'!$B$10,Paramètres!$A$1:$I$89,3,0)*0.475*44/12</f>
        <v>0.35341591407264367</v>
      </c>
      <c r="AW133" s="23">
        <f>EXP(-LN(2)/2)*AW132+(1-EXP(-LN(2)/2))/(LN(2)/2)*AQ133*AT133*VLOOKUP('Données projet'!$B$10,Paramètres!$A$1:$I$89,3,0)*0.475*44/12</f>
        <v>3.7951778108743297E-13</v>
      </c>
      <c r="AX133" s="23">
        <f t="shared" si="114"/>
        <v>1.8010550254448758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-1.2710188457276673E-13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374.67858373761965</v>
      </c>
      <c r="BJ133" s="62">
        <f t="shared" ref="BJ133:BJ196" si="146">$BJ$3</f>
        <v>468.38066974447543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1.766425061447066</v>
      </c>
      <c r="BQ133" s="23">
        <f>EXP(-LN(2)/25)*BQ132+(1-EXP(-LN(2)/25))/(LN(2)/25)*Calculateur!BL133*Calculateur!BN133*VLOOKUP('Données projet'!$B$11,Paramètres!$A$1:$I$89,3,0)*0.475*44/12</f>
        <v>0.88876276274224986</v>
      </c>
      <c r="BR133" s="23">
        <f>EXP(-LN(2)/2)*BR132+(1-EXP(-LN(2)/2))/(LN(2)/2)*BL133*BO133*VLOOKUP('Données projet'!$B$11,Paramètres!$A$1:$I$89,3,0)*0.475*44/12</f>
        <v>1.125320989835455E-14</v>
      </c>
      <c r="BS133" s="24">
        <f t="shared" si="117"/>
        <v>2.6551878241893268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5.3205440053716299E-14</v>
      </c>
      <c r="AK134" s="14">
        <f t="shared" si="143"/>
        <v>8.602146238565607E-13</v>
      </c>
      <c r="AL134" s="22">
        <f t="shared" si="112"/>
        <v>1.590873277977066E-12</v>
      </c>
      <c r="AM134" s="62">
        <f t="shared" si="113"/>
        <v>293.33333333333491</v>
      </c>
      <c r="AN134" s="62">
        <f ca="1">AVERAGE(OFFSET($AM$3,0,0,'Données projet'!$E$10+1,1))-AVERAGE(OFFSET($H$3,0,0,'Données projet'!$E$10+1,1))</f>
        <v>160.81094423216069</v>
      </c>
      <c r="AO134" s="62">
        <f t="shared" si="144"/>
        <v>145.53871436439169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1.4192517913705223</v>
      </c>
      <c r="AV134" s="23">
        <f>EXP(-LN(2)/25)*AV133+(1-EXP(-LN(2)/25))/(LN(2)/25)*Calculateur!AQ134*Calculateur!AS134*VLOOKUP('Données projet'!$B$10,Paramètres!$A$1:$I$89,3,0)*0.475*44/12</f>
        <v>0.34375173731699205</v>
      </c>
      <c r="AW134" s="23">
        <f>EXP(-LN(2)/2)*AW133+(1-EXP(-LN(2)/2))/(LN(2)/2)*AQ134*AT134*VLOOKUP('Données projet'!$B$10,Paramètres!$A$1:$I$89,3,0)*0.475*44/12</f>
        <v>2.6835959658779551E-13</v>
      </c>
      <c r="AX134" s="23">
        <f t="shared" si="114"/>
        <v>1.7630035286877828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-1.2710188457276673E-13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374.67858373761965</v>
      </c>
      <c r="BJ134" s="62">
        <f t="shared" si="146"/>
        <v>468.38066974447543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1.7317865434049908</v>
      </c>
      <c r="BQ134" s="23">
        <f>EXP(-LN(2)/25)*BQ133+(1-EXP(-LN(2)/25))/(LN(2)/25)*Calculateur!BL134*Calculateur!BN134*VLOOKUP('Données projet'!$B$11,Paramètres!$A$1:$I$89,3,0)*0.475*44/12</f>
        <v>0.86445949825706059</v>
      </c>
      <c r="BR134" s="23">
        <f>EXP(-LN(2)/2)*BR133+(1-EXP(-LN(2)/2))/(LN(2)/2)*BL134*BO134*VLOOKUP('Données projet'!$B$11,Paramètres!$A$1:$I$89,3,0)*0.475*44/12</f>
        <v>7.9572210292420815E-15</v>
      </c>
      <c r="BS134" s="24">
        <f t="shared" si="117"/>
        <v>2.5962460416620594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5.3205440053716299E-14</v>
      </c>
      <c r="AK135" s="14">
        <f t="shared" si="143"/>
        <v>8.602146238565607E-13</v>
      </c>
      <c r="AL135" s="22">
        <f t="shared" si="112"/>
        <v>1.590873277977066E-12</v>
      </c>
      <c r="AM135" s="62">
        <f t="shared" si="113"/>
        <v>293.33333333333491</v>
      </c>
      <c r="AN135" s="62">
        <f ca="1">AVERAGE(OFFSET($AM$3,0,0,'Données projet'!$E$10+1,1))-AVERAGE(OFFSET($H$3,0,0,'Données projet'!$E$10+1,1))</f>
        <v>160.81094423216069</v>
      </c>
      <c r="AO135" s="62">
        <f t="shared" si="144"/>
        <v>145.53871436439169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1.3914211293998624</v>
      </c>
      <c r="AV135" s="23">
        <f>EXP(-LN(2)/25)*AV134+(1-EXP(-LN(2)/25))/(LN(2)/25)*Calculateur!AQ135*Calculateur!AS135*VLOOKUP('Données projet'!$B$10,Paramètres!$A$1:$I$89,3,0)*0.475*44/12</f>
        <v>0.33435182798294066</v>
      </c>
      <c r="AW135" s="23">
        <f>EXP(-LN(2)/2)*AW134+(1-EXP(-LN(2)/2))/(LN(2)/2)*AQ135*AT135*VLOOKUP('Données projet'!$B$10,Paramètres!$A$1:$I$89,3,0)*0.475*44/12</f>
        <v>1.8975889054371649E-13</v>
      </c>
      <c r="AX135" s="23">
        <f t="shared" si="114"/>
        <v>1.725772957382993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-1.2710188457276673E-13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374.67858373761965</v>
      </c>
      <c r="BJ135" s="62">
        <f t="shared" si="146"/>
        <v>468.38066974447543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1.697827265574311</v>
      </c>
      <c r="BQ135" s="23">
        <f>EXP(-LN(2)/25)*BQ134+(1-EXP(-LN(2)/25))/(LN(2)/25)*Calculateur!BL135*Calculateur!BN135*VLOOKUP('Données projet'!$B$11,Paramètres!$A$1:$I$89,3,0)*0.475*44/12</f>
        <v>0.84082080781727198</v>
      </c>
      <c r="BR135" s="23">
        <f>EXP(-LN(2)/2)*BR134+(1-EXP(-LN(2)/2))/(LN(2)/2)*BL135*BO135*VLOOKUP('Données projet'!$B$11,Paramètres!$A$1:$I$89,3,0)*0.475*44/12</f>
        <v>5.6266049491772751E-15</v>
      </c>
      <c r="BS135" s="24">
        <f t="shared" si="117"/>
        <v>2.5386480733915886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5.3205440053716299E-14</v>
      </c>
      <c r="AK136" s="14">
        <f t="shared" si="143"/>
        <v>8.602146238565607E-13</v>
      </c>
      <c r="AL136" s="22">
        <f t="shared" si="112"/>
        <v>1.590873277977066E-12</v>
      </c>
      <c r="AM136" s="62">
        <f t="shared" si="113"/>
        <v>293.33333333333491</v>
      </c>
      <c r="AN136" s="62">
        <f ca="1">AVERAGE(OFFSET($AM$3,0,0,'Données projet'!$E$10+1,1))-AVERAGE(OFFSET($H$3,0,0,'Données projet'!$E$10+1,1))</f>
        <v>160.81094423216069</v>
      </c>
      <c r="AO136" s="62">
        <f t="shared" si="144"/>
        <v>145.53871436439169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1.3641362097354195</v>
      </c>
      <c r="AV136" s="23">
        <f>EXP(-LN(2)/25)*AV135+(1-EXP(-LN(2)/25))/(LN(2)/25)*Calculateur!AQ136*Calculateur!AS136*VLOOKUP('Données projet'!$B$10,Paramètres!$A$1:$I$89,3,0)*0.475*44/12</f>
        <v>0.32520895966394869</v>
      </c>
      <c r="AW136" s="23">
        <f>EXP(-LN(2)/2)*AW135+(1-EXP(-LN(2)/2))/(LN(2)/2)*AQ136*AT136*VLOOKUP('Données projet'!$B$10,Paramètres!$A$1:$I$89,3,0)*0.475*44/12</f>
        <v>1.3417979829389775E-13</v>
      </c>
      <c r="AX136" s="23">
        <f t="shared" si="114"/>
        <v>1.6893451693995023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-1.2710188457276673E-13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374.67858373761965</v>
      </c>
      <c r="BJ136" s="62">
        <f t="shared" si="146"/>
        <v>468.38066974447543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1.6645339084687765</v>
      </c>
      <c r="BQ136" s="23">
        <f>EXP(-LN(2)/25)*BQ135+(1-EXP(-LN(2)/25))/(LN(2)/25)*Calculateur!BL136*Calculateur!BN136*VLOOKUP('Données projet'!$B$11,Paramètres!$A$1:$I$89,3,0)*0.475*44/12</f>
        <v>0.81782851861066408</v>
      </c>
      <c r="BR136" s="23">
        <f>EXP(-LN(2)/2)*BR135+(1-EXP(-LN(2)/2))/(LN(2)/2)*BL136*BO136*VLOOKUP('Données projet'!$B$11,Paramètres!$A$1:$I$89,3,0)*0.475*44/12</f>
        <v>3.9786105146210408E-15</v>
      </c>
      <c r="BS136" s="24">
        <f t="shared" si="117"/>
        <v>2.4823624270794444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5.3205440053716299E-14</v>
      </c>
      <c r="AK137" s="14">
        <f t="shared" si="143"/>
        <v>8.602146238565607E-13</v>
      </c>
      <c r="AL137" s="22">
        <f t="shared" si="112"/>
        <v>1.590873277977066E-12</v>
      </c>
      <c r="AM137" s="62">
        <f t="shared" si="113"/>
        <v>293.33333333333491</v>
      </c>
      <c r="AN137" s="62">
        <f ca="1">AVERAGE(OFFSET($AM$3,0,0,'Données projet'!$E$10+1,1))-AVERAGE(OFFSET($H$3,0,0,'Données projet'!$E$10+1,1))</f>
        <v>160.81094423216069</v>
      </c>
      <c r="AO137" s="62">
        <f t="shared" si="144"/>
        <v>145.53871436439169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1.3373863307034386</v>
      </c>
      <c r="AV137" s="23">
        <f>EXP(-LN(2)/25)*AV136+(1-EXP(-LN(2)/25))/(LN(2)/25)*Calculateur!AQ137*Calculateur!AS137*VLOOKUP('Données projet'!$B$10,Paramètres!$A$1:$I$89,3,0)*0.475*44/12</f>
        <v>0.31631610355994211</v>
      </c>
      <c r="AW137" s="23">
        <f>EXP(-LN(2)/2)*AW136+(1-EXP(-LN(2)/2))/(LN(2)/2)*AQ137*AT137*VLOOKUP('Données projet'!$B$10,Paramètres!$A$1:$I$89,3,0)*0.475*44/12</f>
        <v>9.4879445271858243E-14</v>
      </c>
      <c r="AX137" s="23">
        <f t="shared" si="114"/>
        <v>1.6537024342634756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-1.2710188457276673E-13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374.67858373761965</v>
      </c>
      <c r="BJ137" s="62">
        <f t="shared" si="146"/>
        <v>468.38066974447543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1.6318934137891388</v>
      </c>
      <c r="BQ137" s="23">
        <f>EXP(-LN(2)/25)*BQ136+(1-EXP(-LN(2)/25))/(LN(2)/25)*Calculateur!BL137*Calculateur!BN137*VLOOKUP('Données projet'!$B$11,Paramètres!$A$1:$I$89,3,0)*0.475*44/12</f>
        <v>0.7954649547615229</v>
      </c>
      <c r="BR137" s="23">
        <f>EXP(-LN(2)/2)*BR136+(1-EXP(-LN(2)/2))/(LN(2)/2)*BL137*BO137*VLOOKUP('Données projet'!$B$11,Paramètres!$A$1:$I$89,3,0)*0.475*44/12</f>
        <v>2.8133024745886376E-15</v>
      </c>
      <c r="BS137" s="24">
        <f t="shared" si="117"/>
        <v>2.4273583685506646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5.3205440053716299E-14</v>
      </c>
      <c r="AK138" s="14">
        <f t="shared" si="143"/>
        <v>8.602146238565607E-13</v>
      </c>
      <c r="AL138" s="22">
        <f t="shared" si="112"/>
        <v>1.590873277977066E-12</v>
      </c>
      <c r="AM138" s="62">
        <f t="shared" si="113"/>
        <v>293.33333333333491</v>
      </c>
      <c r="AN138" s="62">
        <f ca="1">AVERAGE(OFFSET($AM$3,0,0,'Données projet'!$E$10+1,1))-AVERAGE(OFFSET($H$3,0,0,'Données projet'!$E$10+1,1))</f>
        <v>160.81094423216069</v>
      </c>
      <c r="AO138" s="62">
        <f t="shared" si="144"/>
        <v>145.53871436439169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1.3111610004834597</v>
      </c>
      <c r="AV138" s="23">
        <f>EXP(-LN(2)/25)*AV137+(1-EXP(-LN(2)/25))/(LN(2)/25)*Calculateur!AQ138*Calculateur!AS138*VLOOKUP('Données projet'!$B$10,Paramètres!$A$1:$I$89,3,0)*0.475*44/12</f>
        <v>0.30766642307375458</v>
      </c>
      <c r="AW138" s="23">
        <f>EXP(-LN(2)/2)*AW137+(1-EXP(-LN(2)/2))/(LN(2)/2)*AQ138*AT138*VLOOKUP('Données projet'!$B$10,Paramètres!$A$1:$I$89,3,0)*0.475*44/12</f>
        <v>6.7089899146948877E-14</v>
      </c>
      <c r="AX138" s="23">
        <f t="shared" si="114"/>
        <v>1.6188274235572813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-1.2710188457276673E-13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374.67858373761965</v>
      </c>
      <c r="BJ138" s="62">
        <f t="shared" si="146"/>
        <v>468.38066974447543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1.5998929793014329</v>
      </c>
      <c r="BQ138" s="23">
        <f>EXP(-LN(2)/25)*BQ137+(1-EXP(-LN(2)/25))/(LN(2)/25)*Calculateur!BL138*Calculateur!BN138*VLOOKUP('Données projet'!$B$11,Paramètres!$A$1:$I$89,3,0)*0.475*44/12</f>
        <v>0.77371292374188516</v>
      </c>
      <c r="BR138" s="23">
        <f>EXP(-LN(2)/2)*BR137+(1-EXP(-LN(2)/2))/(LN(2)/2)*BL138*BO138*VLOOKUP('Données projet'!$B$11,Paramètres!$A$1:$I$89,3,0)*0.475*44/12</f>
        <v>1.9893052573105204E-15</v>
      </c>
      <c r="BS138" s="24">
        <f t="shared" si="117"/>
        <v>2.3736059030433196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5.3205440053716299E-14</v>
      </c>
      <c r="AK139" s="14">
        <f t="shared" si="143"/>
        <v>8.602146238565607E-13</v>
      </c>
      <c r="AL139" s="22">
        <f t="shared" si="112"/>
        <v>1.590873277977066E-12</v>
      </c>
      <c r="AM139" s="62">
        <f t="shared" si="113"/>
        <v>293.33333333333491</v>
      </c>
      <c r="AN139" s="62">
        <f ca="1">AVERAGE(OFFSET($AM$3,0,0,'Données projet'!$E$10+1,1))-AVERAGE(OFFSET($H$3,0,0,'Données projet'!$E$10+1,1))</f>
        <v>160.81094423216069</v>
      </c>
      <c r="AO139" s="62">
        <f t="shared" si="144"/>
        <v>145.53871436439169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1.2854499329932227</v>
      </c>
      <c r="AV139" s="23">
        <f>EXP(-LN(2)/25)*AV138+(1-EXP(-LN(2)/25))/(LN(2)/25)*Calculateur!AQ139*Calculateur!AS139*VLOOKUP('Données projet'!$B$10,Paramètres!$A$1:$I$89,3,0)*0.475*44/12</f>
        <v>0.29925326855532874</v>
      </c>
      <c r="AW139" s="23">
        <f>EXP(-LN(2)/2)*AW138+(1-EXP(-LN(2)/2))/(LN(2)/2)*AQ139*AT139*VLOOKUP('Données projet'!$B$10,Paramètres!$A$1:$I$89,3,0)*0.475*44/12</f>
        <v>4.7439722635929122E-14</v>
      </c>
      <c r="AX139" s="23">
        <f t="shared" si="114"/>
        <v>1.5847032015485989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-1.2710188457276673E-13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374.67858373761965</v>
      </c>
      <c r="BJ139" s="62">
        <f t="shared" si="146"/>
        <v>468.38066974447543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1.5685200538156931</v>
      </c>
      <c r="BQ139" s="23">
        <f>EXP(-LN(2)/25)*BQ138+(1-EXP(-LN(2)/25))/(LN(2)/25)*Calculateur!BL139*Calculateur!BN139*VLOOKUP('Données projet'!$B$11,Paramètres!$A$1:$I$89,3,0)*0.475*44/12</f>
        <v>0.75255570315436904</v>
      </c>
      <c r="BR139" s="23">
        <f>EXP(-LN(2)/2)*BR138+(1-EXP(-LN(2)/2))/(LN(2)/2)*BL139*BO139*VLOOKUP('Données projet'!$B$11,Paramètres!$A$1:$I$89,3,0)*0.475*44/12</f>
        <v>1.4066512372943188E-15</v>
      </c>
      <c r="BS139" s="24">
        <f t="shared" si="117"/>
        <v>2.3210757569700635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5.3205440053716299E-14</v>
      </c>
      <c r="AK140" s="14">
        <f t="shared" si="143"/>
        <v>8.602146238565607E-13</v>
      </c>
      <c r="AL140" s="22">
        <f t="shared" si="112"/>
        <v>1.590873277977066E-12</v>
      </c>
      <c r="AM140" s="62">
        <f t="shared" si="113"/>
        <v>293.33333333333491</v>
      </c>
      <c r="AN140" s="62">
        <f ca="1">AVERAGE(OFFSET($AM$3,0,0,'Données projet'!$E$10+1,1))-AVERAGE(OFFSET($H$3,0,0,'Données projet'!$E$10+1,1))</f>
        <v>160.81094423216069</v>
      </c>
      <c r="AO140" s="62">
        <f t="shared" si="144"/>
        <v>145.53871436439169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1.2602430438542667</v>
      </c>
      <c r="AV140" s="23">
        <f>EXP(-LN(2)/25)*AV139+(1-EXP(-LN(2)/25))/(LN(2)/25)*Calculateur!AQ140*Calculateur!AS140*VLOOKUP('Données projet'!$B$10,Paramètres!$A$1:$I$89,3,0)*0.475*44/12</f>
        <v>0.29107017218963782</v>
      </c>
      <c r="AW140" s="23">
        <f>EXP(-LN(2)/2)*AW139+(1-EXP(-LN(2)/2))/(LN(2)/2)*AQ140*AT140*VLOOKUP('Données projet'!$B$10,Paramètres!$A$1:$I$89,3,0)*0.475*44/12</f>
        <v>3.3544949573474439E-14</v>
      </c>
      <c r="AX140" s="23">
        <f t="shared" si="114"/>
        <v>1.551313216043938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-1.2710188457276673E-13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374.67858373761965</v>
      </c>
      <c r="BJ140" s="62">
        <f t="shared" si="146"/>
        <v>468.38066974447543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1.5377623322631337</v>
      </c>
      <c r="BQ140" s="23">
        <f>EXP(-LN(2)/25)*BQ139+(1-EXP(-LN(2)/25))/(LN(2)/25)*Calculateur!BL140*Calculateur!BN140*VLOOKUP('Données projet'!$B$11,Paramètres!$A$1:$I$89,3,0)*0.475*44/12</f>
        <v>0.73197702787642838</v>
      </c>
      <c r="BR140" s="23">
        <f>EXP(-LN(2)/2)*BR139+(1-EXP(-LN(2)/2))/(LN(2)/2)*BL140*BO140*VLOOKUP('Données projet'!$B$11,Paramètres!$A$1:$I$89,3,0)*0.475*44/12</f>
        <v>9.9465262865526019E-16</v>
      </c>
      <c r="BS140" s="24">
        <f t="shared" si="117"/>
        <v>2.269739360139563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5.3205440053716299E-14</v>
      </c>
      <c r="AK141" s="14">
        <f t="shared" si="143"/>
        <v>8.602146238565607E-13</v>
      </c>
      <c r="AL141" s="22">
        <f t="shared" si="112"/>
        <v>1.590873277977066E-12</v>
      </c>
      <c r="AM141" s="62">
        <f t="shared" si="113"/>
        <v>293.33333333333491</v>
      </c>
      <c r="AN141" s="62">
        <f ca="1">AVERAGE(OFFSET($AM$3,0,0,'Données projet'!$E$10+1,1))-AVERAGE(OFFSET($H$3,0,0,'Données projet'!$E$10+1,1))</f>
        <v>160.81094423216069</v>
      </c>
      <c r="AO141" s="62">
        <f t="shared" si="144"/>
        <v>145.53871436439169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1.2355304464366412</v>
      </c>
      <c r="AV141" s="23">
        <f>EXP(-LN(2)/25)*AV140+(1-EXP(-LN(2)/25))/(LN(2)/25)*Calculateur!AQ141*Calculateur!AS141*VLOOKUP('Données projet'!$B$10,Paramètres!$A$1:$I$89,3,0)*0.475*44/12</f>
        <v>0.2831108430243971</v>
      </c>
      <c r="AW141" s="23">
        <f>EXP(-LN(2)/2)*AW140+(1-EXP(-LN(2)/2))/(LN(2)/2)*AQ141*AT141*VLOOKUP('Données projet'!$B$10,Paramètres!$A$1:$I$89,3,0)*0.475*44/12</f>
        <v>2.3719861317964561E-14</v>
      </c>
      <c r="AX141" s="23">
        <f t="shared" si="114"/>
        <v>1.5186412894610621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-1.2710188457276673E-13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374.67858373761965</v>
      </c>
      <c r="BJ141" s="62">
        <f t="shared" si="146"/>
        <v>468.38066974447543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1.5076077508698622</v>
      </c>
      <c r="BQ141" s="23">
        <f>EXP(-LN(2)/25)*BQ140+(1-EXP(-LN(2)/25))/(LN(2)/25)*Calculateur!BL141*Calculateur!BN141*VLOOKUP('Données projet'!$B$11,Paramètres!$A$1:$I$89,3,0)*0.475*44/12</f>
        <v>0.71196107755614846</v>
      </c>
      <c r="BR141" s="23">
        <f>EXP(-LN(2)/2)*BR140+(1-EXP(-LN(2)/2))/(LN(2)/2)*BL141*BO141*VLOOKUP('Données projet'!$B$11,Paramètres!$A$1:$I$89,3,0)*0.475*44/12</f>
        <v>7.0332561864715939E-16</v>
      </c>
      <c r="BS141" s="24">
        <f t="shared" si="117"/>
        <v>2.2195688284260116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5.3205440053716299E-14</v>
      </c>
      <c r="AK142" s="14">
        <f t="shared" si="143"/>
        <v>8.602146238565607E-13</v>
      </c>
      <c r="AL142" s="22">
        <f t="shared" si="112"/>
        <v>1.590873277977066E-12</v>
      </c>
      <c r="AM142" s="62">
        <f t="shared" si="113"/>
        <v>293.33333333333491</v>
      </c>
      <c r="AN142" s="62">
        <f ca="1">AVERAGE(OFFSET($AM$3,0,0,'Données projet'!$E$10+1,1))-AVERAGE(OFFSET($H$3,0,0,'Données projet'!$E$10+1,1))</f>
        <v>160.81094423216069</v>
      </c>
      <c r="AO142" s="62">
        <f t="shared" si="144"/>
        <v>145.53871436439169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1.2113024479811794</v>
      </c>
      <c r="AV142" s="23">
        <f>EXP(-LN(2)/25)*AV141+(1-EXP(-LN(2)/25))/(LN(2)/25)*Calculateur!AQ142*Calculateur!AS142*VLOOKUP('Données projet'!$B$10,Paramètres!$A$1:$I$89,3,0)*0.475*44/12</f>
        <v>0.2753691621337428</v>
      </c>
      <c r="AW142" s="23">
        <f>EXP(-LN(2)/2)*AW141+(1-EXP(-LN(2)/2))/(LN(2)/2)*AQ142*AT142*VLOOKUP('Données projet'!$B$10,Paramètres!$A$1:$I$89,3,0)*0.475*44/12</f>
        <v>1.6772474786737219E-14</v>
      </c>
      <c r="AX142" s="23">
        <f t="shared" si="114"/>
        <v>1.4866716101149391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-1.2710188457276673E-13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374.67858373761965</v>
      </c>
      <c r="BJ142" s="62">
        <f t="shared" si="146"/>
        <v>468.38066974447543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1.4780444824252341</v>
      </c>
      <c r="BQ142" s="23">
        <f>EXP(-LN(2)/25)*BQ141+(1-EXP(-LN(2)/25))/(LN(2)/25)*Calculateur!BL142*Calculateur!BN142*VLOOKUP('Données projet'!$B$11,Paramètres!$A$1:$I$89,3,0)*0.475*44/12</f>
        <v>0.6924924644499697</v>
      </c>
      <c r="BR142" s="23">
        <f>EXP(-LN(2)/2)*BR141+(1-EXP(-LN(2)/2))/(LN(2)/2)*BL142*BO142*VLOOKUP('Données projet'!$B$11,Paramètres!$A$1:$I$89,3,0)*0.475*44/12</f>
        <v>4.973263143276301E-16</v>
      </c>
      <c r="BS142" s="24">
        <f t="shared" si="117"/>
        <v>2.1705369468752043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5.3205440053716299E-14</v>
      </c>
      <c r="AK143" s="14">
        <f t="shared" si="143"/>
        <v>8.602146238565607E-13</v>
      </c>
      <c r="AL143" s="22">
        <f t="shared" si="112"/>
        <v>1.590873277977066E-12</v>
      </c>
      <c r="AM143" s="62">
        <f t="shared" si="113"/>
        <v>293.33333333333491</v>
      </c>
      <c r="AN143" s="62">
        <f ca="1">AVERAGE(OFFSET($AM$3,0,0,'Données projet'!$E$10+1,1))-AVERAGE(OFFSET($H$3,0,0,'Données projet'!$E$10+1,1))</f>
        <v>160.81094423216069</v>
      </c>
      <c r="AO143" s="62">
        <f t="shared" si="144"/>
        <v>145.53871436439169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1.1875495457978091</v>
      </c>
      <c r="AV143" s="23">
        <f>EXP(-LN(2)/25)*AV142+(1-EXP(-LN(2)/25))/(LN(2)/25)*Calculateur!AQ143*Calculateur!AS143*VLOOKUP('Données projet'!$B$10,Paramètres!$A$1:$I$89,3,0)*0.475*44/12</f>
        <v>0.26783917791416073</v>
      </c>
      <c r="AW143" s="23">
        <f>EXP(-LN(2)/2)*AW142+(1-EXP(-LN(2)/2))/(LN(2)/2)*AQ143*AT143*VLOOKUP('Données projet'!$B$10,Paramètres!$A$1:$I$89,3,0)*0.475*44/12</f>
        <v>1.185993065898228E-14</v>
      </c>
      <c r="AX143" s="23">
        <f t="shared" si="114"/>
        <v>1.4553887237119816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-1.2710188457276673E-13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374.67858373761965</v>
      </c>
      <c r="BJ143" s="62">
        <f t="shared" si="146"/>
        <v>468.38066974447543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1.4490609316429921</v>
      </c>
      <c r="BQ143" s="23">
        <f>EXP(-LN(2)/25)*BQ142+(1-EXP(-LN(2)/25))/(LN(2)/25)*Calculateur!BL143*Calculateur!BN143*VLOOKUP('Données projet'!$B$11,Paramètres!$A$1:$I$89,3,0)*0.475*44/12</f>
        <v>0.67355622159298933</v>
      </c>
      <c r="BR143" s="23">
        <f>EXP(-LN(2)/2)*BR142+(1-EXP(-LN(2)/2))/(LN(2)/2)*BL143*BO143*VLOOKUP('Données projet'!$B$11,Paramètres!$A$1:$I$89,3,0)*0.475*44/12</f>
        <v>3.516628093235797E-16</v>
      </c>
      <c r="BS143" s="24">
        <f t="shared" si="117"/>
        <v>2.1226171532359817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5.3205440053716299E-14</v>
      </c>
      <c r="AK144" s="14">
        <f t="shared" si="143"/>
        <v>8.602146238565607E-13</v>
      </c>
      <c r="AL144" s="22">
        <f t="shared" si="112"/>
        <v>1.590873277977066E-12</v>
      </c>
      <c r="AM144" s="62">
        <f t="shared" si="113"/>
        <v>293.33333333333491</v>
      </c>
      <c r="AN144" s="62">
        <f ca="1">AVERAGE(OFFSET($AM$3,0,0,'Données projet'!$E$10+1,1))-AVERAGE(OFFSET($H$3,0,0,'Données projet'!$E$10+1,1))</f>
        <v>160.81094423216069</v>
      </c>
      <c r="AO144" s="62">
        <f t="shared" si="144"/>
        <v>145.53871436439169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1.1642624235384149</v>
      </c>
      <c r="AV144" s="23">
        <f>EXP(-LN(2)/25)*AV143+(1-EXP(-LN(2)/25))/(LN(2)/25)*Calculateur!AQ144*Calculateur!AS144*VLOOKUP('Données projet'!$B$10,Paramètres!$A$1:$I$89,3,0)*0.475*44/12</f>
        <v>0.26051510150904778</v>
      </c>
      <c r="AW144" s="23">
        <f>EXP(-LN(2)/2)*AW143+(1-EXP(-LN(2)/2))/(LN(2)/2)*AQ144*AT144*VLOOKUP('Données projet'!$B$10,Paramètres!$A$1:$I$89,3,0)*0.475*44/12</f>
        <v>8.3862373933686097E-15</v>
      </c>
      <c r="AX144" s="23">
        <f t="shared" si="114"/>
        <v>1.424777525047471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-1.2710188457276673E-13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374.67858373761965</v>
      </c>
      <c r="BJ144" s="62">
        <f t="shared" si="146"/>
        <v>468.38066974447543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1.4206457306133693</v>
      </c>
      <c r="BQ144" s="23">
        <f>EXP(-LN(2)/25)*BQ143+(1-EXP(-LN(2)/25))/(LN(2)/25)*Calculateur!BL144*Calculateur!BN144*VLOOKUP('Données projet'!$B$11,Paramètres!$A$1:$I$89,3,0)*0.475*44/12</f>
        <v>0.65513779129274674</v>
      </c>
      <c r="BR144" s="23">
        <f>EXP(-LN(2)/2)*BR143+(1-EXP(-LN(2)/2))/(LN(2)/2)*BL144*BO144*VLOOKUP('Données projet'!$B$11,Paramètres!$A$1:$I$89,3,0)*0.475*44/12</f>
        <v>2.4866315716381505E-16</v>
      </c>
      <c r="BS144" s="24">
        <f t="shared" si="117"/>
        <v>2.0757835219061165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5.3205440053716299E-14</v>
      </c>
      <c r="AK145" s="14">
        <f t="shared" si="143"/>
        <v>8.602146238565607E-13</v>
      </c>
      <c r="AL145" s="22">
        <f t="shared" si="112"/>
        <v>1.590873277977066E-12</v>
      </c>
      <c r="AM145" s="62">
        <f t="shared" si="113"/>
        <v>293.33333333333491</v>
      </c>
      <c r="AN145" s="62">
        <f ca="1">AVERAGE(OFFSET($AM$3,0,0,'Données projet'!$E$10+1,1))-AVERAGE(OFFSET($H$3,0,0,'Données projet'!$E$10+1,1))</f>
        <v>160.81094423216069</v>
      </c>
      <c r="AO145" s="62">
        <f t="shared" si="144"/>
        <v>145.53871436439169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1.1414319475427854</v>
      </c>
      <c r="AV145" s="23">
        <f>EXP(-LN(2)/25)*AV144+(1-EXP(-LN(2)/25))/(LN(2)/25)*Calculateur!AQ145*Calculateur!AS145*VLOOKUP('Données projet'!$B$10,Paramètres!$A$1:$I$89,3,0)*0.475*44/12</f>
        <v>0.25339130235838908</v>
      </c>
      <c r="AW145" s="23">
        <f>EXP(-LN(2)/2)*AW144+(1-EXP(-LN(2)/2))/(LN(2)/2)*AQ145*AT145*VLOOKUP('Données projet'!$B$10,Paramètres!$A$1:$I$89,3,0)*0.475*44/12</f>
        <v>5.9299653294911402E-15</v>
      </c>
      <c r="AX145" s="23">
        <f t="shared" si="114"/>
        <v>1.3948232499011806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-1.2710188457276673E-13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374.67858373761965</v>
      </c>
      <c r="BJ145" s="62">
        <f t="shared" si="146"/>
        <v>468.38066974447543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1.3927877343443762</v>
      </c>
      <c r="BQ145" s="23">
        <f>EXP(-LN(2)/25)*BQ144+(1-EXP(-LN(2)/25))/(LN(2)/25)*Calculateur!BL145*Calculateur!BN145*VLOOKUP('Données projet'!$B$11,Paramètres!$A$1:$I$89,3,0)*0.475*44/12</f>
        <v>0.63722301393764746</v>
      </c>
      <c r="BR145" s="23">
        <f>EXP(-LN(2)/2)*BR144+(1-EXP(-LN(2)/2))/(LN(2)/2)*BL145*BO145*VLOOKUP('Données projet'!$B$11,Paramètres!$A$1:$I$89,3,0)*0.475*44/12</f>
        <v>1.7583140466178985E-16</v>
      </c>
      <c r="BS145" s="24">
        <f t="shared" si="117"/>
        <v>2.0300107482820238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5.3205440053716299E-14</v>
      </c>
      <c r="AK146" s="14">
        <f t="shared" si="143"/>
        <v>8.602146238565607E-13</v>
      </c>
      <c r="AL146" s="22">
        <f t="shared" si="112"/>
        <v>1.590873277977066E-12</v>
      </c>
      <c r="AM146" s="62">
        <f t="shared" si="113"/>
        <v>293.33333333333491</v>
      </c>
      <c r="AN146" s="62">
        <f ca="1">AVERAGE(OFFSET($AM$3,0,0,'Données projet'!$E$10+1,1))-AVERAGE(OFFSET($H$3,0,0,'Données projet'!$E$10+1,1))</f>
        <v>160.81094423216069</v>
      </c>
      <c r="AO146" s="62">
        <f t="shared" si="144"/>
        <v>145.53871436439169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1.119049163256215</v>
      </c>
      <c r="AV146" s="23">
        <f>EXP(-LN(2)/25)*AV145+(1-EXP(-LN(2)/25))/(LN(2)/25)*Calculateur!AQ146*Calculateur!AS146*VLOOKUP('Données projet'!$B$10,Paramètres!$A$1:$I$89,3,0)*0.475*44/12</f>
        <v>0.24646230387012946</v>
      </c>
      <c r="AW146" s="23">
        <f>EXP(-LN(2)/2)*AW145+(1-EXP(-LN(2)/2))/(LN(2)/2)*AQ146*AT146*VLOOKUP('Données projet'!$B$10,Paramètres!$A$1:$I$89,3,0)*0.475*44/12</f>
        <v>4.1931186966843048E-15</v>
      </c>
      <c r="AX146" s="23">
        <f t="shared" si="114"/>
        <v>1.3655114671263486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-1.2710188457276673E-13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374.67858373761965</v>
      </c>
      <c r="BJ146" s="62">
        <f t="shared" si="146"/>
        <v>468.38066974447543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1.3654760163905182</v>
      </c>
      <c r="BQ146" s="23">
        <f>EXP(-LN(2)/25)*BQ145+(1-EXP(-LN(2)/25))/(LN(2)/25)*Calculateur!BL146*Calculateur!BN146*VLOOKUP('Données projet'!$B$11,Paramètres!$A$1:$I$89,3,0)*0.475*44/12</f>
        <v>0.61979811711142063</v>
      </c>
      <c r="BR146" s="23">
        <f>EXP(-LN(2)/2)*BR145+(1-EXP(-LN(2)/2))/(LN(2)/2)*BL146*BO146*VLOOKUP('Données projet'!$B$11,Paramètres!$A$1:$I$89,3,0)*0.475*44/12</f>
        <v>1.2433157858190752E-16</v>
      </c>
      <c r="BS146" s="24">
        <f t="shared" si="117"/>
        <v>1.985274133501939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5.3205440053716299E-14</v>
      </c>
      <c r="AK147" s="14">
        <f t="shared" si="143"/>
        <v>8.602146238565607E-13</v>
      </c>
      <c r="AL147" s="22">
        <f t="shared" si="112"/>
        <v>1.590873277977066E-12</v>
      </c>
      <c r="AM147" s="62">
        <f t="shared" si="113"/>
        <v>293.33333333333491</v>
      </c>
      <c r="AN147" s="62">
        <f ca="1">AVERAGE(OFFSET($AM$3,0,0,'Données projet'!$E$10+1,1))-AVERAGE(OFFSET($H$3,0,0,'Données projet'!$E$10+1,1))</f>
        <v>160.81094423216069</v>
      </c>
      <c r="AO147" s="62">
        <f t="shared" si="144"/>
        <v>145.53871436439169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1.0971052917173536</v>
      </c>
      <c r="AV147" s="23">
        <f>EXP(-LN(2)/25)*AV146+(1-EXP(-LN(2)/25))/(LN(2)/25)*Calculateur!AQ147*Calculateur!AS147*VLOOKUP('Données projet'!$B$10,Paramètres!$A$1:$I$89,3,0)*0.475*44/12</f>
        <v>0.2397227792099115</v>
      </c>
      <c r="AW147" s="23">
        <f>EXP(-LN(2)/2)*AW146+(1-EXP(-LN(2)/2))/(LN(2)/2)*AQ147*AT147*VLOOKUP('Données projet'!$B$10,Paramètres!$A$1:$I$89,3,0)*0.475*44/12</f>
        <v>2.9649826647455701E-15</v>
      </c>
      <c r="AX147" s="23">
        <f t="shared" si="114"/>
        <v>1.336828070927268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-1.2710188457276673E-13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374.67858373761965</v>
      </c>
      <c r="BJ147" s="62">
        <f t="shared" si="146"/>
        <v>468.38066974447543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1.3386998645672321</v>
      </c>
      <c r="BQ147" s="23">
        <f>EXP(-LN(2)/25)*BQ146+(1-EXP(-LN(2)/25))/(LN(2)/25)*Calculateur!BL147*Calculateur!BN147*VLOOKUP('Données projet'!$B$11,Paramètres!$A$1:$I$89,3,0)*0.475*44/12</f>
        <v>0.60284970500524238</v>
      </c>
      <c r="BR147" s="23">
        <f>EXP(-LN(2)/2)*BR146+(1-EXP(-LN(2)/2))/(LN(2)/2)*BL147*BO147*VLOOKUP('Données projet'!$B$11,Paramètres!$A$1:$I$89,3,0)*0.475*44/12</f>
        <v>8.7915702330894924E-17</v>
      </c>
      <c r="BS147" s="24">
        <f t="shared" si="117"/>
        <v>1.9415495695724745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5.3205440053716299E-14</v>
      </c>
      <c r="AK148" s="14">
        <f t="shared" si="143"/>
        <v>8.602146238565607E-13</v>
      </c>
      <c r="AL148" s="22">
        <f t="shared" si="112"/>
        <v>1.590873277977066E-12</v>
      </c>
      <c r="AM148" s="62">
        <f t="shared" si="113"/>
        <v>293.33333333333491</v>
      </c>
      <c r="AN148" s="62">
        <f ca="1">AVERAGE(OFFSET($AM$3,0,0,'Données projet'!$E$10+1,1))-AVERAGE(OFFSET($H$3,0,0,'Données projet'!$E$10+1,1))</f>
        <v>160.81094423216069</v>
      </c>
      <c r="AO148" s="62">
        <f t="shared" si="144"/>
        <v>145.53871436439169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1.0755917261149295</v>
      </c>
      <c r="AV148" s="23">
        <f>EXP(-LN(2)/25)*AV147+(1-EXP(-LN(2)/25))/(LN(2)/25)*Calculateur!AQ148*Calculateur!AS148*VLOOKUP('Données projet'!$B$10,Paramètres!$A$1:$I$89,3,0)*0.475*44/12</f>
        <v>0.2331675472059434</v>
      </c>
      <c r="AW148" s="23">
        <f>EXP(-LN(2)/2)*AW147+(1-EXP(-LN(2)/2))/(LN(2)/2)*AQ148*AT148*VLOOKUP('Données projet'!$B$10,Paramètres!$A$1:$I$89,3,0)*0.475*44/12</f>
        <v>2.0965593483421524E-15</v>
      </c>
      <c r="AX148" s="23">
        <f t="shared" si="114"/>
        <v>1.3087592733208748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-1.2710188457276673E-13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374.67858373761965</v>
      </c>
      <c r="BJ148" s="62">
        <f t="shared" si="146"/>
        <v>468.38066974447543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1.3124487767493609</v>
      </c>
      <c r="BQ148" s="23">
        <f>EXP(-LN(2)/25)*BQ147+(1-EXP(-LN(2)/25))/(LN(2)/25)*Calculateur!BL148*Calculateur!BN148*VLOOKUP('Données projet'!$B$11,Paramètres!$A$1:$I$89,3,0)*0.475*44/12</f>
        <v>0.58636474811938588</v>
      </c>
      <c r="BR148" s="23">
        <f>EXP(-LN(2)/2)*BR147+(1-EXP(-LN(2)/2))/(LN(2)/2)*BL148*BO148*VLOOKUP('Données projet'!$B$11,Paramètres!$A$1:$I$89,3,0)*0.475*44/12</f>
        <v>6.2165789290953762E-17</v>
      </c>
      <c r="BS148" s="24">
        <f t="shared" si="117"/>
        <v>1.8988135248687468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5.3205440053716299E-14</v>
      </c>
      <c r="AK149" s="14">
        <f t="shared" si="143"/>
        <v>8.602146238565607E-13</v>
      </c>
      <c r="AL149" s="22">
        <f t="shared" si="112"/>
        <v>1.590873277977066E-12</v>
      </c>
      <c r="AM149" s="62">
        <f t="shared" si="113"/>
        <v>293.33333333333491</v>
      </c>
      <c r="AN149" s="62">
        <f ca="1">AVERAGE(OFFSET($AM$3,0,0,'Données projet'!$E$10+1,1))-AVERAGE(OFFSET($H$3,0,0,'Données projet'!$E$10+1,1))</f>
        <v>160.81094423216069</v>
      </c>
      <c r="AO149" s="62">
        <f t="shared" si="144"/>
        <v>145.53871436439169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1.0545000284119894</v>
      </c>
      <c r="AV149" s="23">
        <f>EXP(-LN(2)/25)*AV148+(1-EXP(-LN(2)/25))/(LN(2)/25)*Calculateur!AQ149*Calculateur!AS149*VLOOKUP('Données projet'!$B$10,Paramètres!$A$1:$I$89,3,0)*0.475*44/12</f>
        <v>0.22679156836584849</v>
      </c>
      <c r="AW149" s="23">
        <f>EXP(-LN(2)/2)*AW148+(1-EXP(-LN(2)/2))/(LN(2)/2)*AQ149*AT149*VLOOKUP('Données projet'!$B$10,Paramètres!$A$1:$I$89,3,0)*0.475*44/12</f>
        <v>1.482491332372785E-15</v>
      </c>
      <c r="AX149" s="23">
        <f t="shared" si="114"/>
        <v>1.2812915967778395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-1.2710188457276673E-13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374.67858373761965</v>
      </c>
      <c r="BJ149" s="62">
        <f t="shared" si="146"/>
        <v>468.38066974447543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1.2867124567520154</v>
      </c>
      <c r="BQ149" s="23">
        <f>EXP(-LN(2)/25)*BQ148+(1-EXP(-LN(2)/25))/(LN(2)/25)*Calculateur!BL149*Calculateur!BN149*VLOOKUP('Données projet'!$B$11,Paramètres!$A$1:$I$89,3,0)*0.475*44/12</f>
        <v>0.57033057324647929</v>
      </c>
      <c r="BR149" s="23">
        <f>EXP(-LN(2)/2)*BR148+(1-EXP(-LN(2)/2))/(LN(2)/2)*BL149*BO149*VLOOKUP('Données projet'!$B$11,Paramètres!$A$1:$I$89,3,0)*0.475*44/12</f>
        <v>4.3957851165447462E-17</v>
      </c>
      <c r="BS149" s="24">
        <f t="shared" si="117"/>
        <v>1.8570430299984948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5.3205440053716299E-14</v>
      </c>
      <c r="AK150" s="14">
        <f t="shared" si="143"/>
        <v>8.602146238565607E-13</v>
      </c>
      <c r="AL150" s="22">
        <f t="shared" si="112"/>
        <v>1.590873277977066E-12</v>
      </c>
      <c r="AM150" s="62">
        <f t="shared" si="113"/>
        <v>293.33333333333491</v>
      </c>
      <c r="AN150" s="62">
        <f ca="1">AVERAGE(OFFSET($AM$3,0,0,'Données projet'!$E$10+1,1))-AVERAGE(OFFSET($H$3,0,0,'Données projet'!$E$10+1,1))</f>
        <v>160.81094423216069</v>
      </c>
      <c r="AO150" s="62">
        <f t="shared" si="144"/>
        <v>145.53871436439169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1.0338219260363388</v>
      </c>
      <c r="AV150" s="23">
        <f>EXP(-LN(2)/25)*AV149+(1-EXP(-LN(2)/25))/(LN(2)/25)*Calculateur!AQ150*Calculateur!AS150*VLOOKUP('Données projet'!$B$10,Paramètres!$A$1:$I$89,3,0)*0.475*44/12</f>
        <v>0.22058994100243412</v>
      </c>
      <c r="AW150" s="23">
        <f>EXP(-LN(2)/2)*AW149+(1-EXP(-LN(2)/2))/(LN(2)/2)*AQ150*AT150*VLOOKUP('Données projet'!$B$10,Paramètres!$A$1:$I$89,3,0)*0.475*44/12</f>
        <v>1.0482796741710762E-15</v>
      </c>
      <c r="AX150" s="23">
        <f t="shared" si="114"/>
        <v>1.2544118670387741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-1.2710188457276673E-13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374.67858373761965</v>
      </c>
      <c r="BJ150" s="62">
        <f t="shared" si="146"/>
        <v>468.38066974447543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1.2614808102922128</v>
      </c>
      <c r="BQ150" s="23">
        <f>EXP(-LN(2)/25)*BQ149+(1-EXP(-LN(2)/25))/(LN(2)/25)*Calculateur!BL150*Calculateur!BN150*VLOOKUP('Données projet'!$B$11,Paramètres!$A$1:$I$89,3,0)*0.475*44/12</f>
        <v>0.55473485372867293</v>
      </c>
      <c r="BR150" s="23">
        <f>EXP(-LN(2)/2)*BR149+(1-EXP(-LN(2)/2))/(LN(2)/2)*BL150*BO150*VLOOKUP('Données projet'!$B$11,Paramètres!$A$1:$I$89,3,0)*0.475*44/12</f>
        <v>3.1082894645476881E-17</v>
      </c>
      <c r="BS150" s="24">
        <f t="shared" si="117"/>
        <v>1.8162156640208857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5.3205440053716299E-14</v>
      </c>
      <c r="AK151" s="14">
        <f t="shared" si="143"/>
        <v>8.602146238565607E-13</v>
      </c>
      <c r="AL151" s="22">
        <f t="shared" si="112"/>
        <v>1.590873277977066E-12</v>
      </c>
      <c r="AM151" s="62">
        <f t="shared" si="113"/>
        <v>293.33333333333491</v>
      </c>
      <c r="AN151" s="62">
        <f ca="1">AVERAGE(OFFSET($AM$3,0,0,'Données projet'!$E$10+1,1))-AVERAGE(OFFSET($H$3,0,0,'Données projet'!$E$10+1,1))</f>
        <v>160.81094423216069</v>
      </c>
      <c r="AO151" s="62">
        <f t="shared" si="144"/>
        <v>145.53871436439169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1.0135493086358776</v>
      </c>
      <c r="AV151" s="23">
        <f>EXP(-LN(2)/25)*AV150+(1-EXP(-LN(2)/25))/(LN(2)/25)*Calculateur!AQ151*Calculateur!AS151*VLOOKUP('Données projet'!$B$10,Paramètres!$A$1:$I$89,3,0)*0.475*44/12</f>
        <v>0.21455789746540171</v>
      </c>
      <c r="AW151" s="23">
        <f>EXP(-LN(2)/2)*AW150+(1-EXP(-LN(2)/2))/(LN(2)/2)*AQ151*AT151*VLOOKUP('Données projet'!$B$10,Paramètres!$A$1:$I$89,3,0)*0.475*44/12</f>
        <v>7.4124566618639252E-16</v>
      </c>
      <c r="AX151" s="23">
        <f t="shared" si="114"/>
        <v>1.2281072061012799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-1.2710188457276673E-13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374.67858373761965</v>
      </c>
      <c r="BJ151" s="62">
        <f t="shared" si="146"/>
        <v>468.38066974447543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1.2367439410297021</v>
      </c>
      <c r="BQ151" s="23">
        <f>EXP(-LN(2)/25)*BQ150+(1-EXP(-LN(2)/25))/(LN(2)/25)*Calculateur!BL151*Calculateur!BN151*VLOOKUP('Données projet'!$B$11,Paramètres!$A$1:$I$89,3,0)*0.475*44/12</f>
        <v>0.53956559998122422</v>
      </c>
      <c r="BR151" s="23">
        <f>EXP(-LN(2)/2)*BR150+(1-EXP(-LN(2)/2))/(LN(2)/2)*BL151*BO151*VLOOKUP('Données projet'!$B$11,Paramètres!$A$1:$I$89,3,0)*0.475*44/12</f>
        <v>2.1978925582723731E-17</v>
      </c>
      <c r="BS151" s="24">
        <f t="shared" si="117"/>
        <v>1.7763095410109262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5.3205440053716299E-14</v>
      </c>
      <c r="AK152" s="14">
        <f t="shared" si="143"/>
        <v>8.602146238565607E-13</v>
      </c>
      <c r="AL152" s="22">
        <f t="shared" si="112"/>
        <v>1.590873277977066E-12</v>
      </c>
      <c r="AM152" s="62">
        <f t="shared" si="113"/>
        <v>293.33333333333491</v>
      </c>
      <c r="AN152" s="62">
        <f ca="1">AVERAGE(OFFSET($AM$3,0,0,'Données projet'!$E$10+1,1))-AVERAGE(OFFSET($H$3,0,0,'Données projet'!$E$10+1,1))</f>
        <v>160.81094423216069</v>
      </c>
      <c r="AO152" s="62">
        <f t="shared" si="144"/>
        <v>145.53871436439169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0.99367422489756374</v>
      </c>
      <c r="AV152" s="23">
        <f>EXP(-LN(2)/25)*AV151+(1-EXP(-LN(2)/25))/(LN(2)/25)*Calculateur!AQ152*Calculateur!AS152*VLOOKUP('Données projet'!$B$10,Paramètres!$A$1:$I$89,3,0)*0.475*44/12</f>
        <v>0.20869080047610086</v>
      </c>
      <c r="AW152" s="23">
        <f>EXP(-LN(2)/2)*AW151+(1-EXP(-LN(2)/2))/(LN(2)/2)*AQ152*AT152*VLOOKUP('Données projet'!$B$10,Paramètres!$A$1:$I$89,3,0)*0.475*44/12</f>
        <v>5.241398370855381E-16</v>
      </c>
      <c r="AX152" s="23">
        <f t="shared" si="114"/>
        <v>1.2023650253736651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-1.2710188457276673E-13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374.67858373761965</v>
      </c>
      <c r="BJ152" s="62">
        <f t="shared" si="146"/>
        <v>468.38066974447543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1.2124921466854288</v>
      </c>
      <c r="BQ152" s="23">
        <f>EXP(-LN(2)/25)*BQ151+(1-EXP(-LN(2)/25))/(LN(2)/25)*Calculateur!BL152*Calculateur!BN152*VLOOKUP('Données projet'!$B$11,Paramètres!$A$1:$I$89,3,0)*0.475*44/12</f>
        <v>0.52481115027521597</v>
      </c>
      <c r="BR152" s="23">
        <f>EXP(-LN(2)/2)*BR151+(1-EXP(-LN(2)/2))/(LN(2)/2)*BL152*BO152*VLOOKUP('Données projet'!$B$11,Paramètres!$A$1:$I$89,3,0)*0.475*44/12</f>
        <v>1.5541447322738441E-17</v>
      </c>
      <c r="BS152" s="24">
        <f t="shared" si="117"/>
        <v>1.7373032969606448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5.3205440053716299E-14</v>
      </c>
      <c r="AK153" s="14">
        <f t="shared" si="143"/>
        <v>8.602146238565607E-13</v>
      </c>
      <c r="AL153" s="22">
        <f t="shared" si="112"/>
        <v>1.590873277977066E-12</v>
      </c>
      <c r="AM153" s="62">
        <f t="shared" si="113"/>
        <v>293.33333333333491</v>
      </c>
      <c r="AN153" s="62">
        <f ca="1">AVERAGE(OFFSET($AM$3,0,0,'Données projet'!$E$10+1,1))-AVERAGE(OFFSET($H$3,0,0,'Données projet'!$E$10+1,1))</f>
        <v>160.81094423216069</v>
      </c>
      <c r="AO153" s="62">
        <f t="shared" si="144"/>
        <v>145.53871436439169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0.9741888794287541</v>
      </c>
      <c r="AV153" s="23">
        <f>EXP(-LN(2)/25)*AV152+(1-EXP(-LN(2)/25))/(LN(2)/25)*Calculateur!AQ153*Calculateur!AS153*VLOOKUP('Données projet'!$B$10,Paramètres!$A$1:$I$89,3,0)*0.475*44/12</f>
        <v>0.20298413956250966</v>
      </c>
      <c r="AW153" s="23">
        <f>EXP(-LN(2)/2)*AW152+(1-EXP(-LN(2)/2))/(LN(2)/2)*AQ153*AT153*VLOOKUP('Données projet'!$B$10,Paramètres!$A$1:$I$89,3,0)*0.475*44/12</f>
        <v>3.7062283309319626E-16</v>
      </c>
      <c r="AX153" s="23">
        <f t="shared" si="114"/>
        <v>1.1771730189912641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-1.2710188457276673E-13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374.67858373761965</v>
      </c>
      <c r="BJ153" s="62">
        <f t="shared" si="146"/>
        <v>468.38066974447543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1.1887159152361129</v>
      </c>
      <c r="BQ153" s="23">
        <f>EXP(-LN(2)/25)*BQ152+(1-EXP(-LN(2)/25))/(LN(2)/25)*Calculateur!BL153*Calculateur!BN153*VLOOKUP('Données projet'!$B$11,Paramètres!$A$1:$I$89,3,0)*0.475*44/12</f>
        <v>0.51046016177232123</v>
      </c>
      <c r="BR153" s="23">
        <f>EXP(-LN(2)/2)*BR152+(1-EXP(-LN(2)/2))/(LN(2)/2)*BL153*BO153*VLOOKUP('Données projet'!$B$11,Paramètres!$A$1:$I$89,3,0)*0.475*44/12</f>
        <v>1.0989462791361865E-17</v>
      </c>
      <c r="BS153" s="24">
        <f t="shared" si="117"/>
        <v>1.6991760770084341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5.3205440053716299E-14</v>
      </c>
      <c r="AK154" s="14">
        <f t="shared" ref="AK154:AK203" si="164">EXP(-1.0587+0.8836*LN(AJ154)+0.284)</f>
        <v>8.602146238565607E-13</v>
      </c>
      <c r="AL154" s="22">
        <f t="shared" ref="AL154:AL203" si="165">(AJ154+AK154)*0.475*44/12</f>
        <v>1.590873277977066E-12</v>
      </c>
      <c r="AM154" s="62">
        <f t="shared" si="113"/>
        <v>293.33333333333491</v>
      </c>
      <c r="AN154" s="62">
        <f ca="1">AVERAGE(OFFSET($AM$3,0,0,'Données projet'!$E$10+1,1))-AVERAGE(OFFSET($H$3,0,0,'Données projet'!$E$10+1,1))</f>
        <v>160.81094423216069</v>
      </c>
      <c r="AO154" s="62">
        <f t="shared" si="144"/>
        <v>145.53871436439169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0.95508562969970068</v>
      </c>
      <c r="AV154" s="23">
        <f>EXP(-LN(2)/25)*AV153+(1-EXP(-LN(2)/25))/(LN(2)/25)*Calculateur!AQ154*Calculateur!AS154*VLOOKUP('Données projet'!$B$10,Paramètres!$A$1:$I$89,3,0)*0.475*44/12</f>
        <v>0.19743352759170085</v>
      </c>
      <c r="AW154" s="23">
        <f>EXP(-LN(2)/2)*AW153+(1-EXP(-LN(2)/2))/(LN(2)/2)*AQ154*AT154*VLOOKUP('Données projet'!$B$10,Paramètres!$A$1:$I$89,3,0)*0.475*44/12</f>
        <v>2.6206991854276905E-16</v>
      </c>
      <c r="AX154" s="23">
        <f t="shared" ref="AX154:AX203" si="166">SUM(AU154:AW154)</f>
        <v>1.1525191572914018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-1.2710188457276673E-13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374.67858373761965</v>
      </c>
      <c r="BJ154" s="62">
        <f t="shared" si="146"/>
        <v>468.38066974447543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1.1654059211834487</v>
      </c>
      <c r="BQ154" s="23">
        <f>EXP(-LN(2)/25)*BQ153+(1-EXP(-LN(2)/25))/(LN(2)/25)*Calculateur!BL154*Calculateur!BN154*VLOOKUP('Données projet'!$B$11,Paramètres!$A$1:$I$89,3,0)*0.475*44/12</f>
        <v>0.49650160180472386</v>
      </c>
      <c r="BR154" s="23">
        <f>EXP(-LN(2)/2)*BR153+(1-EXP(-LN(2)/2))/(LN(2)/2)*BL154*BO154*VLOOKUP('Données projet'!$B$11,Paramètres!$A$1:$I$89,3,0)*0.475*44/12</f>
        <v>7.7707236613692203E-18</v>
      </c>
      <c r="BS154" s="24">
        <f t="shared" ref="BS154:BS203" si="169">SUM(BP154:BR154)</f>
        <v>1.6619075229881726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5.3205440053716299E-14</v>
      </c>
      <c r="AK155" s="14">
        <f t="shared" si="164"/>
        <v>8.602146238565607E-13</v>
      </c>
      <c r="AL155" s="22">
        <f t="shared" si="165"/>
        <v>1.590873277977066E-12</v>
      </c>
      <c r="AM155" s="62">
        <f t="shared" si="113"/>
        <v>293.33333333333491</v>
      </c>
      <c r="AN155" s="62">
        <f ca="1">AVERAGE(OFFSET($AM$3,0,0,'Données projet'!$E$10+1,1))-AVERAGE(OFFSET($H$3,0,0,'Données projet'!$E$10+1,1))</f>
        <v>160.81094423216069</v>
      </c>
      <c r="AO155" s="62">
        <f t="shared" si="144"/>
        <v>145.53871436439169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0.93635698304600212</v>
      </c>
      <c r="AV155" s="23">
        <f>EXP(-LN(2)/25)*AV154+(1-EXP(-LN(2)/25))/(LN(2)/25)*Calculateur!AQ155*Calculateur!AS155*VLOOKUP('Données projet'!$B$10,Paramètres!$A$1:$I$89,3,0)*0.475*44/12</f>
        <v>0.19203469739712781</v>
      </c>
      <c r="AW155" s="23">
        <f>EXP(-LN(2)/2)*AW154+(1-EXP(-LN(2)/2))/(LN(2)/2)*AQ155*AT155*VLOOKUP('Données projet'!$B$10,Paramètres!$A$1:$I$89,3,0)*0.475*44/12</f>
        <v>1.8531141654659813E-16</v>
      </c>
      <c r="AX155" s="23">
        <f t="shared" si="166"/>
        <v>1.1283916804431302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-1.2710188457276673E-13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374.67858373761965</v>
      </c>
      <c r="BJ155" s="62">
        <f t="shared" si="146"/>
        <v>468.38066974447543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1.1425530218964648</v>
      </c>
      <c r="BQ155" s="23">
        <f>EXP(-LN(2)/25)*BQ154+(1-EXP(-LN(2)/25))/(LN(2)/25)*Calculateur!BL155*Calculateur!BN155*VLOOKUP('Données projet'!$B$11,Paramètres!$A$1:$I$89,3,0)*0.475*44/12</f>
        <v>0.48292473939348923</v>
      </c>
      <c r="BR155" s="23">
        <f>EXP(-LN(2)/2)*BR154+(1-EXP(-LN(2)/2))/(LN(2)/2)*BL155*BO155*VLOOKUP('Données projet'!$B$11,Paramètres!$A$1:$I$89,3,0)*0.475*44/12</f>
        <v>5.4947313956809327E-18</v>
      </c>
      <c r="BS155" s="24">
        <f t="shared" si="169"/>
        <v>1.625477761289954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5.3205440053716299E-14</v>
      </c>
      <c r="AK156" s="14">
        <f t="shared" si="164"/>
        <v>8.602146238565607E-13</v>
      </c>
      <c r="AL156" s="22">
        <f t="shared" si="165"/>
        <v>1.590873277977066E-12</v>
      </c>
      <c r="AM156" s="62">
        <f t="shared" si="113"/>
        <v>293.33333333333491</v>
      </c>
      <c r="AN156" s="62">
        <f ca="1">AVERAGE(OFFSET($AM$3,0,0,'Données projet'!$E$10+1,1))-AVERAGE(OFFSET($H$3,0,0,'Données projet'!$E$10+1,1))</f>
        <v>160.81094423216069</v>
      </c>
      <c r="AO156" s="62">
        <f t="shared" si="144"/>
        <v>145.53871436439169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0.91799559372983608</v>
      </c>
      <c r="AV156" s="23">
        <f>EXP(-LN(2)/25)*AV155+(1-EXP(-LN(2)/25))/(LN(2)/25)*Calculateur!AQ156*Calculateur!AS156*VLOOKUP('Données projet'!$B$10,Paramètres!$A$1:$I$89,3,0)*0.475*44/12</f>
        <v>0.18678349849813752</v>
      </c>
      <c r="AW156" s="23">
        <f>EXP(-LN(2)/2)*AW155+(1-EXP(-LN(2)/2))/(LN(2)/2)*AQ156*AT156*VLOOKUP('Données projet'!$B$10,Paramètres!$A$1:$I$89,3,0)*0.475*44/12</f>
        <v>1.3103495927138453E-16</v>
      </c>
      <c r="AX156" s="23">
        <f t="shared" si="166"/>
        <v>1.1047790922279739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-1.2710188457276673E-13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374.67858373761965</v>
      </c>
      <c r="BJ156" s="62">
        <f t="shared" si="146"/>
        <v>468.38066974447543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1.1201482540256065</v>
      </c>
      <c r="BQ156" s="23">
        <f>EXP(-LN(2)/25)*BQ155+(1-EXP(-LN(2)/25))/(LN(2)/25)*Calculateur!BL156*Calculateur!BN156*VLOOKUP('Données projet'!$B$11,Paramètres!$A$1:$I$89,3,0)*0.475*44/12</f>
        <v>0.46971913699886597</v>
      </c>
      <c r="BR156" s="23">
        <f>EXP(-LN(2)/2)*BR155+(1-EXP(-LN(2)/2))/(LN(2)/2)*BL156*BO156*VLOOKUP('Données projet'!$B$11,Paramètres!$A$1:$I$89,3,0)*0.475*44/12</f>
        <v>3.8853618306846101E-18</v>
      </c>
      <c r="BS156" s="24">
        <f t="shared" si="169"/>
        <v>1.5898673910244725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5.3205440053716299E-14</v>
      </c>
      <c r="AK157" s="14">
        <f t="shared" si="164"/>
        <v>8.602146238565607E-13</v>
      </c>
      <c r="AL157" s="22">
        <f t="shared" si="165"/>
        <v>1.590873277977066E-12</v>
      </c>
      <c r="AM157" s="62">
        <f t="shared" si="113"/>
        <v>293.33333333333491</v>
      </c>
      <c r="AN157" s="62">
        <f ca="1">AVERAGE(OFFSET($AM$3,0,0,'Données projet'!$E$10+1,1))-AVERAGE(OFFSET($H$3,0,0,'Données projet'!$E$10+1,1))</f>
        <v>160.81094423216069</v>
      </c>
      <c r="AO157" s="62">
        <f t="shared" si="144"/>
        <v>145.53871436439169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0.89999426005881844</v>
      </c>
      <c r="AV157" s="23">
        <f>EXP(-LN(2)/25)*AV156+(1-EXP(-LN(2)/25))/(LN(2)/25)*Calculateur!AQ157*Calculateur!AS157*VLOOKUP('Données projet'!$B$10,Paramètres!$A$1:$I$89,3,0)*0.475*44/12</f>
        <v>0.18167589390918867</v>
      </c>
      <c r="AW157" s="23">
        <f>EXP(-LN(2)/2)*AW156+(1-EXP(-LN(2)/2))/(LN(2)/2)*AQ157*AT157*VLOOKUP('Données projet'!$B$10,Paramètres!$A$1:$I$89,3,0)*0.475*44/12</f>
        <v>9.2655708273299066E-17</v>
      </c>
      <c r="AX157" s="23">
        <f t="shared" si="166"/>
        <v>1.0816701539680071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-1.2710188457276673E-13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374.67858373761965</v>
      </c>
      <c r="BJ157" s="62">
        <f t="shared" si="146"/>
        <v>468.38066974447543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1.0981828299871366</v>
      </c>
      <c r="BQ157" s="23">
        <f>EXP(-LN(2)/25)*BQ156+(1-EXP(-LN(2)/25))/(LN(2)/25)*Calculateur!BL157*Calculateur!BN157*VLOOKUP('Données projet'!$B$11,Paramètres!$A$1:$I$89,3,0)*0.475*44/12</f>
        <v>0.4568746424961761</v>
      </c>
      <c r="BR157" s="23">
        <f>EXP(-LN(2)/2)*BR156+(1-EXP(-LN(2)/2))/(LN(2)/2)*BL157*BO157*VLOOKUP('Données projet'!$B$11,Paramètres!$A$1:$I$89,3,0)*0.475*44/12</f>
        <v>2.7473656978404664E-18</v>
      </c>
      <c r="BS157" s="24">
        <f t="shared" si="169"/>
        <v>1.5550574724833126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5.3205440053716299E-14</v>
      </c>
      <c r="AK158" s="14">
        <f t="shared" si="164"/>
        <v>8.602146238565607E-13</v>
      </c>
      <c r="AL158" s="22">
        <f t="shared" si="165"/>
        <v>1.590873277977066E-12</v>
      </c>
      <c r="AM158" s="62">
        <f t="shared" si="113"/>
        <v>293.33333333333491</v>
      </c>
      <c r="AN158" s="62">
        <f ca="1">AVERAGE(OFFSET($AM$3,0,0,'Données projet'!$E$10+1,1))-AVERAGE(OFFSET($H$3,0,0,'Données projet'!$E$10+1,1))</f>
        <v>160.81094423216069</v>
      </c>
      <c r="AO158" s="62">
        <f t="shared" si="144"/>
        <v>145.53871436439169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0.88234592156136005</v>
      </c>
      <c r="AV158" s="23">
        <f>EXP(-LN(2)/25)*AV157+(1-EXP(-LN(2)/25))/(LN(2)/25)*Calculateur!AQ158*Calculateur!AS158*VLOOKUP('Données projet'!$B$10,Paramètres!$A$1:$I$89,3,0)*0.475*44/12</f>
        <v>0.17670795703632186</v>
      </c>
      <c r="AW158" s="23">
        <f>EXP(-LN(2)/2)*AW157+(1-EXP(-LN(2)/2))/(LN(2)/2)*AQ158*AT158*VLOOKUP('Données projet'!$B$10,Paramètres!$A$1:$I$89,3,0)*0.475*44/12</f>
        <v>6.5517479635692263E-17</v>
      </c>
      <c r="AX158" s="23">
        <f t="shared" si="166"/>
        <v>1.059053878597682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-1.2710188457276673E-13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374.67858373761965</v>
      </c>
      <c r="BJ158" s="62">
        <f t="shared" si="146"/>
        <v>468.38066974447543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1.0766481345164753</v>
      </c>
      <c r="BQ158" s="23">
        <f>EXP(-LN(2)/25)*BQ157+(1-EXP(-LN(2)/25))/(LN(2)/25)*Calculateur!BL158*Calculateur!BN158*VLOOKUP('Données projet'!$B$11,Paramètres!$A$1:$I$89,3,0)*0.475*44/12</f>
        <v>0.44438138137112493</v>
      </c>
      <c r="BR158" s="23">
        <f>EXP(-LN(2)/2)*BR157+(1-EXP(-LN(2)/2))/(LN(2)/2)*BL158*BO158*VLOOKUP('Données projet'!$B$11,Paramètres!$A$1:$I$89,3,0)*0.475*44/12</f>
        <v>1.9426809153423051E-18</v>
      </c>
      <c r="BS158" s="24">
        <f t="shared" si="169"/>
        <v>1.5210295158876002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5.3205440053716299E-14</v>
      </c>
      <c r="AK159" s="14">
        <f t="shared" si="164"/>
        <v>8.602146238565607E-13</v>
      </c>
      <c r="AL159" s="22">
        <f t="shared" si="165"/>
        <v>1.590873277977066E-12</v>
      </c>
      <c r="AM159" s="62">
        <f t="shared" si="113"/>
        <v>293.33333333333491</v>
      </c>
      <c r="AN159" s="62">
        <f ca="1">AVERAGE(OFFSET($AM$3,0,0,'Données projet'!$E$10+1,1))-AVERAGE(OFFSET($H$3,0,0,'Données projet'!$E$10+1,1))</f>
        <v>160.81094423216069</v>
      </c>
      <c r="AO159" s="62">
        <f t="shared" si="144"/>
        <v>145.53871436439169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0.8650436562174133</v>
      </c>
      <c r="AV159" s="23">
        <f>EXP(-LN(2)/25)*AV158+(1-EXP(-LN(2)/25))/(LN(2)/25)*Calculateur!AQ159*Calculateur!AS159*VLOOKUP('Données projet'!$B$10,Paramètres!$A$1:$I$89,3,0)*0.475*44/12</f>
        <v>0.17187586865849605</v>
      </c>
      <c r="AW159" s="23">
        <f>EXP(-LN(2)/2)*AW158+(1-EXP(-LN(2)/2))/(LN(2)/2)*AQ159*AT159*VLOOKUP('Données projet'!$B$10,Paramètres!$A$1:$I$89,3,0)*0.475*44/12</f>
        <v>4.6327854136649533E-17</v>
      </c>
      <c r="AX159" s="23">
        <f t="shared" si="166"/>
        <v>1.0369195248759093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-1.2710188457276673E-13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374.67858373761965</v>
      </c>
      <c r="BJ159" s="62">
        <f t="shared" si="146"/>
        <v>468.38066974447543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1.0555357212891265</v>
      </c>
      <c r="BQ159" s="23">
        <f>EXP(-LN(2)/25)*BQ158+(1-EXP(-LN(2)/25))/(LN(2)/25)*Calculateur!BL159*Calculateur!BN159*VLOOKUP('Données projet'!$B$11,Paramètres!$A$1:$I$89,3,0)*0.475*44/12</f>
        <v>0.43222974912853029</v>
      </c>
      <c r="BR159" s="23">
        <f>EXP(-LN(2)/2)*BR158+(1-EXP(-LN(2)/2))/(LN(2)/2)*BL159*BO159*VLOOKUP('Données projet'!$B$11,Paramètres!$A$1:$I$89,3,0)*0.475*44/12</f>
        <v>1.3736828489202332E-18</v>
      </c>
      <c r="BS159" s="24">
        <f t="shared" si="169"/>
        <v>1.4877654704176568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5.3205440053716299E-14</v>
      </c>
      <c r="AK160" s="14">
        <f t="shared" si="164"/>
        <v>8.602146238565607E-13</v>
      </c>
      <c r="AL160" s="22">
        <f t="shared" si="165"/>
        <v>1.590873277977066E-12</v>
      </c>
      <c r="AM160" s="62">
        <f t="shared" si="113"/>
        <v>293.33333333333491</v>
      </c>
      <c r="AN160" s="62">
        <f ca="1">AVERAGE(OFFSET($AM$3,0,0,'Données projet'!$E$10+1,1))-AVERAGE(OFFSET($H$3,0,0,'Données projet'!$E$10+1,1))</f>
        <v>160.81094423216069</v>
      </c>
      <c r="AO160" s="62">
        <f t="shared" si="144"/>
        <v>145.53871436439169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0.84808067774352147</v>
      </c>
      <c r="AV160" s="23">
        <f>EXP(-LN(2)/25)*AV159+(1-EXP(-LN(2)/25))/(LN(2)/25)*Calculateur!AQ160*Calculateur!AS160*VLOOKUP('Données projet'!$B$10,Paramètres!$A$1:$I$89,3,0)*0.475*44/12</f>
        <v>0.16717591399147036</v>
      </c>
      <c r="AW160" s="23">
        <f>EXP(-LN(2)/2)*AW159+(1-EXP(-LN(2)/2))/(LN(2)/2)*AQ160*AT160*VLOOKUP('Données projet'!$B$10,Paramètres!$A$1:$I$89,3,0)*0.475*44/12</f>
        <v>3.2758739817846131E-17</v>
      </c>
      <c r="AX160" s="23">
        <f t="shared" si="166"/>
        <v>1.0152565917349918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-1.2710188457276673E-13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374.67858373761965</v>
      </c>
      <c r="BJ160" s="62">
        <f t="shared" si="146"/>
        <v>468.38066974447543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1.0348373096078656</v>
      </c>
      <c r="BQ160" s="23">
        <f>EXP(-LN(2)/25)*BQ159+(1-EXP(-LN(2)/25))/(LN(2)/25)*Calculateur!BL160*Calculateur!BN160*VLOOKUP('Données projet'!$B$11,Paramètres!$A$1:$I$89,3,0)*0.475*44/12</f>
        <v>0.42041040390863599</v>
      </c>
      <c r="BR160" s="23">
        <f>EXP(-LN(2)/2)*BR159+(1-EXP(-LN(2)/2))/(LN(2)/2)*BL160*BO160*VLOOKUP('Données projet'!$B$11,Paramètres!$A$1:$I$89,3,0)*0.475*44/12</f>
        <v>9.7134045767115253E-19</v>
      </c>
      <c r="BS160" s="24">
        <f t="shared" si="169"/>
        <v>1.4552477135165016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5.3205440053716299E-14</v>
      </c>
      <c r="AK161" s="14">
        <f t="shared" si="164"/>
        <v>8.602146238565607E-13</v>
      </c>
      <c r="AL161" s="22">
        <f t="shared" si="165"/>
        <v>1.590873277977066E-12</v>
      </c>
      <c r="AM161" s="62">
        <f t="shared" si="113"/>
        <v>293.33333333333491</v>
      </c>
      <c r="AN161" s="62">
        <f ca="1">AVERAGE(OFFSET($AM$3,0,0,'Données projet'!$E$10+1,1))-AVERAGE(OFFSET($H$3,0,0,'Données projet'!$E$10+1,1))</f>
        <v>160.81094423216069</v>
      </c>
      <c r="AO161" s="62">
        <f t="shared" si="144"/>
        <v>145.53871436439169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0.83145033293110748</v>
      </c>
      <c r="AV161" s="23">
        <f>EXP(-LN(2)/25)*AV160+(1-EXP(-LN(2)/25))/(LN(2)/25)*Calculateur!AQ161*Calculateur!AS161*VLOOKUP('Données projet'!$B$10,Paramètres!$A$1:$I$89,3,0)*0.475*44/12</f>
        <v>0.16260447983197437</v>
      </c>
      <c r="AW161" s="23">
        <f>EXP(-LN(2)/2)*AW160+(1-EXP(-LN(2)/2))/(LN(2)/2)*AQ161*AT161*VLOOKUP('Données projet'!$B$10,Paramètres!$A$1:$I$89,3,0)*0.475*44/12</f>
        <v>2.3163927068324766E-17</v>
      </c>
      <c r="AX161" s="23">
        <f t="shared" si="166"/>
        <v>0.99405481276308183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-1.2710188457276673E-13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374.67858373761965</v>
      </c>
      <c r="BJ161" s="62">
        <f t="shared" si="146"/>
        <v>468.38066974447543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1.0145447811548896</v>
      </c>
      <c r="BQ161" s="23">
        <f>EXP(-LN(2)/25)*BQ160+(1-EXP(-LN(2)/25))/(LN(2)/25)*Calculateur!BL161*Calculateur!BN161*VLOOKUP('Données projet'!$B$11,Paramètres!$A$1:$I$89,3,0)*0.475*44/12</f>
        <v>0.40891425930533204</v>
      </c>
      <c r="BR161" s="23">
        <f>EXP(-LN(2)/2)*BR160+(1-EXP(-LN(2)/2))/(LN(2)/2)*BL161*BO161*VLOOKUP('Données projet'!$B$11,Paramètres!$A$1:$I$89,3,0)*0.475*44/12</f>
        <v>6.8684142446011659E-19</v>
      </c>
      <c r="BS161" s="24">
        <f t="shared" si="169"/>
        <v>1.4234590404602216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5.3205440053716299E-14</v>
      </c>
      <c r="AK162" s="14">
        <f t="shared" si="164"/>
        <v>8.602146238565607E-13</v>
      </c>
      <c r="AL162" s="22">
        <f t="shared" si="165"/>
        <v>1.590873277977066E-12</v>
      </c>
      <c r="AM162" s="62">
        <f t="shared" si="113"/>
        <v>293.33333333333491</v>
      </c>
      <c r="AN162" s="62">
        <f ca="1">AVERAGE(OFFSET($AM$3,0,0,'Données projet'!$E$10+1,1))-AVERAGE(OFFSET($H$3,0,0,'Données projet'!$E$10+1,1))</f>
        <v>160.81094423216069</v>
      </c>
      <c r="AO162" s="62">
        <f t="shared" si="144"/>
        <v>145.53871436439169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0.81514609903695612</v>
      </c>
      <c r="AV162" s="23">
        <f>EXP(-LN(2)/25)*AV161+(1-EXP(-LN(2)/25))/(LN(2)/25)*Calculateur!AQ162*Calculateur!AS162*VLOOKUP('Données projet'!$B$10,Paramètres!$A$1:$I$89,3,0)*0.475*44/12</f>
        <v>0.15815805177997108</v>
      </c>
      <c r="AW162" s="23">
        <f>EXP(-LN(2)/2)*AW161+(1-EXP(-LN(2)/2))/(LN(2)/2)*AQ162*AT162*VLOOKUP('Données projet'!$B$10,Paramètres!$A$1:$I$89,3,0)*0.475*44/12</f>
        <v>1.6379369908923066E-17</v>
      </c>
      <c r="AX162" s="23">
        <f t="shared" si="166"/>
        <v>0.97330415081692723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-1.2710188457276673E-13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374.67858373761965</v>
      </c>
      <c r="BJ162" s="62">
        <f t="shared" si="146"/>
        <v>468.38066974447543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0.99465017680765611</v>
      </c>
      <c r="BQ162" s="23">
        <f>EXP(-LN(2)/25)*BQ161+(1-EXP(-LN(2)/25))/(LN(2)/25)*Calculateur!BL162*Calculateur!BN162*VLOOKUP('Données projet'!$B$11,Paramètres!$A$1:$I$89,3,0)*0.475*44/12</f>
        <v>0.39773247738076145</v>
      </c>
      <c r="BR162" s="23">
        <f>EXP(-LN(2)/2)*BR161+(1-EXP(-LN(2)/2))/(LN(2)/2)*BL162*BO162*VLOOKUP('Données projet'!$B$11,Paramètres!$A$1:$I$89,3,0)*0.475*44/12</f>
        <v>4.8567022883557627E-19</v>
      </c>
      <c r="BS162" s="24">
        <f t="shared" si="169"/>
        <v>1.3923826541884177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5.3205440053716299E-14</v>
      </c>
      <c r="AK163" s="14">
        <f t="shared" si="164"/>
        <v>8.602146238565607E-13</v>
      </c>
      <c r="AL163" s="22">
        <f t="shared" si="165"/>
        <v>1.590873277977066E-12</v>
      </c>
      <c r="AM163" s="62">
        <f t="shared" si="113"/>
        <v>293.33333333333491</v>
      </c>
      <c r="AN163" s="62">
        <f ca="1">AVERAGE(OFFSET($AM$3,0,0,'Données projet'!$E$10+1,1))-AVERAGE(OFFSET($H$3,0,0,'Données projet'!$E$10+1,1))</f>
        <v>160.81094423216069</v>
      </c>
      <c r="AO163" s="62">
        <f t="shared" si="144"/>
        <v>145.53871436439169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0.79916158122486836</v>
      </c>
      <c r="AV163" s="23">
        <f>EXP(-LN(2)/25)*AV162+(1-EXP(-LN(2)/25))/(LN(2)/25)*Calculateur!AQ163*Calculateur!AS163*VLOOKUP('Données projet'!$B$10,Paramètres!$A$1:$I$89,3,0)*0.475*44/12</f>
        <v>0.15383321153687732</v>
      </c>
      <c r="AW163" s="23">
        <f>EXP(-LN(2)/2)*AW162+(1-EXP(-LN(2)/2))/(LN(2)/2)*AQ163*AT163*VLOOKUP('Données projet'!$B$10,Paramètres!$A$1:$I$89,3,0)*0.475*44/12</f>
        <v>1.1581963534162383E-17</v>
      </c>
      <c r="AX163" s="23">
        <f t="shared" si="166"/>
        <v>0.9529947927617457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-1.2710188457276673E-13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374.67858373761965</v>
      </c>
      <c r="BJ163" s="62">
        <f t="shared" si="146"/>
        <v>468.38066974447543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0.97514569351716152</v>
      </c>
      <c r="BQ163" s="23">
        <f>EXP(-LN(2)/25)*BQ162+(1-EXP(-LN(2)/25))/(LN(2)/25)*Calculateur!BL163*Calculateur!BN163*VLOOKUP('Données projet'!$B$11,Paramètres!$A$1:$I$89,3,0)*0.475*44/12</f>
        <v>0.38685646187094258</v>
      </c>
      <c r="BR163" s="23">
        <f>EXP(-LN(2)/2)*BR162+(1-EXP(-LN(2)/2))/(LN(2)/2)*BL163*BO163*VLOOKUP('Données projet'!$B$11,Paramètres!$A$1:$I$89,3,0)*0.475*44/12</f>
        <v>3.434207122300583E-19</v>
      </c>
      <c r="BS163" s="24">
        <f t="shared" si="169"/>
        <v>1.3620021553881041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5.3205440053716299E-14</v>
      </c>
      <c r="AK164" s="14">
        <f t="shared" si="164"/>
        <v>8.602146238565607E-13</v>
      </c>
      <c r="AL164" s="22">
        <f t="shared" si="165"/>
        <v>1.590873277977066E-12</v>
      </c>
      <c r="AM164" s="62">
        <f t="shared" si="113"/>
        <v>293.33333333333491</v>
      </c>
      <c r="AN164" s="62">
        <f ca="1">AVERAGE(OFFSET($AM$3,0,0,'Données projet'!$E$10+1,1))-AVERAGE(OFFSET($H$3,0,0,'Données projet'!$E$10+1,1))</f>
        <v>160.81094423216069</v>
      </c>
      <c r="AO164" s="62">
        <f t="shared" si="144"/>
        <v>145.53871436439169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0.78349051005748249</v>
      </c>
      <c r="AV164" s="23">
        <f>EXP(-LN(2)/25)*AV163+(1-EXP(-LN(2)/25))/(LN(2)/25)*Calculateur!AQ164*Calculateur!AS164*VLOOKUP('Données projet'!$B$10,Paramètres!$A$1:$I$89,3,0)*0.475*44/12</f>
        <v>0.1496266342776644</v>
      </c>
      <c r="AW164" s="23">
        <f>EXP(-LN(2)/2)*AW163+(1-EXP(-LN(2)/2))/(LN(2)/2)*AQ164*AT164*VLOOKUP('Données projet'!$B$10,Paramètres!$A$1:$I$89,3,0)*0.475*44/12</f>
        <v>8.1896849544615329E-18</v>
      </c>
      <c r="AX164" s="23">
        <f t="shared" si="166"/>
        <v>0.93311714433514692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-1.2710188457276673E-13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374.67858373761965</v>
      </c>
      <c r="BJ164" s="62">
        <f t="shared" si="146"/>
        <v>468.38066974447543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0.95602368124743331</v>
      </c>
      <c r="BQ164" s="23">
        <f>EXP(-LN(2)/25)*BQ163+(1-EXP(-LN(2)/25))/(LN(2)/25)*Calculateur!BL164*Calculateur!BN164*VLOOKUP('Données projet'!$B$11,Paramètres!$A$1:$I$89,3,0)*0.475*44/12</f>
        <v>0.37627785157718452</v>
      </c>
      <c r="BR164" s="23">
        <f>EXP(-LN(2)/2)*BR163+(1-EXP(-LN(2)/2))/(LN(2)/2)*BL164*BO164*VLOOKUP('Données projet'!$B$11,Paramètres!$A$1:$I$89,3,0)*0.475*44/12</f>
        <v>2.4283511441778813E-19</v>
      </c>
      <c r="BS164" s="24">
        <f t="shared" si="169"/>
        <v>1.3323015328246179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5.3205440053716299E-14</v>
      </c>
      <c r="AK165" s="14">
        <f t="shared" si="164"/>
        <v>8.602146238565607E-13</v>
      </c>
      <c r="AL165" s="22">
        <f t="shared" si="165"/>
        <v>1.590873277977066E-12</v>
      </c>
      <c r="AM165" s="62">
        <f t="shared" si="113"/>
        <v>293.33333333333491</v>
      </c>
      <c r="AN165" s="62">
        <f ca="1">AVERAGE(OFFSET($AM$3,0,0,'Données projet'!$E$10+1,1))-AVERAGE(OFFSET($H$3,0,0,'Données projet'!$E$10+1,1))</f>
        <v>160.81094423216069</v>
      </c>
      <c r="AO165" s="62">
        <f t="shared" si="144"/>
        <v>145.53871436439169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0.76812673903727946</v>
      </c>
      <c r="AV165" s="23">
        <f>EXP(-LN(2)/25)*AV164+(1-EXP(-LN(2)/25))/(LN(2)/25)*Calculateur!AQ165*Calculateur!AS165*VLOOKUP('Données projet'!$B$10,Paramètres!$A$1:$I$89,3,0)*0.475*44/12</f>
        <v>0.14553508609481894</v>
      </c>
      <c r="AW165" s="23">
        <f>EXP(-LN(2)/2)*AW164+(1-EXP(-LN(2)/2))/(LN(2)/2)*AQ165*AT165*VLOOKUP('Données projet'!$B$10,Paramètres!$A$1:$I$89,3,0)*0.475*44/12</f>
        <v>5.7909817670811916E-18</v>
      </c>
      <c r="AX165" s="23">
        <f t="shared" si="166"/>
        <v>0.91366182513209837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-1.2710188457276673E-13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374.67858373761965</v>
      </c>
      <c r="BJ165" s="62">
        <f t="shared" si="146"/>
        <v>468.38066974447543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0.93727663997503874</v>
      </c>
      <c r="BQ165" s="23">
        <f>EXP(-LN(2)/25)*BQ164+(1-EXP(-LN(2)/25))/(LN(2)/25)*Calculateur!BL165*Calculateur!BN165*VLOOKUP('Données projet'!$B$11,Paramètres!$A$1:$I$89,3,0)*0.475*44/12</f>
        <v>0.36598851393821419</v>
      </c>
      <c r="BR165" s="23">
        <f>EXP(-LN(2)/2)*BR164+(1-EXP(-LN(2)/2))/(LN(2)/2)*BL165*BO165*VLOOKUP('Données projet'!$B$11,Paramètres!$A$1:$I$89,3,0)*0.475*44/12</f>
        <v>1.7171035611502915E-19</v>
      </c>
      <c r="BS165" s="24">
        <f t="shared" si="169"/>
        <v>1.3032651539132529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5.3205440053716299E-14</v>
      </c>
      <c r="AK166" s="14">
        <f t="shared" si="164"/>
        <v>8.602146238565607E-13</v>
      </c>
      <c r="AL166" s="22">
        <f t="shared" si="165"/>
        <v>1.590873277977066E-12</v>
      </c>
      <c r="AM166" s="62">
        <f t="shared" si="113"/>
        <v>293.33333333333491</v>
      </c>
      <c r="AN166" s="62">
        <f ca="1">AVERAGE(OFFSET($AM$3,0,0,'Données projet'!$E$10+1,1))-AVERAGE(OFFSET($H$3,0,0,'Données projet'!$E$10+1,1))</f>
        <v>160.81094423216069</v>
      </c>
      <c r="AO166" s="62">
        <f t="shared" si="144"/>
        <v>145.53871436439169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0.75306424219580759</v>
      </c>
      <c r="AV166" s="23">
        <f>EXP(-LN(2)/25)*AV165+(1-EXP(-LN(2)/25))/(LN(2)/25)*Calculateur!AQ166*Calculateur!AS166*VLOOKUP('Données projet'!$B$10,Paramètres!$A$1:$I$89,3,0)*0.475*44/12</f>
        <v>0.14155542151219855</v>
      </c>
      <c r="AW166" s="23">
        <f>EXP(-LN(2)/2)*AW165+(1-EXP(-LN(2)/2))/(LN(2)/2)*AQ166*AT166*VLOOKUP('Données projet'!$B$10,Paramètres!$A$1:$I$89,3,0)*0.475*44/12</f>
        <v>4.0948424772307664E-18</v>
      </c>
      <c r="AX166" s="23">
        <f t="shared" si="166"/>
        <v>0.89461966370800616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-1.2710188457276673E-13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374.67858373761965</v>
      </c>
      <c r="BJ166" s="62">
        <f t="shared" si="146"/>
        <v>468.38066974447543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0.91889721674742963</v>
      </c>
      <c r="BQ166" s="23">
        <f>EXP(-LN(2)/25)*BQ165+(1-EXP(-LN(2)/25))/(LN(2)/25)*Calculateur!BL166*Calculateur!BN166*VLOOKUP('Données projet'!$B$11,Paramètres!$A$1:$I$89,3,0)*0.475*44/12</f>
        <v>0.35598053877807423</v>
      </c>
      <c r="BR166" s="23">
        <f>EXP(-LN(2)/2)*BR165+(1-EXP(-LN(2)/2))/(LN(2)/2)*BL166*BO166*VLOOKUP('Données projet'!$B$11,Paramètres!$A$1:$I$89,3,0)*0.475*44/12</f>
        <v>1.2141755720889407E-19</v>
      </c>
      <c r="BS166" s="24">
        <f t="shared" si="169"/>
        <v>1.274877755525504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5.3205440053716299E-14</v>
      </c>
      <c r="AK167" s="14">
        <f t="shared" si="164"/>
        <v>8.602146238565607E-13</v>
      </c>
      <c r="AL167" s="22">
        <f t="shared" si="165"/>
        <v>1.590873277977066E-12</v>
      </c>
      <c r="AM167" s="62">
        <f t="shared" si="113"/>
        <v>293.33333333333491</v>
      </c>
      <c r="AN167" s="62">
        <f ca="1">AVERAGE(OFFSET($AM$3,0,0,'Données projet'!$E$10+1,1))-AVERAGE(OFFSET($H$3,0,0,'Données projet'!$E$10+1,1))</f>
        <v>160.81094423216069</v>
      </c>
      <c r="AO167" s="62">
        <f t="shared" si="144"/>
        <v>145.53871436439169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0.73829711173018109</v>
      </c>
      <c r="AV167" s="23">
        <f>EXP(-LN(2)/25)*AV166+(1-EXP(-LN(2)/25))/(LN(2)/25)*Calculateur!AQ167*Calculateur!AS167*VLOOKUP('Données projet'!$B$10,Paramètres!$A$1:$I$89,3,0)*0.475*44/12</f>
        <v>0.1376845810668714</v>
      </c>
      <c r="AW167" s="23">
        <f>EXP(-LN(2)/2)*AW166+(1-EXP(-LN(2)/2))/(LN(2)/2)*AQ167*AT167*VLOOKUP('Données projet'!$B$10,Paramètres!$A$1:$I$89,3,0)*0.475*44/12</f>
        <v>2.8954908835405958E-18</v>
      </c>
      <c r="AX167" s="23">
        <f t="shared" si="166"/>
        <v>0.87598169279705251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-1.2710188457276673E-13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374.67858373761965</v>
      </c>
      <c r="BJ167" s="62">
        <f t="shared" si="146"/>
        <v>468.38066974447543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0.90087820279897279</v>
      </c>
      <c r="BQ167" s="23">
        <f>EXP(-LN(2)/25)*BQ166+(1-EXP(-LN(2)/25))/(LN(2)/25)*Calculateur!BL167*Calculateur!BN167*VLOOKUP('Données projet'!$B$11,Paramètres!$A$1:$I$89,3,0)*0.475*44/12</f>
        <v>0.34624623222498485</v>
      </c>
      <c r="BR167" s="23">
        <f>EXP(-LN(2)/2)*BR166+(1-EXP(-LN(2)/2))/(LN(2)/2)*BL167*BO167*VLOOKUP('Données projet'!$B$11,Paramètres!$A$1:$I$89,3,0)*0.475*44/12</f>
        <v>8.5855178057514574E-20</v>
      </c>
      <c r="BS167" s="24">
        <f t="shared" si="169"/>
        <v>1.2471244350239576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5.3205440053716299E-14</v>
      </c>
      <c r="AK168" s="14">
        <f t="shared" si="164"/>
        <v>8.602146238565607E-13</v>
      </c>
      <c r="AL168" s="22">
        <f t="shared" si="165"/>
        <v>1.590873277977066E-12</v>
      </c>
      <c r="AM168" s="62">
        <f t="shared" si="113"/>
        <v>293.33333333333491</v>
      </c>
      <c r="AN168" s="62">
        <f ca="1">AVERAGE(OFFSET($AM$3,0,0,'Données projet'!$E$10+1,1))-AVERAGE(OFFSET($H$3,0,0,'Données projet'!$E$10+1,1))</f>
        <v>160.81094423216069</v>
      </c>
      <c r="AO168" s="62">
        <f t="shared" si="144"/>
        <v>145.53871436439169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0.72381955568592526</v>
      </c>
      <c r="AV168" s="23">
        <f>EXP(-LN(2)/25)*AV167+(1-EXP(-LN(2)/25))/(LN(2)/25)*Calculateur!AQ168*Calculateur!AS168*VLOOKUP('Données projet'!$B$10,Paramètres!$A$1:$I$89,3,0)*0.475*44/12</f>
        <v>0.13391958895708037</v>
      </c>
      <c r="AW168" s="23">
        <f>EXP(-LN(2)/2)*AW167+(1-EXP(-LN(2)/2))/(LN(2)/2)*AQ168*AT168*VLOOKUP('Données projet'!$B$10,Paramètres!$A$1:$I$89,3,0)*0.475*44/12</f>
        <v>2.0474212386153832E-18</v>
      </c>
      <c r="AX168" s="23">
        <f t="shared" si="166"/>
        <v>0.8577391446430056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-1.2710188457276673E-13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374.67858373761965</v>
      </c>
      <c r="BJ168" s="62">
        <f t="shared" si="146"/>
        <v>468.38066974447543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0.8832125307235319</v>
      </c>
      <c r="BQ168" s="23">
        <f>EXP(-LN(2)/25)*BQ167+(1-EXP(-LN(2)/25))/(LN(2)/25)*Calculateur!BL168*Calculateur!BN168*VLOOKUP('Données projet'!$B$11,Paramètres!$A$1:$I$89,3,0)*0.475*44/12</f>
        <v>0.33677811079649467</v>
      </c>
      <c r="BR168" s="23">
        <f>EXP(-LN(2)/2)*BR167+(1-EXP(-LN(2)/2))/(LN(2)/2)*BL168*BO168*VLOOKUP('Données projet'!$B$11,Paramètres!$A$1:$I$89,3,0)*0.475*44/12</f>
        <v>6.0708778604447033E-20</v>
      </c>
      <c r="BS168" s="24">
        <f t="shared" si="169"/>
        <v>1.2199906415200266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5.3205440053716299E-14</v>
      </c>
      <c r="AK169" s="14">
        <f t="shared" si="164"/>
        <v>8.602146238565607E-13</v>
      </c>
      <c r="AL169" s="22">
        <f t="shared" si="165"/>
        <v>1.590873277977066E-12</v>
      </c>
      <c r="AM169" s="62">
        <f t="shared" si="113"/>
        <v>293.33333333333491</v>
      </c>
      <c r="AN169" s="62">
        <f ca="1">AVERAGE(OFFSET($AM$3,0,0,'Données projet'!$E$10+1,1))-AVERAGE(OFFSET($H$3,0,0,'Données projet'!$E$10+1,1))</f>
        <v>160.81094423216069</v>
      </c>
      <c r="AO169" s="62">
        <f t="shared" si="144"/>
        <v>145.53871436439169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0.70962589568526013</v>
      </c>
      <c r="AV169" s="23">
        <f>EXP(-LN(2)/25)*AV168+(1-EXP(-LN(2)/25))/(LN(2)/25)*Calculateur!AQ169*Calculateur!AS169*VLOOKUP('Données projet'!$B$10,Paramètres!$A$1:$I$89,3,0)*0.475*44/12</f>
        <v>0.13025755075452389</v>
      </c>
      <c r="AW169" s="23">
        <f>EXP(-LN(2)/2)*AW168+(1-EXP(-LN(2)/2))/(LN(2)/2)*AQ169*AT169*VLOOKUP('Données projet'!$B$10,Paramètres!$A$1:$I$89,3,0)*0.475*44/12</f>
        <v>1.4477454417702979E-18</v>
      </c>
      <c r="AX169" s="23">
        <f t="shared" si="166"/>
        <v>0.83988344643978396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-1.2710188457276673E-13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374.67858373761965</v>
      </c>
      <c r="BJ169" s="62">
        <f t="shared" si="146"/>
        <v>468.38066974447543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0.8658932717024943</v>
      </c>
      <c r="BQ169" s="23">
        <f>EXP(-LN(2)/25)*BQ168+(1-EXP(-LN(2)/25))/(LN(2)/25)*Calculateur!BL169*Calculateur!BN169*VLOOKUP('Données projet'!$B$11,Paramètres!$A$1:$I$89,3,0)*0.475*44/12</f>
        <v>0.32756889564637337</v>
      </c>
      <c r="BR169" s="23">
        <f>EXP(-LN(2)/2)*BR168+(1-EXP(-LN(2)/2))/(LN(2)/2)*BL169*BO169*VLOOKUP('Données projet'!$B$11,Paramètres!$A$1:$I$89,3,0)*0.475*44/12</f>
        <v>4.2927589028757287E-20</v>
      </c>
      <c r="BS169" s="24">
        <f t="shared" si="169"/>
        <v>1.1934621673488677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5.3205440053716299E-14</v>
      </c>
      <c r="AK170" s="14">
        <f t="shared" si="164"/>
        <v>8.602146238565607E-13</v>
      </c>
      <c r="AL170" s="22">
        <f t="shared" si="165"/>
        <v>1.590873277977066E-12</v>
      </c>
      <c r="AM170" s="62">
        <f t="shared" si="113"/>
        <v>293.33333333333491</v>
      </c>
      <c r="AN170" s="62">
        <f ca="1">AVERAGE(OFFSET($AM$3,0,0,'Données projet'!$E$10+1,1))-AVERAGE(OFFSET($H$3,0,0,'Données projet'!$E$10+1,1))</f>
        <v>160.81094423216069</v>
      </c>
      <c r="AO170" s="62">
        <f t="shared" si="144"/>
        <v>145.53871436439169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0.6957105646999302</v>
      </c>
      <c r="AV170" s="23">
        <f>EXP(-LN(2)/25)*AV169+(1-EXP(-LN(2)/25))/(LN(2)/25)*Calculateur!AQ170*Calculateur!AS170*VLOOKUP('Données projet'!$B$10,Paramètres!$A$1:$I$89,3,0)*0.475*44/12</f>
        <v>0.12669565117919454</v>
      </c>
      <c r="AW170" s="23">
        <f>EXP(-LN(2)/2)*AW169+(1-EXP(-LN(2)/2))/(LN(2)/2)*AQ170*AT170*VLOOKUP('Données projet'!$B$10,Paramètres!$A$1:$I$89,3,0)*0.475*44/12</f>
        <v>1.0237106193076916E-18</v>
      </c>
      <c r="AX170" s="23">
        <f t="shared" si="166"/>
        <v>0.82240621587912477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-1.2710188457276673E-13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374.67858373761965</v>
      </c>
      <c r="BJ170" s="62">
        <f t="shared" si="146"/>
        <v>468.38066974447543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0.84891363278715437</v>
      </c>
      <c r="BQ170" s="23">
        <f>EXP(-LN(2)/25)*BQ169+(1-EXP(-LN(2)/25))/(LN(2)/25)*Calculateur!BL170*Calculateur!BN170*VLOOKUP('Données projet'!$B$11,Paramètres!$A$1:$I$89,3,0)*0.475*44/12</f>
        <v>0.31861150696882373</v>
      </c>
      <c r="BR170" s="23">
        <f>EXP(-LN(2)/2)*BR169+(1-EXP(-LN(2)/2))/(LN(2)/2)*BL170*BO170*VLOOKUP('Données projet'!$B$11,Paramètres!$A$1:$I$89,3,0)*0.475*44/12</f>
        <v>3.0354389302223517E-20</v>
      </c>
      <c r="BS170" s="24">
        <f t="shared" si="169"/>
        <v>1.167525139755978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5.3205440053716299E-14</v>
      </c>
      <c r="AK171" s="14">
        <f t="shared" si="164"/>
        <v>8.602146238565607E-13</v>
      </c>
      <c r="AL171" s="22">
        <f t="shared" si="165"/>
        <v>1.590873277977066E-12</v>
      </c>
      <c r="AM171" s="62">
        <f t="shared" si="113"/>
        <v>293.33333333333491</v>
      </c>
      <c r="AN171" s="62">
        <f ca="1">AVERAGE(OFFSET($AM$3,0,0,'Données projet'!$E$10+1,1))-AVERAGE(OFFSET($H$3,0,0,'Données projet'!$E$10+1,1))</f>
        <v>160.81094423216069</v>
      </c>
      <c r="AO171" s="62">
        <f t="shared" si="144"/>
        <v>145.53871436439169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0.68206810486770875</v>
      </c>
      <c r="AV171" s="23">
        <f>EXP(-LN(2)/25)*AV170+(1-EXP(-LN(2)/25))/(LN(2)/25)*Calculateur!AQ171*Calculateur!AS171*VLOOKUP('Données projet'!$B$10,Paramètres!$A$1:$I$89,3,0)*0.475*44/12</f>
        <v>0.12323115193506473</v>
      </c>
      <c r="AW171" s="23">
        <f>EXP(-LN(2)/2)*AW170+(1-EXP(-LN(2)/2))/(LN(2)/2)*AQ171*AT171*VLOOKUP('Données projet'!$B$10,Paramètres!$A$1:$I$89,3,0)*0.475*44/12</f>
        <v>7.2387272088514895E-19</v>
      </c>
      <c r="AX171" s="23">
        <f t="shared" si="166"/>
        <v>0.80529925680277348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-1.2710188457276673E-13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374.67858373761965</v>
      </c>
      <c r="BJ171" s="62">
        <f t="shared" si="146"/>
        <v>468.38066974447543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0.83226695423438712</v>
      </c>
      <c r="BQ171" s="23">
        <f>EXP(-LN(2)/25)*BQ170+(1-EXP(-LN(2)/25))/(LN(2)/25)*Calculateur!BL171*Calculateur!BN171*VLOOKUP('Données projet'!$B$11,Paramètres!$A$1:$I$89,3,0)*0.475*44/12</f>
        <v>0.30989905855571032</v>
      </c>
      <c r="BR171" s="23">
        <f>EXP(-LN(2)/2)*BR170+(1-EXP(-LN(2)/2))/(LN(2)/2)*BL171*BO171*VLOOKUP('Données projet'!$B$11,Paramètres!$A$1:$I$89,3,0)*0.475*44/12</f>
        <v>2.1463794514378644E-20</v>
      </c>
      <c r="BS171" s="24">
        <f t="shared" si="169"/>
        <v>1.1421660127900974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5.3205440053716299E-14</v>
      </c>
      <c r="AK172" s="14">
        <f t="shared" si="164"/>
        <v>8.602146238565607E-13</v>
      </c>
      <c r="AL172" s="22">
        <f t="shared" si="165"/>
        <v>1.590873277977066E-12</v>
      </c>
      <c r="AM172" s="62">
        <f t="shared" si="113"/>
        <v>293.33333333333491</v>
      </c>
      <c r="AN172" s="62">
        <f ca="1">AVERAGE(OFFSET($AM$3,0,0,'Données projet'!$E$10+1,1))-AVERAGE(OFFSET($H$3,0,0,'Données projet'!$E$10+1,1))</f>
        <v>160.81094423216069</v>
      </c>
      <c r="AO172" s="62">
        <f t="shared" si="144"/>
        <v>145.53871436439169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0.6686931653517183</v>
      </c>
      <c r="AV172" s="23">
        <f>EXP(-LN(2)/25)*AV171+(1-EXP(-LN(2)/25))/(LN(2)/25)*Calculateur!AQ172*Calculateur!AS172*VLOOKUP('Données projet'!$B$10,Paramètres!$A$1:$I$89,3,0)*0.475*44/12</f>
        <v>0.11986138960495575</v>
      </c>
      <c r="AW172" s="23">
        <f>EXP(-LN(2)/2)*AW171+(1-EXP(-LN(2)/2))/(LN(2)/2)*AQ172*AT172*VLOOKUP('Données projet'!$B$10,Paramètres!$A$1:$I$89,3,0)*0.475*44/12</f>
        <v>5.118553096538458E-19</v>
      </c>
      <c r="AX172" s="23">
        <f t="shared" si="166"/>
        <v>0.78855455495667404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-1.2710188457276673E-13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374.67858373761965</v>
      </c>
      <c r="BJ172" s="62">
        <f t="shared" si="146"/>
        <v>468.38066974447543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0.81594670689456827</v>
      </c>
      <c r="BQ172" s="23">
        <f>EXP(-LN(2)/25)*BQ171+(1-EXP(-LN(2)/25))/(LN(2)/25)*Calculateur!BL172*Calculateur!BN172*VLOOKUP('Données projet'!$B$11,Paramètres!$A$1:$I$89,3,0)*0.475*44/12</f>
        <v>0.30142485250262119</v>
      </c>
      <c r="BR172" s="23">
        <f>EXP(-LN(2)/2)*BR171+(1-EXP(-LN(2)/2))/(LN(2)/2)*BL172*BO172*VLOOKUP('Données projet'!$B$11,Paramètres!$A$1:$I$89,3,0)*0.475*44/12</f>
        <v>1.5177194651111758E-20</v>
      </c>
      <c r="BS172" s="24">
        <f t="shared" si="169"/>
        <v>1.1173715593971894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5.3205440053716299E-14</v>
      </c>
      <c r="AK173" s="14">
        <f t="shared" si="164"/>
        <v>8.602146238565607E-13</v>
      </c>
      <c r="AL173" s="22">
        <f t="shared" si="165"/>
        <v>1.590873277977066E-12</v>
      </c>
      <c r="AM173" s="62">
        <f t="shared" si="113"/>
        <v>293.33333333333491</v>
      </c>
      <c r="AN173" s="62">
        <f ca="1">AVERAGE(OFFSET($AM$3,0,0,'Données projet'!$E$10+1,1))-AVERAGE(OFFSET($H$3,0,0,'Données projet'!$E$10+1,1))</f>
        <v>160.81094423216069</v>
      </c>
      <c r="AO173" s="62">
        <f t="shared" si="144"/>
        <v>145.53871436439169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0.65558050024172887</v>
      </c>
      <c r="AV173" s="23">
        <f>EXP(-LN(2)/25)*AV172+(1-EXP(-LN(2)/25))/(LN(2)/25)*Calculateur!AQ173*Calculateur!AS173*VLOOKUP('Données projet'!$B$10,Paramètres!$A$1:$I$89,3,0)*0.475*44/12</f>
        <v>0.1165837736029717</v>
      </c>
      <c r="AW173" s="23">
        <f>EXP(-LN(2)/2)*AW172+(1-EXP(-LN(2)/2))/(LN(2)/2)*AQ173*AT173*VLOOKUP('Données projet'!$B$10,Paramètres!$A$1:$I$89,3,0)*0.475*44/12</f>
        <v>3.6193636044257447E-19</v>
      </c>
      <c r="AX173" s="23">
        <f t="shared" si="166"/>
        <v>0.77216427384470054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-1.2710188457276673E-13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374.67858373761965</v>
      </c>
      <c r="BJ173" s="62">
        <f t="shared" si="146"/>
        <v>468.38066974447543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0.79994648965071535</v>
      </c>
      <c r="BQ173" s="23">
        <f>EXP(-LN(2)/25)*BQ172+(1-EXP(-LN(2)/25))/(LN(2)/25)*Calculateur!BL173*Calculateur!BN173*VLOOKUP('Données projet'!$B$11,Paramètres!$A$1:$I$89,3,0)*0.475*44/12</f>
        <v>0.29318237405969294</v>
      </c>
      <c r="BR173" s="23">
        <f>EXP(-LN(2)/2)*BR172+(1-EXP(-LN(2)/2))/(LN(2)/2)*BL173*BO173*VLOOKUP('Données projet'!$B$11,Paramètres!$A$1:$I$89,3,0)*0.475*44/12</f>
        <v>1.0731897257189322E-20</v>
      </c>
      <c r="BS173" s="24">
        <f t="shared" si="169"/>
        <v>1.0931288637104082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5.3205440053716299E-14</v>
      </c>
      <c r="AK174" s="14">
        <f t="shared" si="164"/>
        <v>8.602146238565607E-13</v>
      </c>
      <c r="AL174" s="22">
        <f t="shared" si="165"/>
        <v>1.590873277977066E-12</v>
      </c>
      <c r="AM174" s="62">
        <f t="shared" si="113"/>
        <v>293.33333333333491</v>
      </c>
      <c r="AN174" s="62">
        <f ca="1">AVERAGE(OFFSET($AM$3,0,0,'Données projet'!$E$10+1,1))-AVERAGE(OFFSET($H$3,0,0,'Données projet'!$E$10+1,1))</f>
        <v>160.81094423216069</v>
      </c>
      <c r="AO174" s="62">
        <f t="shared" si="144"/>
        <v>145.53871436439169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0.64272496649661037</v>
      </c>
      <c r="AV174" s="23">
        <f>EXP(-LN(2)/25)*AV173+(1-EXP(-LN(2)/25))/(LN(2)/25)*Calculateur!AQ174*Calculateur!AS174*VLOOKUP('Données projet'!$B$10,Paramètres!$A$1:$I$89,3,0)*0.475*44/12</f>
        <v>0.11339578418292424</v>
      </c>
      <c r="AW174" s="23">
        <f>EXP(-LN(2)/2)*AW173+(1-EXP(-LN(2)/2))/(LN(2)/2)*AQ174*AT174*VLOOKUP('Données projet'!$B$10,Paramètres!$A$1:$I$89,3,0)*0.475*44/12</f>
        <v>2.559276548269229E-19</v>
      </c>
      <c r="AX174" s="23">
        <f t="shared" si="166"/>
        <v>0.75612075067953466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-1.2710188457276673E-13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374.67858373761965</v>
      </c>
      <c r="BJ174" s="62">
        <f t="shared" si="146"/>
        <v>468.38066974447543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0.78426002690784546</v>
      </c>
      <c r="BQ174" s="23">
        <f>EXP(-LN(2)/25)*BQ173+(1-EXP(-LN(2)/25))/(LN(2)/25)*Calculateur!BL174*Calculateur!BN174*VLOOKUP('Données projet'!$B$11,Paramètres!$A$1:$I$89,3,0)*0.475*44/12</f>
        <v>0.28516528662323964</v>
      </c>
      <c r="BR174" s="23">
        <f>EXP(-LN(2)/2)*BR173+(1-EXP(-LN(2)/2))/(LN(2)/2)*BL174*BO174*VLOOKUP('Données projet'!$B$11,Paramètres!$A$1:$I$89,3,0)*0.475*44/12</f>
        <v>7.5885973255558792E-21</v>
      </c>
      <c r="BS174" s="24">
        <f t="shared" si="169"/>
        <v>1.0694253135310852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5.3205440053716299E-14</v>
      </c>
      <c r="AK175" s="14">
        <f t="shared" si="164"/>
        <v>8.602146238565607E-13</v>
      </c>
      <c r="AL175" s="22">
        <f t="shared" si="165"/>
        <v>1.590873277977066E-12</v>
      </c>
      <c r="AM175" s="62">
        <f t="shared" si="113"/>
        <v>293.33333333333491</v>
      </c>
      <c r="AN175" s="62">
        <f ca="1">AVERAGE(OFFSET($AM$3,0,0,'Données projet'!$E$10+1,1))-AVERAGE(OFFSET($H$3,0,0,'Données projet'!$E$10+1,1))</f>
        <v>160.81094423216069</v>
      </c>
      <c r="AO175" s="62">
        <f t="shared" si="144"/>
        <v>145.53871436439169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0.63012152192713233</v>
      </c>
      <c r="AV175" s="23">
        <f>EXP(-LN(2)/25)*AV174+(1-EXP(-LN(2)/25))/(LN(2)/25)*Calculateur!AQ175*Calculateur!AS175*VLOOKUP('Données projet'!$B$10,Paramètres!$A$1:$I$89,3,0)*0.475*44/12</f>
        <v>0.11029497050121706</v>
      </c>
      <c r="AW175" s="23">
        <f>EXP(-LN(2)/2)*AW174+(1-EXP(-LN(2)/2))/(LN(2)/2)*AQ175*AT175*VLOOKUP('Données projet'!$B$10,Paramètres!$A$1:$I$89,3,0)*0.475*44/12</f>
        <v>1.8096818022128724E-19</v>
      </c>
      <c r="AX175" s="23">
        <f t="shared" si="166"/>
        <v>0.74041649242834939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-1.2710188457276673E-13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374.67858373761965</v>
      </c>
      <c r="BJ175" s="62">
        <f t="shared" si="146"/>
        <v>468.38066974447543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0.76888116613156576</v>
      </c>
      <c r="BQ175" s="23">
        <f>EXP(-LN(2)/25)*BQ174+(1-EXP(-LN(2)/25))/(LN(2)/25)*Calculateur!BL175*Calculateur!BN175*VLOOKUP('Données projet'!$B$11,Paramètres!$A$1:$I$89,3,0)*0.475*44/12</f>
        <v>0.27736742686433646</v>
      </c>
      <c r="BR175" s="23">
        <f>EXP(-LN(2)/2)*BR174+(1-EXP(-LN(2)/2))/(LN(2)/2)*BL175*BO175*VLOOKUP('Données projet'!$B$11,Paramètres!$A$1:$I$89,3,0)*0.475*44/12</f>
        <v>5.3659486285946609E-21</v>
      </c>
      <c r="BS175" s="24">
        <f t="shared" si="169"/>
        <v>1.0462485929959022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5.3205440053716299E-14</v>
      </c>
      <c r="AK176" s="14">
        <f t="shared" si="164"/>
        <v>8.602146238565607E-13</v>
      </c>
      <c r="AL176" s="22">
        <f t="shared" si="165"/>
        <v>1.590873277977066E-12</v>
      </c>
      <c r="AM176" s="62">
        <f t="shared" si="113"/>
        <v>293.33333333333491</v>
      </c>
      <c r="AN176" s="62">
        <f ca="1">AVERAGE(OFFSET($AM$3,0,0,'Données projet'!$E$10+1,1))-AVERAGE(OFFSET($H$3,0,0,'Données projet'!$E$10+1,1))</f>
        <v>160.81094423216069</v>
      </c>
      <c r="AO176" s="62">
        <f t="shared" si="144"/>
        <v>145.53871436439169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0.61776522321831961</v>
      </c>
      <c r="AV176" s="23">
        <f>EXP(-LN(2)/25)*AV175+(1-EXP(-LN(2)/25))/(LN(2)/25)*Calculateur!AQ176*Calculateur!AS176*VLOOKUP('Données projet'!$B$10,Paramètres!$A$1:$I$89,3,0)*0.475*44/12</f>
        <v>0.10727894873270086</v>
      </c>
      <c r="AW176" s="23">
        <f>EXP(-LN(2)/2)*AW175+(1-EXP(-LN(2)/2))/(LN(2)/2)*AQ176*AT176*VLOOKUP('Données projet'!$B$10,Paramètres!$A$1:$I$89,3,0)*0.475*44/12</f>
        <v>1.2796382741346145E-19</v>
      </c>
      <c r="AX176" s="23">
        <f t="shared" si="166"/>
        <v>0.72504417195102044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-1.2710188457276673E-13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374.67858373761965</v>
      </c>
      <c r="BJ176" s="62">
        <f t="shared" si="146"/>
        <v>468.38066974447543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0.75380387543492999</v>
      </c>
      <c r="BQ176" s="23">
        <f>EXP(-LN(2)/25)*BQ175+(1-EXP(-LN(2)/25))/(LN(2)/25)*Calculateur!BL176*Calculateur!BN176*VLOOKUP('Données projet'!$B$11,Paramètres!$A$1:$I$89,3,0)*0.475*44/12</f>
        <v>0.26978279999061211</v>
      </c>
      <c r="BR176" s="23">
        <f>EXP(-LN(2)/2)*BR175+(1-EXP(-LN(2)/2))/(LN(2)/2)*BL176*BO176*VLOOKUP('Données projet'!$B$11,Paramètres!$A$1:$I$89,3,0)*0.475*44/12</f>
        <v>3.7942986627779396E-21</v>
      </c>
      <c r="BS176" s="24">
        <f t="shared" si="169"/>
        <v>1.023586675425542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5.3205440053716299E-14</v>
      </c>
      <c r="AK177" s="14">
        <f t="shared" si="164"/>
        <v>8.602146238565607E-13</v>
      </c>
      <c r="AL177" s="22">
        <f t="shared" si="165"/>
        <v>1.590873277977066E-12</v>
      </c>
      <c r="AM177" s="62">
        <f t="shared" si="113"/>
        <v>293.33333333333491</v>
      </c>
      <c r="AN177" s="62">
        <f ca="1">AVERAGE(OFFSET($AM$3,0,0,'Données projet'!$E$10+1,1))-AVERAGE(OFFSET($H$3,0,0,'Données projet'!$E$10+1,1))</f>
        <v>160.81094423216069</v>
      </c>
      <c r="AO177" s="62">
        <f t="shared" si="144"/>
        <v>145.53871436439169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0.60565122399058868</v>
      </c>
      <c r="AV177" s="23">
        <f>EXP(-LN(2)/25)*AV176+(1-EXP(-LN(2)/25))/(LN(2)/25)*Calculateur!AQ177*Calculateur!AS177*VLOOKUP('Données projet'!$B$10,Paramètres!$A$1:$I$89,3,0)*0.475*44/12</f>
        <v>0.10434540023805043</v>
      </c>
      <c r="AW177" s="23">
        <f>EXP(-LN(2)/2)*AW176+(1-EXP(-LN(2)/2))/(LN(2)/2)*AQ177*AT177*VLOOKUP('Données projet'!$B$10,Paramètres!$A$1:$I$89,3,0)*0.475*44/12</f>
        <v>9.0484090110643619E-20</v>
      </c>
      <c r="AX177" s="23">
        <f t="shared" si="166"/>
        <v>0.70999662422863907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-1.2710188457276673E-13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374.67858373761965</v>
      </c>
      <c r="BJ177" s="62">
        <f t="shared" si="146"/>
        <v>468.38066974447543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0.73902224121261606</v>
      </c>
      <c r="BQ177" s="23">
        <f>EXP(-LN(2)/25)*BQ176+(1-EXP(-LN(2)/25))/(LN(2)/25)*Calculateur!BL177*Calculateur!BN177*VLOOKUP('Données projet'!$B$11,Paramètres!$A$1:$I$89,3,0)*0.475*44/12</f>
        <v>0.26240557513760798</v>
      </c>
      <c r="BR177" s="23">
        <f>EXP(-LN(2)/2)*BR176+(1-EXP(-LN(2)/2))/(LN(2)/2)*BL177*BO177*VLOOKUP('Données projet'!$B$11,Paramètres!$A$1:$I$89,3,0)*0.475*44/12</f>
        <v>2.6829743142973304E-21</v>
      </c>
      <c r="BS177" s="24">
        <f t="shared" si="169"/>
        <v>1.0014278163502239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5.3205440053716299E-14</v>
      </c>
      <c r="AK178" s="14">
        <f t="shared" si="164"/>
        <v>8.602146238565607E-13</v>
      </c>
      <c r="AL178" s="22">
        <f t="shared" si="165"/>
        <v>1.590873277977066E-12</v>
      </c>
      <c r="AM178" s="62">
        <f t="shared" si="113"/>
        <v>293.33333333333491</v>
      </c>
      <c r="AN178" s="62">
        <f ca="1">AVERAGE(OFFSET($AM$3,0,0,'Données projet'!$E$10+1,1))-AVERAGE(OFFSET($H$3,0,0,'Données projet'!$E$10+1,1))</f>
        <v>160.81094423216069</v>
      </c>
      <c r="AO178" s="62">
        <f t="shared" si="144"/>
        <v>145.53871436439169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0.59377477289890357</v>
      </c>
      <c r="AV178" s="23">
        <f>EXP(-LN(2)/25)*AV177+(1-EXP(-LN(2)/25))/(LN(2)/25)*Calculateur!AQ178*Calculateur!AS178*VLOOKUP('Données projet'!$B$10,Paramètres!$A$1:$I$89,3,0)*0.475*44/12</f>
        <v>0.10149206978125483</v>
      </c>
      <c r="AW178" s="23">
        <f>EXP(-LN(2)/2)*AW177+(1-EXP(-LN(2)/2))/(LN(2)/2)*AQ178*AT178*VLOOKUP('Données projet'!$B$10,Paramètres!$A$1:$I$89,3,0)*0.475*44/12</f>
        <v>6.3981913706730726E-20</v>
      </c>
      <c r="AX178" s="23">
        <f t="shared" si="166"/>
        <v>0.69526684268015837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-1.2710188457276673E-13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374.67858373761965</v>
      </c>
      <c r="BJ178" s="62">
        <f t="shared" si="146"/>
        <v>468.38066974447543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0.72453046582149505</v>
      </c>
      <c r="BQ178" s="23">
        <f>EXP(-LN(2)/25)*BQ177+(1-EXP(-LN(2)/25))/(LN(2)/25)*Calculateur!BL178*Calculateur!BN178*VLOOKUP('Données projet'!$B$11,Paramètres!$A$1:$I$89,3,0)*0.475*44/12</f>
        <v>0.25523008088616062</v>
      </c>
      <c r="BR178" s="23">
        <f>EXP(-LN(2)/2)*BR177+(1-EXP(-LN(2)/2))/(LN(2)/2)*BL178*BO178*VLOOKUP('Données projet'!$B$11,Paramètres!$A$1:$I$89,3,0)*0.475*44/12</f>
        <v>1.8971493313889698E-21</v>
      </c>
      <c r="BS178" s="24">
        <f t="shared" si="169"/>
        <v>0.97976054670765567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5.3205440053716299E-14</v>
      </c>
      <c r="AK179" s="14">
        <f t="shared" si="164"/>
        <v>8.602146238565607E-13</v>
      </c>
      <c r="AL179" s="22">
        <f t="shared" si="165"/>
        <v>1.590873277977066E-12</v>
      </c>
      <c r="AM179" s="62">
        <f t="shared" si="113"/>
        <v>293.33333333333491</v>
      </c>
      <c r="AN179" s="62">
        <f ca="1">AVERAGE(OFFSET($AM$3,0,0,'Données projet'!$E$10+1,1))-AVERAGE(OFFSET($H$3,0,0,'Données projet'!$E$10+1,1))</f>
        <v>160.81094423216069</v>
      </c>
      <c r="AO179" s="62">
        <f t="shared" si="144"/>
        <v>145.53871436439169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0.58213121176920657</v>
      </c>
      <c r="AV179" s="23">
        <f>EXP(-LN(2)/25)*AV178+(1-EXP(-LN(2)/25))/(LN(2)/25)*Calculateur!AQ179*Calculateur!AS179*VLOOKUP('Données projet'!$B$10,Paramètres!$A$1:$I$89,3,0)*0.475*44/12</f>
        <v>9.8716763795850426E-2</v>
      </c>
      <c r="AW179" s="23">
        <f>EXP(-LN(2)/2)*AW178+(1-EXP(-LN(2)/2))/(LN(2)/2)*AQ179*AT179*VLOOKUP('Données projet'!$B$10,Paramètres!$A$1:$I$89,3,0)*0.475*44/12</f>
        <v>4.5242045055321809E-20</v>
      </c>
      <c r="AX179" s="23">
        <f t="shared" si="166"/>
        <v>0.68084797556505694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-1.2710188457276673E-13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374.67858373761965</v>
      </c>
      <c r="BJ179" s="62">
        <f t="shared" si="146"/>
        <v>468.38066974447543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0.71032286530668376</v>
      </c>
      <c r="BQ179" s="23">
        <f>EXP(-LN(2)/25)*BQ178+(1-EXP(-LN(2)/25))/(LN(2)/25)*Calculateur!BL179*Calculateur!BN179*VLOOKUP('Données projet'!$B$11,Paramètres!$A$1:$I$89,3,0)*0.475*44/12</f>
        <v>0.24825080090236193</v>
      </c>
      <c r="BR179" s="23">
        <f>EXP(-LN(2)/2)*BR178+(1-EXP(-LN(2)/2))/(LN(2)/2)*BL179*BO179*VLOOKUP('Données projet'!$B$11,Paramètres!$A$1:$I$89,3,0)*0.475*44/12</f>
        <v>1.3414871571486652E-21</v>
      </c>
      <c r="BS179" s="24">
        <f t="shared" si="169"/>
        <v>0.95857366620904572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5.3205440053716299E-14</v>
      </c>
      <c r="AK180" s="14">
        <f t="shared" si="164"/>
        <v>8.602146238565607E-13</v>
      </c>
      <c r="AL180" s="22">
        <f t="shared" si="165"/>
        <v>1.590873277977066E-12</v>
      </c>
      <c r="AM180" s="62">
        <f t="shared" si="113"/>
        <v>293.33333333333491</v>
      </c>
      <c r="AN180" s="62">
        <f ca="1">AVERAGE(OFFSET($AM$3,0,0,'Données projet'!$E$10+1,1))-AVERAGE(OFFSET($H$3,0,0,'Données projet'!$E$10+1,1))</f>
        <v>160.81094423216069</v>
      </c>
      <c r="AO180" s="62">
        <f t="shared" si="144"/>
        <v>145.53871436439169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0.57071597377139183</v>
      </c>
      <c r="AV180" s="23">
        <f>EXP(-LN(2)/25)*AV179+(1-EXP(-LN(2)/25))/(LN(2)/25)*Calculateur!AQ180*Calculateur!AS180*VLOOKUP('Données projet'!$B$10,Paramètres!$A$1:$I$89,3,0)*0.475*44/12</f>
        <v>9.6017348698563904E-2</v>
      </c>
      <c r="AW180" s="23">
        <f>EXP(-LN(2)/2)*AW179+(1-EXP(-LN(2)/2))/(LN(2)/2)*AQ180*AT180*VLOOKUP('Données projet'!$B$10,Paramètres!$A$1:$I$89,3,0)*0.475*44/12</f>
        <v>3.1990956853365363E-20</v>
      </c>
      <c r="AX180" s="23">
        <f t="shared" si="166"/>
        <v>0.66673332246995576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-1.2710188457276673E-13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374.67858373761965</v>
      </c>
      <c r="BJ180" s="62">
        <f t="shared" si="146"/>
        <v>468.38066974447543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0.69639386717218721</v>
      </c>
      <c r="BQ180" s="23">
        <f>EXP(-LN(2)/25)*BQ179+(1-EXP(-LN(2)/25))/(LN(2)/25)*Calculateur!BL180*Calculateur!BN180*VLOOKUP('Données projet'!$B$11,Paramètres!$A$1:$I$89,3,0)*0.475*44/12</f>
        <v>0.24146236969674462</v>
      </c>
      <c r="BR180" s="23">
        <f>EXP(-LN(2)/2)*BR179+(1-EXP(-LN(2)/2))/(LN(2)/2)*BL180*BO180*VLOOKUP('Données projet'!$B$11,Paramètres!$A$1:$I$89,3,0)*0.475*44/12</f>
        <v>9.4857466569448489E-22</v>
      </c>
      <c r="BS180" s="24">
        <f t="shared" si="169"/>
        <v>0.93785623686893183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5.3205440053716299E-14</v>
      </c>
      <c r="AK181" s="14">
        <f t="shared" si="164"/>
        <v>8.602146238565607E-13</v>
      </c>
      <c r="AL181" s="22">
        <f t="shared" si="165"/>
        <v>1.590873277977066E-12</v>
      </c>
      <c r="AM181" s="62">
        <f t="shared" si="113"/>
        <v>293.33333333333491</v>
      </c>
      <c r="AN181" s="62">
        <f ca="1">AVERAGE(OFFSET($AM$3,0,0,'Données projet'!$E$10+1,1))-AVERAGE(OFFSET($H$3,0,0,'Données projet'!$E$10+1,1))</f>
        <v>160.81094423216069</v>
      </c>
      <c r="AO181" s="62">
        <f t="shared" si="144"/>
        <v>145.53871436439169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0.55952458162810659</v>
      </c>
      <c r="AV181" s="23">
        <f>EXP(-LN(2)/25)*AV180+(1-EXP(-LN(2)/25))/(LN(2)/25)*Calculateur!AQ181*Calculateur!AS181*VLOOKUP('Données projet'!$B$10,Paramètres!$A$1:$I$89,3,0)*0.475*44/12</f>
        <v>9.3391749249068762E-2</v>
      </c>
      <c r="AW181" s="23">
        <f>EXP(-LN(2)/2)*AW180+(1-EXP(-LN(2)/2))/(LN(2)/2)*AQ181*AT181*VLOOKUP('Données projet'!$B$10,Paramètres!$A$1:$I$89,3,0)*0.475*44/12</f>
        <v>2.2621022527660905E-20</v>
      </c>
      <c r="AX181" s="23">
        <f t="shared" si="166"/>
        <v>0.65291633087717538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-1.2710188457276673E-13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374.67858373761965</v>
      </c>
      <c r="BJ181" s="62">
        <f t="shared" si="146"/>
        <v>468.38066974447543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0.68273800819525821</v>
      </c>
      <c r="BQ181" s="23">
        <f>EXP(-LN(2)/25)*BQ180+(1-EXP(-LN(2)/25))/(LN(2)/25)*Calculateur!BL181*Calculateur!BN181*VLOOKUP('Données projet'!$B$11,Paramètres!$A$1:$I$89,3,0)*0.475*44/12</f>
        <v>0.23485956849943299</v>
      </c>
      <c r="BR181" s="23">
        <f>EXP(-LN(2)/2)*BR180+(1-EXP(-LN(2)/2))/(LN(2)/2)*BL181*BO181*VLOOKUP('Données projet'!$B$11,Paramètres!$A$1:$I$89,3,0)*0.475*44/12</f>
        <v>6.7074357857433261E-22</v>
      </c>
      <c r="BS181" s="24">
        <f t="shared" si="169"/>
        <v>0.91759757669469122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5.3205440053716299E-14</v>
      </c>
      <c r="AK182" s="14">
        <f t="shared" si="164"/>
        <v>8.602146238565607E-13</v>
      </c>
      <c r="AL182" s="22">
        <f t="shared" si="165"/>
        <v>1.590873277977066E-12</v>
      </c>
      <c r="AM182" s="62">
        <f t="shared" si="113"/>
        <v>293.33333333333491</v>
      </c>
      <c r="AN182" s="62">
        <f ca="1">AVERAGE(OFFSET($AM$3,0,0,'Données projet'!$E$10+1,1))-AVERAGE(OFFSET($H$3,0,0,'Données projet'!$E$10+1,1))</f>
        <v>160.81094423216069</v>
      </c>
      <c r="AO182" s="62">
        <f t="shared" si="144"/>
        <v>145.53871436439169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0.54855264585867602</v>
      </c>
      <c r="AV182" s="23">
        <f>EXP(-LN(2)/25)*AV181+(1-EXP(-LN(2)/25))/(LN(2)/25)*Calculateur!AQ182*Calculateur!AS182*VLOOKUP('Données projet'!$B$10,Paramètres!$A$1:$I$89,3,0)*0.475*44/12</f>
        <v>9.0837946954594337E-2</v>
      </c>
      <c r="AW182" s="23">
        <f>EXP(-LN(2)/2)*AW181+(1-EXP(-LN(2)/2))/(LN(2)/2)*AQ182*AT182*VLOOKUP('Données projet'!$B$10,Paramètres!$A$1:$I$89,3,0)*0.475*44/12</f>
        <v>1.5995478426682681E-20</v>
      </c>
      <c r="AX182" s="23">
        <f t="shared" si="166"/>
        <v>0.63939059281327038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-1.2710188457276673E-13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374.67858373761965</v>
      </c>
      <c r="BJ182" s="62">
        <f t="shared" si="146"/>
        <v>468.38066974447543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0.66934993228361528</v>
      </c>
      <c r="BQ182" s="23">
        <f>EXP(-LN(2)/25)*BQ181+(1-EXP(-LN(2)/25))/(LN(2)/25)*Calculateur!BL182*Calculateur!BN182*VLOOKUP('Données projet'!$B$11,Paramètres!$A$1:$I$89,3,0)*0.475*44/12</f>
        <v>0.22843732124808805</v>
      </c>
      <c r="BR182" s="23">
        <f>EXP(-LN(2)/2)*BR181+(1-EXP(-LN(2)/2))/(LN(2)/2)*BL182*BO182*VLOOKUP('Données projet'!$B$11,Paramètres!$A$1:$I$89,3,0)*0.475*44/12</f>
        <v>4.7428733284724245E-22</v>
      </c>
      <c r="BS182" s="24">
        <f t="shared" si="169"/>
        <v>0.8977872535317033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5.3205440053716299E-14</v>
      </c>
      <c r="AK183" s="14">
        <f t="shared" si="164"/>
        <v>8.602146238565607E-13</v>
      </c>
      <c r="AL183" s="22">
        <f t="shared" si="165"/>
        <v>1.590873277977066E-12</v>
      </c>
      <c r="AM183" s="62">
        <f t="shared" si="113"/>
        <v>293.33333333333491</v>
      </c>
      <c r="AN183" s="62">
        <f ca="1">AVERAGE(OFFSET($AM$3,0,0,'Données projet'!$E$10+1,1))-AVERAGE(OFFSET($H$3,0,0,'Données projet'!$E$10+1,1))</f>
        <v>160.81094423216069</v>
      </c>
      <c r="AO183" s="62">
        <f t="shared" si="144"/>
        <v>145.53871436439169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0.53779586305746396</v>
      </c>
      <c r="AV183" s="23">
        <f>EXP(-LN(2)/25)*AV182+(1-EXP(-LN(2)/25))/(LN(2)/25)*Calculateur!AQ183*Calculateur!AS183*VLOOKUP('Données projet'!$B$10,Paramètres!$A$1:$I$89,3,0)*0.475*44/12</f>
        <v>8.8353978518160931E-2</v>
      </c>
      <c r="AW183" s="23">
        <f>EXP(-LN(2)/2)*AW182+(1-EXP(-LN(2)/2))/(LN(2)/2)*AQ183*AT183*VLOOKUP('Données projet'!$B$10,Paramètres!$A$1:$I$89,3,0)*0.475*44/12</f>
        <v>1.1310511263830452E-20</v>
      </c>
      <c r="AX183" s="23">
        <f t="shared" si="166"/>
        <v>0.62614984157562492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-1.2710188457276673E-13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374.67858373761965</v>
      </c>
      <c r="BJ183" s="62">
        <f t="shared" si="146"/>
        <v>468.38066974447543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0.65622438837467967</v>
      </c>
      <c r="BQ183" s="23">
        <f>EXP(-LN(2)/25)*BQ182+(1-EXP(-LN(2)/25))/(LN(2)/25)*Calculateur!BL183*Calculateur!BN183*VLOOKUP('Données projet'!$B$11,Paramètres!$A$1:$I$89,3,0)*0.475*44/12</f>
        <v>0.22219069068556246</v>
      </c>
      <c r="BR183" s="23">
        <f>EXP(-LN(2)/2)*BR182+(1-EXP(-LN(2)/2))/(LN(2)/2)*BL183*BO183*VLOOKUP('Données projet'!$B$11,Paramètres!$A$1:$I$89,3,0)*0.475*44/12</f>
        <v>3.353717892871663E-22</v>
      </c>
      <c r="BS183" s="24">
        <f t="shared" si="169"/>
        <v>0.87841507906024208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5.3205440053716299E-14</v>
      </c>
      <c r="AK184" s="14">
        <f t="shared" si="164"/>
        <v>8.602146238565607E-13</v>
      </c>
      <c r="AL184" s="22">
        <f t="shared" si="165"/>
        <v>1.590873277977066E-12</v>
      </c>
      <c r="AM184" s="62">
        <f t="shared" si="113"/>
        <v>293.33333333333491</v>
      </c>
      <c r="AN184" s="62">
        <f ca="1">AVERAGE(OFFSET($AM$3,0,0,'Données projet'!$E$10+1,1))-AVERAGE(OFFSET($H$3,0,0,'Données projet'!$E$10+1,1))</f>
        <v>160.81094423216069</v>
      </c>
      <c r="AO184" s="62">
        <f t="shared" si="144"/>
        <v>145.53871436439169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0.52725001420599393</v>
      </c>
      <c r="AV184" s="23">
        <f>EXP(-LN(2)/25)*AV183+(1-EXP(-LN(2)/25))/(LN(2)/25)*Calculateur!AQ184*Calculateur!AS184*VLOOKUP('Données projet'!$B$10,Paramètres!$A$1:$I$89,3,0)*0.475*44/12</f>
        <v>8.5937934329248025E-2</v>
      </c>
      <c r="AW184" s="23">
        <f>EXP(-LN(2)/2)*AW183+(1-EXP(-LN(2)/2))/(LN(2)/2)*AQ184*AT184*VLOOKUP('Données projet'!$B$10,Paramètres!$A$1:$I$89,3,0)*0.475*44/12</f>
        <v>7.9977392133413407E-21</v>
      </c>
      <c r="AX184" s="23">
        <f t="shared" si="166"/>
        <v>0.61318794853524194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-1.2710188457276673E-13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374.67858373761965</v>
      </c>
      <c r="BJ184" s="62">
        <f t="shared" si="146"/>
        <v>468.38066974447543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0.64335622837600692</v>
      </c>
      <c r="BQ184" s="23">
        <f>EXP(-LN(2)/25)*BQ183+(1-EXP(-LN(2)/25))/(LN(2)/25)*Calculateur!BL184*Calculateur!BN184*VLOOKUP('Données projet'!$B$11,Paramètres!$A$1:$I$89,3,0)*0.475*44/12</f>
        <v>0.21611487456426515</v>
      </c>
      <c r="BR184" s="23">
        <f>EXP(-LN(2)/2)*BR183+(1-EXP(-LN(2)/2))/(LN(2)/2)*BL184*BO184*VLOOKUP('Données projet'!$B$11,Paramètres!$A$1:$I$89,3,0)*0.475*44/12</f>
        <v>2.3714366642362122E-22</v>
      </c>
      <c r="BS184" s="24">
        <f t="shared" si="169"/>
        <v>0.85947110294027207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5.3205440053716299E-14</v>
      </c>
      <c r="AK185" s="14">
        <f t="shared" si="164"/>
        <v>8.602146238565607E-13</v>
      </c>
      <c r="AL185" s="22">
        <f t="shared" si="165"/>
        <v>1.590873277977066E-12</v>
      </c>
      <c r="AM185" s="62">
        <f t="shared" si="113"/>
        <v>293.33333333333491</v>
      </c>
      <c r="AN185" s="62">
        <f ca="1">AVERAGE(OFFSET($AM$3,0,0,'Données projet'!$E$10+1,1))-AVERAGE(OFFSET($H$3,0,0,'Données projet'!$E$10+1,1))</f>
        <v>160.81094423216069</v>
      </c>
      <c r="AO185" s="62">
        <f t="shared" si="144"/>
        <v>145.53871436439169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0.51691096301816863</v>
      </c>
      <c r="AV185" s="23">
        <f>EXP(-LN(2)/25)*AV184+(1-EXP(-LN(2)/25))/(LN(2)/25)*Calculateur!AQ185*Calculateur!AS185*VLOOKUP('Données projet'!$B$10,Paramètres!$A$1:$I$89,3,0)*0.475*44/12</f>
        <v>8.358795699573518E-2</v>
      </c>
      <c r="AW185" s="23">
        <f>EXP(-LN(2)/2)*AW184+(1-EXP(-LN(2)/2))/(LN(2)/2)*AQ185*AT185*VLOOKUP('Données projet'!$B$10,Paramètres!$A$1:$I$89,3,0)*0.475*44/12</f>
        <v>5.6552556319152262E-21</v>
      </c>
      <c r="AX185" s="23">
        <f t="shared" si="166"/>
        <v>0.60049892001390381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-1.2710188457276673E-13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374.67858373761965</v>
      </c>
      <c r="BJ185" s="62">
        <f t="shared" si="146"/>
        <v>468.38066974447543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0.63074040514610563</v>
      </c>
      <c r="BQ185" s="23">
        <f>EXP(-LN(2)/25)*BQ184+(1-EXP(-LN(2)/25))/(LN(2)/25)*Calculateur!BL185*Calculateur!BN185*VLOOKUP('Données projet'!$B$11,Paramètres!$A$1:$I$89,3,0)*0.475*44/12</f>
        <v>0.21020520195431799</v>
      </c>
      <c r="BR185" s="23">
        <f>EXP(-LN(2)/2)*BR184+(1-EXP(-LN(2)/2))/(LN(2)/2)*BL185*BO185*VLOOKUP('Données projet'!$B$11,Paramètres!$A$1:$I$89,3,0)*0.475*44/12</f>
        <v>1.6768589464358315E-22</v>
      </c>
      <c r="BS185" s="24">
        <f t="shared" si="169"/>
        <v>0.84094560710042365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5.3205440053716299E-14</v>
      </c>
      <c r="AK186" s="14">
        <f t="shared" si="164"/>
        <v>8.602146238565607E-13</v>
      </c>
      <c r="AL186" s="22">
        <f t="shared" si="165"/>
        <v>1.590873277977066E-12</v>
      </c>
      <c r="AM186" s="62">
        <f t="shared" si="113"/>
        <v>293.33333333333491</v>
      </c>
      <c r="AN186" s="62">
        <f ca="1">AVERAGE(OFFSET($AM$3,0,0,'Données projet'!$E$10+1,1))-AVERAGE(OFFSET($H$3,0,0,'Données projet'!$E$10+1,1))</f>
        <v>160.81094423216069</v>
      </c>
      <c r="AO186" s="62">
        <f t="shared" si="144"/>
        <v>145.53871436439169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0.506774654317938</v>
      </c>
      <c r="AV186" s="23">
        <f>EXP(-LN(2)/25)*AV185+(1-EXP(-LN(2)/25))/(LN(2)/25)*Calculateur!AQ186*Calculateur!AS186*VLOOKUP('Données projet'!$B$10,Paramètres!$A$1:$I$89,3,0)*0.475*44/12</f>
        <v>8.1302239915987187E-2</v>
      </c>
      <c r="AW186" s="23">
        <f>EXP(-LN(2)/2)*AW185+(1-EXP(-LN(2)/2))/(LN(2)/2)*AQ186*AT186*VLOOKUP('Données projet'!$B$10,Paramètres!$A$1:$I$89,3,0)*0.475*44/12</f>
        <v>3.9988696066706703E-21</v>
      </c>
      <c r="AX186" s="23">
        <f t="shared" si="166"/>
        <v>0.58807689423392517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-1.2710188457276673E-13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374.67858373761965</v>
      </c>
      <c r="BJ186" s="62">
        <f t="shared" si="146"/>
        <v>468.38066974447543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0.61837197051485027</v>
      </c>
      <c r="BQ186" s="23">
        <f>EXP(-LN(2)/25)*BQ185+(1-EXP(-LN(2)/25))/(LN(2)/25)*Calculateur!BL186*Calculateur!BN186*VLOOKUP('Données projet'!$B$11,Paramètres!$A$1:$I$89,3,0)*0.475*44/12</f>
        <v>0.20445712965266602</v>
      </c>
      <c r="BR186" s="23">
        <f>EXP(-LN(2)/2)*BR185+(1-EXP(-LN(2)/2))/(LN(2)/2)*BL186*BO186*VLOOKUP('Données projet'!$B$11,Paramètres!$A$1:$I$89,3,0)*0.475*44/12</f>
        <v>1.1857183321181061E-22</v>
      </c>
      <c r="BS186" s="24">
        <f t="shared" si="169"/>
        <v>0.82282910016751631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5.3205440053716299E-14</v>
      </c>
      <c r="AK187" s="14">
        <f t="shared" si="164"/>
        <v>8.602146238565607E-13</v>
      </c>
      <c r="AL187" s="22">
        <f t="shared" si="165"/>
        <v>1.590873277977066E-12</v>
      </c>
      <c r="AM187" s="62">
        <f t="shared" si="113"/>
        <v>293.33333333333491</v>
      </c>
      <c r="AN187" s="62">
        <f ca="1">AVERAGE(OFFSET($AM$3,0,0,'Données projet'!$E$10+1,1))-AVERAGE(OFFSET($H$3,0,0,'Données projet'!$E$10+1,1))</f>
        <v>160.81094423216069</v>
      </c>
      <c r="AO187" s="62">
        <f t="shared" si="144"/>
        <v>145.53871436439169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0.49683711244878109</v>
      </c>
      <c r="AV187" s="23">
        <f>EXP(-LN(2)/25)*AV186+(1-EXP(-LN(2)/25))/(LN(2)/25)*Calculateur!AQ187*Calculateur!AS187*VLOOKUP('Données projet'!$B$10,Paramètres!$A$1:$I$89,3,0)*0.475*44/12</f>
        <v>7.9079025889985541E-2</v>
      </c>
      <c r="AW187" s="23">
        <f>EXP(-LN(2)/2)*AW186+(1-EXP(-LN(2)/2))/(LN(2)/2)*AQ187*AT187*VLOOKUP('Données projet'!$B$10,Paramètres!$A$1:$I$89,3,0)*0.475*44/12</f>
        <v>2.8276278159576131E-21</v>
      </c>
      <c r="AX187" s="23">
        <f t="shared" si="166"/>
        <v>0.57591613833876665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-1.2710188457276673E-13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374.67858373761965</v>
      </c>
      <c r="BJ187" s="62">
        <f t="shared" si="146"/>
        <v>468.38066974447543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0.60624607334271363</v>
      </c>
      <c r="BQ187" s="23">
        <f>EXP(-LN(2)/25)*BQ186+(1-EXP(-LN(2)/25))/(LN(2)/25)*Calculateur!BL187*Calculateur!BN187*VLOOKUP('Données projet'!$B$11,Paramètres!$A$1:$I$89,3,0)*0.475*44/12</f>
        <v>0.19886623869038073</v>
      </c>
      <c r="BR187" s="23">
        <f>EXP(-LN(2)/2)*BR186+(1-EXP(-LN(2)/2))/(LN(2)/2)*BL187*BO187*VLOOKUP('Données projet'!$B$11,Paramètres!$A$1:$I$89,3,0)*0.475*44/12</f>
        <v>8.3842947321791576E-23</v>
      </c>
      <c r="BS187" s="24">
        <f t="shared" si="169"/>
        <v>0.8051123120330943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5.3205440053716299E-14</v>
      </c>
      <c r="AK188" s="14">
        <f t="shared" si="164"/>
        <v>8.602146238565607E-13</v>
      </c>
      <c r="AL188" s="22">
        <f t="shared" si="165"/>
        <v>1.590873277977066E-12</v>
      </c>
      <c r="AM188" s="62">
        <f t="shared" si="113"/>
        <v>293.33333333333491</v>
      </c>
      <c r="AN188" s="62">
        <f ca="1">AVERAGE(OFFSET($AM$3,0,0,'Données projet'!$E$10+1,1))-AVERAGE(OFFSET($H$3,0,0,'Données projet'!$E$10+1,1))</f>
        <v>160.81094423216069</v>
      </c>
      <c r="AO188" s="62">
        <f t="shared" si="144"/>
        <v>145.53871436439169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0.48709443971437633</v>
      </c>
      <c r="AV188" s="23">
        <f>EXP(-LN(2)/25)*AV187+(1-EXP(-LN(2)/25))/(LN(2)/25)*Calculateur!AQ188*Calculateur!AS188*VLOOKUP('Données projet'!$B$10,Paramètres!$A$1:$I$89,3,0)*0.475*44/12</f>
        <v>7.6916605768438659E-2</v>
      </c>
      <c r="AW188" s="23">
        <f>EXP(-LN(2)/2)*AW187+(1-EXP(-LN(2)/2))/(LN(2)/2)*AQ188*AT188*VLOOKUP('Données projet'!$B$10,Paramètres!$A$1:$I$89,3,0)*0.475*44/12</f>
        <v>1.9994348033353352E-21</v>
      </c>
      <c r="AX188" s="23">
        <f t="shared" si="166"/>
        <v>0.564011045482815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-1.2710188457276673E-13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374.67858373761965</v>
      </c>
      <c r="BJ188" s="62">
        <f t="shared" si="146"/>
        <v>468.38066974447543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0.59435795761805565</v>
      </c>
      <c r="BQ188" s="23">
        <f>EXP(-LN(2)/25)*BQ187+(1-EXP(-LN(2)/25))/(LN(2)/25)*Calculateur!BL188*Calculateur!BN188*VLOOKUP('Données projet'!$B$11,Paramètres!$A$1:$I$89,3,0)*0.475*44/12</f>
        <v>0.19342823093547129</v>
      </c>
      <c r="BR188" s="23">
        <f>EXP(-LN(2)/2)*BR187+(1-EXP(-LN(2)/2))/(LN(2)/2)*BL188*BO188*VLOOKUP('Données projet'!$B$11,Paramètres!$A$1:$I$89,3,0)*0.475*44/12</f>
        <v>5.9285916605905306E-23</v>
      </c>
      <c r="BS188" s="24">
        <f t="shared" si="169"/>
        <v>0.78778618855352689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5.3205440053716299E-14</v>
      </c>
      <c r="AK189" s="14">
        <f t="shared" si="164"/>
        <v>8.602146238565607E-13</v>
      </c>
      <c r="AL189" s="22">
        <f t="shared" si="165"/>
        <v>1.590873277977066E-12</v>
      </c>
      <c r="AM189" s="62">
        <f t="shared" si="113"/>
        <v>293.33333333333491</v>
      </c>
      <c r="AN189" s="62">
        <f ca="1">AVERAGE(OFFSET($AM$3,0,0,'Données projet'!$E$10+1,1))-AVERAGE(OFFSET($H$3,0,0,'Données projet'!$E$10+1,1))</f>
        <v>160.81094423216069</v>
      </c>
      <c r="AO189" s="62">
        <f t="shared" si="144"/>
        <v>145.53871436439169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0.47754281484984962</v>
      </c>
      <c r="AV189" s="23">
        <f>EXP(-LN(2)/25)*AV188+(1-EXP(-LN(2)/25))/(LN(2)/25)*Calculateur!AQ189*Calculateur!AS189*VLOOKUP('Données projet'!$B$10,Paramètres!$A$1:$I$89,3,0)*0.475*44/12</f>
        <v>7.48133171388322E-2</v>
      </c>
      <c r="AW189" s="23">
        <f>EXP(-LN(2)/2)*AW188+(1-EXP(-LN(2)/2))/(LN(2)/2)*AQ189*AT189*VLOOKUP('Données projet'!$B$10,Paramètres!$A$1:$I$89,3,0)*0.475*44/12</f>
        <v>1.4138139079788065E-21</v>
      </c>
      <c r="AX189" s="23">
        <f t="shared" si="166"/>
        <v>0.55235613198868183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-1.2710188457276673E-13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374.67858373761965</v>
      </c>
      <c r="BJ189" s="62">
        <f t="shared" si="146"/>
        <v>468.38066974447543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0.58270296059172355</v>
      </c>
      <c r="BQ189" s="23">
        <f>EXP(-LN(2)/25)*BQ188+(1-EXP(-LN(2)/25))/(LN(2)/25)*Calculateur!BL189*Calculateur!BN189*VLOOKUP('Données projet'!$B$11,Paramètres!$A$1:$I$89,3,0)*0.475*44/12</f>
        <v>0.18813892578859226</v>
      </c>
      <c r="BR189" s="23">
        <f>EXP(-LN(2)/2)*BR188+(1-EXP(-LN(2)/2))/(LN(2)/2)*BL189*BO189*VLOOKUP('Données projet'!$B$11,Paramètres!$A$1:$I$89,3,0)*0.475*44/12</f>
        <v>4.1921473660895788E-23</v>
      </c>
      <c r="BS189" s="24">
        <f t="shared" si="169"/>
        <v>0.77084188638031581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5.3205440053716299E-14</v>
      </c>
      <c r="AK190" s="14">
        <f t="shared" si="164"/>
        <v>8.602146238565607E-13</v>
      </c>
      <c r="AL190" s="22">
        <f t="shared" si="165"/>
        <v>1.590873277977066E-12</v>
      </c>
      <c r="AM190" s="62">
        <f t="shared" si="113"/>
        <v>293.33333333333491</v>
      </c>
      <c r="AN190" s="62">
        <f ca="1">AVERAGE(OFFSET($AM$3,0,0,'Données projet'!$E$10+1,1))-AVERAGE(OFFSET($H$3,0,0,'Données projet'!$E$10+1,1))</f>
        <v>160.81094423216069</v>
      </c>
      <c r="AO190" s="62">
        <f t="shared" si="144"/>
        <v>145.53871436439169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0.4681784915230004</v>
      </c>
      <c r="AV190" s="23">
        <f>EXP(-LN(2)/25)*AV189+(1-EXP(-LN(2)/25))/(LN(2)/25)*Calculateur!AQ190*Calculateur!AS190*VLOOKUP('Données projet'!$B$10,Paramètres!$A$1:$I$89,3,0)*0.475*44/12</f>
        <v>7.2767543047409469E-2</v>
      </c>
      <c r="AW190" s="23">
        <f>EXP(-LN(2)/2)*AW189+(1-EXP(-LN(2)/2))/(LN(2)/2)*AQ190*AT190*VLOOKUP('Données projet'!$B$10,Paramètres!$A$1:$I$89,3,0)*0.475*44/12</f>
        <v>9.9971740166766759E-22</v>
      </c>
      <c r="AX190" s="23">
        <f t="shared" si="166"/>
        <v>0.54094603457040991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-1.2710188457276673E-13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374.67858373761965</v>
      </c>
      <c r="BJ190" s="62">
        <f t="shared" si="146"/>
        <v>468.38066974447543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0.57127651094823162</v>
      </c>
      <c r="BQ190" s="23">
        <f>EXP(-LN(2)/25)*BQ189+(1-EXP(-LN(2)/25))/(LN(2)/25)*Calculateur!BL190*Calculateur!BN190*VLOOKUP('Données projet'!$B$11,Paramètres!$A$1:$I$89,3,0)*0.475*44/12</f>
        <v>0.18299425696910709</v>
      </c>
      <c r="BR190" s="23">
        <f>EXP(-LN(2)/2)*BR189+(1-EXP(-LN(2)/2))/(LN(2)/2)*BL190*BO190*VLOOKUP('Données projet'!$B$11,Paramètres!$A$1:$I$89,3,0)*0.475*44/12</f>
        <v>2.9642958302952653E-23</v>
      </c>
      <c r="BS190" s="24">
        <f t="shared" si="169"/>
        <v>0.75427076791733871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5.3205440053716299E-14</v>
      </c>
      <c r="AK191" s="14">
        <f t="shared" si="164"/>
        <v>8.602146238565607E-13</v>
      </c>
      <c r="AL191" s="22">
        <f t="shared" si="165"/>
        <v>1.590873277977066E-12</v>
      </c>
      <c r="AM191" s="62">
        <f t="shared" si="113"/>
        <v>293.33333333333491</v>
      </c>
      <c r="AN191" s="62">
        <f ca="1">AVERAGE(OFFSET($AM$3,0,0,'Données projet'!$E$10+1,1))-AVERAGE(OFFSET($H$3,0,0,'Données projet'!$E$10+1,1))</f>
        <v>160.81094423216069</v>
      </c>
      <c r="AO191" s="62">
        <f t="shared" si="144"/>
        <v>145.53871436439169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0.45899779686491743</v>
      </c>
      <c r="AV191" s="23">
        <f>EXP(-LN(2)/25)*AV190+(1-EXP(-LN(2)/25))/(LN(2)/25)*Calculateur!AQ191*Calculateur!AS191*VLOOKUP('Données projet'!$B$10,Paramètres!$A$1:$I$89,3,0)*0.475*44/12</f>
        <v>7.0777710756099274E-2</v>
      </c>
      <c r="AW191" s="23">
        <f>EXP(-LN(2)/2)*AW190+(1-EXP(-LN(2)/2))/(LN(2)/2)*AQ191*AT191*VLOOKUP('Données projet'!$B$10,Paramètres!$A$1:$I$89,3,0)*0.475*44/12</f>
        <v>7.0690695398940327E-22</v>
      </c>
      <c r="AX191" s="23">
        <f t="shared" si="166"/>
        <v>0.52977550762101666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-1.2710188457276673E-13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374.67858373761965</v>
      </c>
      <c r="BJ191" s="62">
        <f t="shared" si="146"/>
        <v>468.38066974447543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0.56007412701280246</v>
      </c>
      <c r="BQ191" s="23">
        <f>EXP(-LN(2)/25)*BQ190+(1-EXP(-LN(2)/25))/(LN(2)/25)*Calculateur!BL191*Calculateur!BN191*VLOOKUP('Données projet'!$B$11,Paramètres!$A$1:$I$89,3,0)*0.475*44/12</f>
        <v>0.17799026938903711</v>
      </c>
      <c r="BR191" s="23">
        <f>EXP(-LN(2)/2)*BR190+(1-EXP(-LN(2)/2))/(LN(2)/2)*BL191*BO191*VLOOKUP('Données projet'!$B$11,Paramètres!$A$1:$I$89,3,0)*0.475*44/12</f>
        <v>2.0960736830447894E-23</v>
      </c>
      <c r="BS191" s="24">
        <f t="shared" si="169"/>
        <v>0.73806439640183963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5.3205440053716299E-14</v>
      </c>
      <c r="AK192" s="14">
        <f t="shared" si="164"/>
        <v>8.602146238565607E-13</v>
      </c>
      <c r="AL192" s="22">
        <f t="shared" si="165"/>
        <v>1.590873277977066E-12</v>
      </c>
      <c r="AM192" s="62">
        <f t="shared" si="113"/>
        <v>293.33333333333491</v>
      </c>
      <c r="AN192" s="62">
        <f ca="1">AVERAGE(OFFSET($AM$3,0,0,'Données projet'!$E$10+1,1))-AVERAGE(OFFSET($H$3,0,0,'Données projet'!$E$10+1,1))</f>
        <v>160.81094423216069</v>
      </c>
      <c r="AO192" s="62">
        <f t="shared" si="144"/>
        <v>145.53871436439169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0.44999713002940861</v>
      </c>
      <c r="AV192" s="23">
        <f>EXP(-LN(2)/25)*AV191+(1-EXP(-LN(2)/25))/(LN(2)/25)*Calculateur!AQ192*Calculateur!AS192*VLOOKUP('Données projet'!$B$10,Paramètres!$A$1:$I$89,3,0)*0.475*44/12</f>
        <v>6.8842290533435699E-2</v>
      </c>
      <c r="AW192" s="23">
        <f>EXP(-LN(2)/2)*AW191+(1-EXP(-LN(2)/2))/(LN(2)/2)*AQ192*AT192*VLOOKUP('Données projet'!$B$10,Paramètres!$A$1:$I$89,3,0)*0.475*44/12</f>
        <v>4.9985870083383379E-22</v>
      </c>
      <c r="AX192" s="23">
        <f t="shared" si="166"/>
        <v>0.51883942056284427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-1.2710188457276673E-13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374.67858373761965</v>
      </c>
      <c r="BJ192" s="62">
        <f t="shared" si="146"/>
        <v>468.38066974447543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0.54909141499356751</v>
      </c>
      <c r="BQ192" s="23">
        <f>EXP(-LN(2)/25)*BQ191+(1-EXP(-LN(2)/25))/(LN(2)/25)*Calculateur!BL192*Calculateur!BN192*VLOOKUP('Données projet'!$B$11,Paramètres!$A$1:$I$89,3,0)*0.475*44/12</f>
        <v>0.17312311611249243</v>
      </c>
      <c r="BR192" s="23">
        <f>EXP(-LN(2)/2)*BR191+(1-EXP(-LN(2)/2))/(LN(2)/2)*BL192*BO192*VLOOKUP('Données projet'!$B$11,Paramètres!$A$1:$I$89,3,0)*0.475*44/12</f>
        <v>1.4821479151476326E-23</v>
      </c>
      <c r="BS192" s="24">
        <f t="shared" si="169"/>
        <v>0.72221453110605993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5.3205440053716299E-14</v>
      </c>
      <c r="AK193" s="14">
        <f t="shared" si="164"/>
        <v>8.602146238565607E-13</v>
      </c>
      <c r="AL193" s="22">
        <f t="shared" si="165"/>
        <v>1.590873277977066E-12</v>
      </c>
      <c r="AM193" s="62">
        <f t="shared" si="113"/>
        <v>293.33333333333491</v>
      </c>
      <c r="AN193" s="62">
        <f ca="1">AVERAGE(OFFSET($AM$3,0,0,'Données projet'!$E$10+1,1))-AVERAGE(OFFSET($H$3,0,0,'Données projet'!$E$10+1,1))</f>
        <v>160.81094423216069</v>
      </c>
      <c r="AO193" s="62">
        <f t="shared" si="144"/>
        <v>145.53871436439169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0.44117296078067947</v>
      </c>
      <c r="AV193" s="23">
        <f>EXP(-LN(2)/25)*AV192+(1-EXP(-LN(2)/25))/(LN(2)/25)*Calculateur!AQ193*Calculateur!AS193*VLOOKUP('Données projet'!$B$10,Paramètres!$A$1:$I$89,3,0)*0.475*44/12</f>
        <v>6.6959794478540183E-2</v>
      </c>
      <c r="AW193" s="23">
        <f>EXP(-LN(2)/2)*AW192+(1-EXP(-LN(2)/2))/(LN(2)/2)*AQ193*AT193*VLOOKUP('Données projet'!$B$10,Paramètres!$A$1:$I$89,3,0)*0.475*44/12</f>
        <v>3.5345347699470164E-22</v>
      </c>
      <c r="AX193" s="23">
        <f t="shared" si="166"/>
        <v>0.50813275525921964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-1.2710188457276673E-13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374.67858373761965</v>
      </c>
      <c r="BJ193" s="62">
        <f t="shared" si="146"/>
        <v>468.38066974447543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0.53832406725823689</v>
      </c>
      <c r="BQ193" s="23">
        <f>EXP(-LN(2)/25)*BQ192+(1-EXP(-LN(2)/25))/(LN(2)/25)*Calculateur!BL193*Calculateur!BN193*VLOOKUP('Données projet'!$B$11,Paramètres!$A$1:$I$89,3,0)*0.475*44/12</f>
        <v>0.16838905539824733</v>
      </c>
      <c r="BR193" s="23">
        <f>EXP(-LN(2)/2)*BR192+(1-EXP(-LN(2)/2))/(LN(2)/2)*BL193*BO193*VLOOKUP('Données projet'!$B$11,Paramètres!$A$1:$I$89,3,0)*0.475*44/12</f>
        <v>1.0480368415223947E-23</v>
      </c>
      <c r="BS193" s="24">
        <f t="shared" si="169"/>
        <v>0.70671312265648423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5.3205440053716299E-14</v>
      </c>
      <c r="AK194" s="14">
        <f t="shared" si="164"/>
        <v>8.602146238565607E-13</v>
      </c>
      <c r="AL194" s="22">
        <f t="shared" si="165"/>
        <v>1.590873277977066E-12</v>
      </c>
      <c r="AM194" s="62">
        <f t="shared" si="113"/>
        <v>293.33333333333491</v>
      </c>
      <c r="AN194" s="62">
        <f ca="1">AVERAGE(OFFSET($AM$3,0,0,'Données projet'!$E$10+1,1))-AVERAGE(OFFSET($H$3,0,0,'Données projet'!$E$10+1,1))</f>
        <v>160.81094423216069</v>
      </c>
      <c r="AO194" s="62">
        <f t="shared" si="144"/>
        <v>145.53871436439169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0.4325218281087061</v>
      </c>
      <c r="AV194" s="23">
        <f>EXP(-LN(2)/25)*AV193+(1-EXP(-LN(2)/25))/(LN(2)/25)*Calculateur!AQ194*Calculateur!AS194*VLOOKUP('Données projet'!$B$10,Paramètres!$A$1:$I$89,3,0)*0.475*44/12</f>
        <v>6.5128775377261944E-2</v>
      </c>
      <c r="AW194" s="23">
        <f>EXP(-LN(2)/2)*AW193+(1-EXP(-LN(2)/2))/(LN(2)/2)*AQ194*AT194*VLOOKUP('Données projet'!$B$10,Paramètres!$A$1:$I$89,3,0)*0.475*44/12</f>
        <v>2.499293504169169E-22</v>
      </c>
      <c r="AX194" s="23">
        <f t="shared" si="166"/>
        <v>0.49765060348596801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-1.2710188457276673E-13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374.67858373761965</v>
      </c>
      <c r="BJ194" s="62">
        <f t="shared" si="146"/>
        <v>468.38066974447543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0.52776786064456249</v>
      </c>
      <c r="BQ194" s="23">
        <f>EXP(-LN(2)/25)*BQ193+(1-EXP(-LN(2)/25))/(LN(2)/25)*Calculateur!BL194*Calculateur!BN194*VLOOKUP('Données projet'!$B$11,Paramètres!$A$1:$I$89,3,0)*0.475*44/12</f>
        <v>0.16378444782318669</v>
      </c>
      <c r="BR194" s="23">
        <f>EXP(-LN(2)/2)*BR193+(1-EXP(-LN(2)/2))/(LN(2)/2)*BL194*BO194*VLOOKUP('Données projet'!$B$11,Paramètres!$A$1:$I$89,3,0)*0.475*44/12</f>
        <v>7.4107395757381632E-24</v>
      </c>
      <c r="BS194" s="24">
        <f t="shared" si="169"/>
        <v>0.69155230846774918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5.3205440053716299E-14</v>
      </c>
      <c r="AK195" s="14">
        <f t="shared" si="164"/>
        <v>8.602146238565607E-13</v>
      </c>
      <c r="AL195" s="22">
        <f t="shared" si="165"/>
        <v>1.590873277977066E-12</v>
      </c>
      <c r="AM195" s="62">
        <f t="shared" si="113"/>
        <v>293.33333333333491</v>
      </c>
      <c r="AN195" s="62">
        <f ca="1">AVERAGE(OFFSET($AM$3,0,0,'Données projet'!$E$10+1,1))-AVERAGE(OFFSET($H$3,0,0,'Données projet'!$E$10+1,1))</f>
        <v>160.81094423216069</v>
      </c>
      <c r="AO195" s="62">
        <f t="shared" si="144"/>
        <v>145.53871436439169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0.42404033887176024</v>
      </c>
      <c r="AV195" s="23">
        <f>EXP(-LN(2)/25)*AV194+(1-EXP(-LN(2)/25))/(LN(2)/25)*Calculateur!AQ195*Calculateur!AS195*VLOOKUP('Données projet'!$B$10,Paramètres!$A$1:$I$89,3,0)*0.475*44/12</f>
        <v>6.334782558959727E-2</v>
      </c>
      <c r="AW195" s="23">
        <f>EXP(-LN(2)/2)*AW194+(1-EXP(-LN(2)/2))/(LN(2)/2)*AQ195*AT195*VLOOKUP('Données projet'!$B$10,Paramètres!$A$1:$I$89,3,0)*0.475*44/12</f>
        <v>1.7672673849735082E-22</v>
      </c>
      <c r="AX195" s="23">
        <f t="shared" si="166"/>
        <v>0.48738816446135752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-1.2710188457276673E-13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374.67858373761965</v>
      </c>
      <c r="BJ195" s="62">
        <f t="shared" si="146"/>
        <v>468.38066974447543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0.51741865480393201</v>
      </c>
      <c r="BQ195" s="23">
        <f>EXP(-LN(2)/25)*BQ194+(1-EXP(-LN(2)/25))/(LN(2)/25)*Calculateur!BL195*Calculateur!BN195*VLOOKUP('Données projet'!$B$11,Paramètres!$A$1:$I$89,3,0)*0.475*44/12</f>
        <v>0.15930575348441187</v>
      </c>
      <c r="BR195" s="23">
        <f>EXP(-LN(2)/2)*BR194+(1-EXP(-LN(2)/2))/(LN(2)/2)*BL195*BO195*VLOOKUP('Données projet'!$B$11,Paramètres!$A$1:$I$89,3,0)*0.475*44/12</f>
        <v>5.2401842076119735E-24</v>
      </c>
      <c r="BS195" s="24">
        <f t="shared" si="169"/>
        <v>0.6767244082883439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5.3205440053716299E-14</v>
      </c>
      <c r="AK196" s="14">
        <f t="shared" si="164"/>
        <v>8.602146238565607E-13</v>
      </c>
      <c r="AL196" s="22">
        <f t="shared" si="165"/>
        <v>1.590873277977066E-12</v>
      </c>
      <c r="AM196" s="62">
        <f t="shared" ref="AM196:AM203" si="193">AL196+(AD196+AE196)*44/12</f>
        <v>293.33333333333491</v>
      </c>
      <c r="AN196" s="62">
        <f ca="1">AVERAGE(OFFSET($AM$3,0,0,'Données projet'!$E$10+1,1))-AVERAGE(OFFSET($H$3,0,0,'Données projet'!$E$10+1,1))</f>
        <v>160.81094423216069</v>
      </c>
      <c r="AO196" s="62">
        <f t="shared" si="144"/>
        <v>145.53871436439169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0.41572516646555324</v>
      </c>
      <c r="AV196" s="23">
        <f>EXP(-LN(2)/25)*AV195+(1-EXP(-LN(2)/25))/(LN(2)/25)*Calculateur!AQ196*Calculateur!AS196*VLOOKUP('Données projet'!$B$10,Paramètres!$A$1:$I$89,3,0)*0.475*44/12</f>
        <v>6.1615575967532366E-2</v>
      </c>
      <c r="AW196" s="23">
        <f>EXP(-LN(2)/2)*AW195+(1-EXP(-LN(2)/2))/(LN(2)/2)*AQ196*AT196*VLOOKUP('Données projet'!$B$10,Paramètres!$A$1:$I$89,3,0)*0.475*44/12</f>
        <v>1.2496467520845845E-22</v>
      </c>
      <c r="AX196" s="23">
        <f t="shared" si="166"/>
        <v>0.47734074243308561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-1.2710188457276673E-13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374.67858373761965</v>
      </c>
      <c r="BJ196" s="62">
        <f t="shared" si="146"/>
        <v>468.38066974447543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0.507272390577444</v>
      </c>
      <c r="BQ196" s="23">
        <f>EXP(-LN(2)/25)*BQ195+(1-EXP(-LN(2)/25))/(LN(2)/25)*Calculateur!BL196*Calculateur!BN196*VLOOKUP('Données projet'!$B$11,Paramètres!$A$1:$I$89,3,0)*0.475*44/12</f>
        <v>0.15494952927785516</v>
      </c>
      <c r="BR196" s="23">
        <f>EXP(-LN(2)/2)*BR195+(1-EXP(-LN(2)/2))/(LN(2)/2)*BL196*BO196*VLOOKUP('Données projet'!$B$11,Paramètres!$A$1:$I$89,3,0)*0.475*44/12</f>
        <v>3.7053697878690816E-24</v>
      </c>
      <c r="BS196" s="24">
        <f t="shared" si="169"/>
        <v>0.66222191985529921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5.3205440053716299E-14</v>
      </c>
      <c r="AK197" s="14">
        <f t="shared" si="164"/>
        <v>8.602146238565607E-13</v>
      </c>
      <c r="AL197" s="22">
        <f t="shared" si="165"/>
        <v>1.590873277977066E-12</v>
      </c>
      <c r="AM197" s="62">
        <f t="shared" si="193"/>
        <v>293.33333333333491</v>
      </c>
      <c r="AN197" s="62">
        <f ca="1">AVERAGE(OFFSET($AM$3,0,0,'Données projet'!$E$10+1,1))-AVERAGE(OFFSET($H$3,0,0,'Données projet'!$E$10+1,1))</f>
        <v>160.81094423216069</v>
      </c>
      <c r="AO197" s="62">
        <f t="shared" ref="AO197:AO203" si="205">$AO$3</f>
        <v>145.53871436439169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0.40757304951847761</v>
      </c>
      <c r="AV197" s="23">
        <f>EXP(-LN(2)/25)*AV196+(1-EXP(-LN(2)/25))/(LN(2)/25)*Calculateur!AQ197*Calculateur!AS197*VLOOKUP('Données projet'!$B$10,Paramètres!$A$1:$I$89,3,0)*0.475*44/12</f>
        <v>5.9930694802477875E-2</v>
      </c>
      <c r="AW197" s="23">
        <f>EXP(-LN(2)/2)*AW196+(1-EXP(-LN(2)/2))/(LN(2)/2)*AQ197*AT197*VLOOKUP('Données projet'!$B$10,Paramètres!$A$1:$I$89,3,0)*0.475*44/12</f>
        <v>8.8363369248675409E-23</v>
      </c>
      <c r="AX197" s="23">
        <f t="shared" si="166"/>
        <v>0.46750374432095548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-1.2710188457276673E-13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374.67858373761965</v>
      </c>
      <c r="BJ197" s="62">
        <f t="shared" ref="BJ197:BJ203" si="206">$BJ$3</f>
        <v>468.38066974447543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0.49732508840382733</v>
      </c>
      <c r="BQ197" s="23">
        <f>EXP(-LN(2)/25)*BQ196+(1-EXP(-LN(2)/25))/(LN(2)/25)*Calculateur!BL197*Calculateur!BN197*VLOOKUP('Données projet'!$B$11,Paramètres!$A$1:$I$89,3,0)*0.475*44/12</f>
        <v>0.15071242625131059</v>
      </c>
      <c r="BR197" s="23">
        <f>EXP(-LN(2)/2)*BR196+(1-EXP(-LN(2)/2))/(LN(2)/2)*BL197*BO197*VLOOKUP('Données projet'!$B$11,Paramètres!$A$1:$I$89,3,0)*0.475*44/12</f>
        <v>2.6200921038059868E-24</v>
      </c>
      <c r="BS197" s="24">
        <f t="shared" si="169"/>
        <v>0.64803751465513793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5.3205440053716299E-14</v>
      </c>
      <c r="AK198" s="14">
        <f t="shared" si="164"/>
        <v>8.602146238565607E-13</v>
      </c>
      <c r="AL198" s="22">
        <f t="shared" si="165"/>
        <v>1.590873277977066E-12</v>
      </c>
      <c r="AM198" s="62">
        <f t="shared" si="193"/>
        <v>293.33333333333491</v>
      </c>
      <c r="AN198" s="62">
        <f ca="1">AVERAGE(OFFSET($AM$3,0,0,'Données projet'!$E$10+1,1))-AVERAGE(OFFSET($H$3,0,0,'Données projet'!$E$10+1,1))</f>
        <v>160.81094423216069</v>
      </c>
      <c r="AO198" s="62">
        <f t="shared" si="205"/>
        <v>145.53871436439169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0.39958079061243373</v>
      </c>
      <c r="AV198" s="23">
        <f>EXP(-LN(2)/25)*AV197+(1-EXP(-LN(2)/25))/(LN(2)/25)*Calculateur!AQ198*Calculateur!AS198*VLOOKUP('Données projet'!$B$10,Paramètres!$A$1:$I$89,3,0)*0.475*44/12</f>
        <v>5.8291886801485851E-2</v>
      </c>
      <c r="AW198" s="23">
        <f>EXP(-LN(2)/2)*AW197+(1-EXP(-LN(2)/2))/(LN(2)/2)*AQ198*AT198*VLOOKUP('Données projet'!$B$10,Paramètres!$A$1:$I$89,3,0)*0.475*44/12</f>
        <v>6.2482337604229224E-23</v>
      </c>
      <c r="AX198" s="23">
        <f t="shared" si="166"/>
        <v>0.45787267741391957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-1.2710188457276673E-13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374.67858373761965</v>
      </c>
      <c r="BJ198" s="62">
        <f t="shared" si="206"/>
        <v>468.38066974447543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0.48757284675858004</v>
      </c>
      <c r="BQ198" s="23">
        <f>EXP(-LN(2)/25)*BQ197+(1-EXP(-LN(2)/25))/(LN(2)/25)*Calculateur!BL198*Calculateur!BN198*VLOOKUP('Données projet'!$B$11,Paramètres!$A$1:$I$89,3,0)*0.475*44/12</f>
        <v>0.14659118702984647</v>
      </c>
      <c r="BR198" s="23">
        <f>EXP(-LN(2)/2)*BR197+(1-EXP(-LN(2)/2))/(LN(2)/2)*BL198*BO198*VLOOKUP('Données projet'!$B$11,Paramètres!$A$1:$I$89,3,0)*0.475*44/12</f>
        <v>1.8526848939345408E-24</v>
      </c>
      <c r="BS198" s="24">
        <f t="shared" si="169"/>
        <v>0.63416403378842645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5.3205440053716299E-14</v>
      </c>
      <c r="AK199" s="14">
        <f t="shared" si="164"/>
        <v>8.602146238565607E-13</v>
      </c>
      <c r="AL199" s="22">
        <f t="shared" si="165"/>
        <v>1.590873277977066E-12</v>
      </c>
      <c r="AM199" s="62">
        <f t="shared" si="193"/>
        <v>293.33333333333491</v>
      </c>
      <c r="AN199" s="62">
        <f ca="1">AVERAGE(OFFSET($AM$3,0,0,'Données projet'!$E$10+1,1))-AVERAGE(OFFSET($H$3,0,0,'Données projet'!$E$10+1,1))</f>
        <v>160.81094423216069</v>
      </c>
      <c r="AO199" s="62">
        <f t="shared" si="205"/>
        <v>145.53871436439169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0.3917452550287408</v>
      </c>
      <c r="AV199" s="23">
        <f>EXP(-LN(2)/25)*AV198+(1-EXP(-LN(2)/25))/(LN(2)/25)*Calculateur!AQ199*Calculateur!AS199*VLOOKUP('Données projet'!$B$10,Paramètres!$A$1:$I$89,3,0)*0.475*44/12</f>
        <v>5.6697892091462122E-2</v>
      </c>
      <c r="AW199" s="23">
        <f>EXP(-LN(2)/2)*AW198+(1-EXP(-LN(2)/2))/(LN(2)/2)*AQ199*AT199*VLOOKUP('Données projet'!$B$10,Paramètres!$A$1:$I$89,3,0)*0.475*44/12</f>
        <v>4.4181684624337704E-23</v>
      </c>
      <c r="AX199" s="23">
        <f t="shared" si="166"/>
        <v>0.44844314712020295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-1.2710188457276673E-13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374.67858373761965</v>
      </c>
      <c r="BJ199" s="62">
        <f t="shared" si="206"/>
        <v>468.38066974447543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0.47801184062371599</v>
      </c>
      <c r="BQ199" s="23">
        <f>EXP(-LN(2)/25)*BQ198+(1-EXP(-LN(2)/25))/(LN(2)/25)*Calculateur!BL199*Calculateur!BN199*VLOOKUP('Données projet'!$B$11,Paramètres!$A$1:$I$89,3,0)*0.475*44/12</f>
        <v>0.14258264331161982</v>
      </c>
      <c r="BR199" s="23">
        <f>EXP(-LN(2)/2)*BR198+(1-EXP(-LN(2)/2))/(LN(2)/2)*BL199*BO199*VLOOKUP('Données projet'!$B$11,Paramètres!$A$1:$I$89,3,0)*0.475*44/12</f>
        <v>1.3100460519029934E-24</v>
      </c>
      <c r="BS199" s="24">
        <f t="shared" si="169"/>
        <v>0.62059448393533578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5.3205440053716299E-14</v>
      </c>
      <c r="AK200" s="14">
        <f t="shared" si="164"/>
        <v>8.602146238565607E-13</v>
      </c>
      <c r="AL200" s="22">
        <f t="shared" si="165"/>
        <v>1.590873277977066E-12</v>
      </c>
      <c r="AM200" s="62">
        <f t="shared" si="193"/>
        <v>293.33333333333491</v>
      </c>
      <c r="AN200" s="62">
        <f ca="1">AVERAGE(OFFSET($AM$3,0,0,'Données projet'!$E$10+1,1))-AVERAGE(OFFSET($H$3,0,0,'Données projet'!$E$10+1,1))</f>
        <v>160.81094423216069</v>
      </c>
      <c r="AO200" s="62">
        <f t="shared" si="205"/>
        <v>145.53871436439169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0.38406336951863929</v>
      </c>
      <c r="AV200" s="23">
        <f>EXP(-LN(2)/25)*AV199+(1-EXP(-LN(2)/25))/(LN(2)/25)*Calculateur!AQ200*Calculateur!AS200*VLOOKUP('Données projet'!$B$10,Paramètres!$A$1:$I$89,3,0)*0.475*44/12</f>
        <v>5.514748525060853E-2</v>
      </c>
      <c r="AW200" s="23">
        <f>EXP(-LN(2)/2)*AW199+(1-EXP(-LN(2)/2))/(LN(2)/2)*AQ200*AT200*VLOOKUP('Données projet'!$B$10,Paramètres!$A$1:$I$89,3,0)*0.475*44/12</f>
        <v>3.1241168802114612E-23</v>
      </c>
      <c r="AX200" s="23">
        <f t="shared" si="166"/>
        <v>0.43921085476924782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-1.2710188457276673E-13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374.67858373761965</v>
      </c>
      <c r="BJ200" s="62">
        <f t="shared" si="206"/>
        <v>468.38066974447543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0.4686383199875187</v>
      </c>
      <c r="BQ200" s="23">
        <f>EXP(-LN(2)/25)*BQ199+(1-EXP(-LN(2)/25))/(LN(2)/25)*Calculateur!BL200*Calculateur!BN200*VLOOKUP('Données projet'!$B$11,Paramètres!$A$1:$I$89,3,0)*0.475*44/12</f>
        <v>0.13868371343216823</v>
      </c>
      <c r="BR200" s="23">
        <f>EXP(-LN(2)/2)*BR199+(1-EXP(-LN(2)/2))/(LN(2)/2)*BL200*BO200*VLOOKUP('Données projet'!$B$11,Paramètres!$A$1:$I$89,3,0)*0.475*44/12</f>
        <v>9.263424469672704E-25</v>
      </c>
      <c r="BS200" s="24">
        <f t="shared" si="169"/>
        <v>0.60732203341968694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5.3205440053716299E-14</v>
      </c>
      <c r="AK201" s="14">
        <f t="shared" si="164"/>
        <v>8.602146238565607E-13</v>
      </c>
      <c r="AL201" s="22">
        <f t="shared" si="165"/>
        <v>1.590873277977066E-12</v>
      </c>
      <c r="AM201" s="62">
        <f t="shared" si="193"/>
        <v>293.33333333333491</v>
      </c>
      <c r="AN201" s="62">
        <f ca="1">AVERAGE(OFFSET($AM$3,0,0,'Données projet'!$E$10+1,1))-AVERAGE(OFFSET($H$3,0,0,'Données projet'!$E$10+1,1))</f>
        <v>160.81094423216069</v>
      </c>
      <c r="AO201" s="62">
        <f t="shared" si="205"/>
        <v>145.53871436439169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0.37653212109790335</v>
      </c>
      <c r="AV201" s="23">
        <f>EXP(-LN(2)/25)*AV200+(1-EXP(-LN(2)/25))/(LN(2)/25)*Calculateur!AQ201*Calculateur!AS201*VLOOKUP('Données projet'!$B$10,Paramètres!$A$1:$I$89,3,0)*0.475*44/12</f>
        <v>5.3639474366350429E-2</v>
      </c>
      <c r="AW201" s="23">
        <f>EXP(-LN(2)/2)*AW200+(1-EXP(-LN(2)/2))/(LN(2)/2)*AQ201*AT201*VLOOKUP('Données projet'!$B$10,Paramètres!$A$1:$I$89,3,0)*0.475*44/12</f>
        <v>2.2090842312168852E-23</v>
      </c>
      <c r="AX201" s="23">
        <f t="shared" si="166"/>
        <v>0.43017159546425376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-1.2710188457276673E-13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374.67858373761965</v>
      </c>
      <c r="BJ201" s="62">
        <f t="shared" si="206"/>
        <v>468.38066974447543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0.45944860837371421</v>
      </c>
      <c r="BQ201" s="23">
        <f>EXP(-LN(2)/25)*BQ200+(1-EXP(-LN(2)/25))/(LN(2)/25)*Calculateur!BL201*Calculateur!BN201*VLOOKUP('Données projet'!$B$11,Paramètres!$A$1:$I$89,3,0)*0.475*44/12</f>
        <v>0.13489139999530605</v>
      </c>
      <c r="BR201" s="23">
        <f>EXP(-LN(2)/2)*BR200+(1-EXP(-LN(2)/2))/(LN(2)/2)*BL201*BO201*VLOOKUP('Données projet'!$B$11,Paramètres!$A$1:$I$89,3,0)*0.475*44/12</f>
        <v>6.5502302595149669E-25</v>
      </c>
      <c r="BS201" s="24">
        <f t="shared" si="169"/>
        <v>0.59434000836902023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5.3205440053716299E-14</v>
      </c>
      <c r="AK202" s="14">
        <f t="shared" si="164"/>
        <v>8.602146238565607E-13</v>
      </c>
      <c r="AL202" s="22">
        <f t="shared" si="165"/>
        <v>1.590873277977066E-12</v>
      </c>
      <c r="AM202" s="62">
        <f t="shared" si="193"/>
        <v>293.33333333333491</v>
      </c>
      <c r="AN202" s="62">
        <f ca="1">AVERAGE(OFFSET($AM$3,0,0,'Données projet'!$E$10+1,1))-AVERAGE(OFFSET($H$3,0,0,'Données projet'!$E$10+1,1))</f>
        <v>160.81094423216069</v>
      </c>
      <c r="AO202" s="62">
        <f t="shared" si="205"/>
        <v>145.53871436439169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0.3691485558650901</v>
      </c>
      <c r="AV202" s="23">
        <f>EXP(-LN(2)/25)*AV201+(1-EXP(-LN(2)/25))/(LN(2)/25)*Calculateur!AQ202*Calculateur!AS202*VLOOKUP('Données projet'!$B$10,Paramètres!$A$1:$I$89,3,0)*0.475*44/12</f>
        <v>5.2172700119025216E-2</v>
      </c>
      <c r="AW202" s="23">
        <f>EXP(-LN(2)/2)*AW201+(1-EXP(-LN(2)/2))/(LN(2)/2)*AQ202*AT202*VLOOKUP('Données projet'!$B$10,Paramètres!$A$1:$I$89,3,0)*0.475*44/12</f>
        <v>1.5620584401057306E-23</v>
      </c>
      <c r="AX202" s="23">
        <f t="shared" si="166"/>
        <v>0.42132125598411529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-1.2710188457276673E-13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374.67858373761965</v>
      </c>
      <c r="BJ202" s="62">
        <f t="shared" si="206"/>
        <v>468.38066974447543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0.45043910139948579</v>
      </c>
      <c r="BQ202" s="23">
        <f>EXP(-LN(2)/25)*BQ201+(1-EXP(-LN(2)/25))/(LN(2)/25)*Calculateur!BL202*Calculateur!BN202*VLOOKUP('Données projet'!$B$11,Paramètres!$A$1:$I$89,3,0)*0.475*44/12</f>
        <v>0.13120278756880399</v>
      </c>
      <c r="BR202" s="23">
        <f>EXP(-LN(2)/2)*BR201+(1-EXP(-LN(2)/2))/(LN(2)/2)*BL202*BO202*VLOOKUP('Données projet'!$B$11,Paramètres!$A$1:$I$89,3,0)*0.475*44/12</f>
        <v>4.631712234836352E-25</v>
      </c>
      <c r="BS202" s="24">
        <f t="shared" si="169"/>
        <v>0.58164188896828972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5.3205440053716299E-14</v>
      </c>
      <c r="AK203" s="14">
        <f t="shared" si="164"/>
        <v>8.602146238565607E-13</v>
      </c>
      <c r="AL203" s="22">
        <f t="shared" si="165"/>
        <v>1.590873277977066E-12</v>
      </c>
      <c r="AM203" s="62">
        <f t="shared" si="193"/>
        <v>293.33333333333491</v>
      </c>
      <c r="AN203" s="62">
        <f ca="1">AVERAGE(OFFSET($AM$3,0,0,'Données projet'!$E$10+1,1))-AVERAGE(OFFSET($H$3,0,0,'Données projet'!$E$10+1,1))</f>
        <v>160.81094423216069</v>
      </c>
      <c r="AO203" s="62">
        <f t="shared" si="205"/>
        <v>145.53871436439169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0.36190977784296224</v>
      </c>
      <c r="AV203" s="23">
        <f>EXP(-LN(2)/25)*AV202+(1-EXP(-LN(2)/25))/(LN(2)/25)*Calculateur!AQ203*Calculateur!AS203*VLOOKUP('Données projet'!$B$10,Paramètres!$A$1:$I$89,3,0)*0.475*44/12</f>
        <v>5.0746034890627414E-2</v>
      </c>
      <c r="AW203" s="23">
        <f>EXP(-LN(2)/2)*AW202+(1-EXP(-LN(2)/2))/(LN(2)/2)*AQ203*AT203*VLOOKUP('Données projet'!$B$10,Paramètres!$A$1:$I$89,3,0)*0.475*44/12</f>
        <v>1.1045421156084426E-23</v>
      </c>
      <c r="AX203" s="23">
        <f t="shared" si="166"/>
        <v>0.41265581273358964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-1.2710188457276673E-13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374.67858373761965</v>
      </c>
      <c r="BJ203" s="62">
        <f t="shared" si="206"/>
        <v>468.38066974447543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0.44160626536176534</v>
      </c>
      <c r="BQ203" s="23">
        <f>EXP(-LN(2)/25)*BQ202+(1-EXP(-LN(2)/25))/(LN(2)/25)*Calculateur!BL203*Calculateur!BN203*VLOOKUP('Données projet'!$B$11,Paramètres!$A$1:$I$89,3,0)*0.475*44/12</f>
        <v>0.12761504044308031</v>
      </c>
      <c r="BR203" s="23">
        <f>EXP(-LN(2)/2)*BR202+(1-EXP(-LN(2)/2))/(LN(2)/2)*BL203*BO203*VLOOKUP('Données projet'!$B$11,Paramètres!$A$1:$I$89,3,0)*0.475*44/12</f>
        <v>3.2751151297574834E-25</v>
      </c>
      <c r="BS203" s="24">
        <f t="shared" si="169"/>
        <v>0.56922130580484565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1.2677537154322802</v>
      </c>
      <c r="BA205" s="88">
        <f>EXP(LN('Données projet'!B88)/'Données projet'!A88)</f>
        <v>1.3070441688874561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4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5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4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6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6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5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4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5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26" sqref="C2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18" t="s">
        <v>191</v>
      </c>
      <c r="C2" s="319"/>
      <c r="D2" s="319"/>
      <c r="E2" s="319"/>
      <c r="F2" s="319"/>
      <c r="G2" s="32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17"/>
      <c r="C4" s="317"/>
      <c r="D4" s="317"/>
      <c r="E4" s="317"/>
      <c r="F4" s="317"/>
      <c r="G4" s="31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E4" workbookViewId="0">
      <selection activeCell="E17" sqref="E1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18" t="s">
        <v>271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2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3.8940000000000001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615.19314502017266</v>
      </c>
      <c r="G6" s="156">
        <f ca="1">F6*(100%-'Données projet'!$C$24)*(100%-'Données projet'!$C$25)*(100%-'Données projet'!$C$26)*(100%-'Données projet'!$C$27)</f>
        <v>525.99013899224769</v>
      </c>
      <c r="H6" s="157">
        <f>IF(OR('Données projet'!B9="",'Données projet'!C9="",'Données projet'!C9=0%),0,AVERAGE(Calculateur!$AC$3:$AC$33)*B6)</f>
        <v>31.880371439761728</v>
      </c>
      <c r="I6" s="158">
        <f>H6*(100%-'Données projet'!$C$24)*(100%-'Données projet'!$C$25)*(100%-'Données projet'!$C$26)*(100%-'Données projet'!$C$27)</f>
        <v>27.257717580996278</v>
      </c>
      <c r="J6" s="159">
        <f>IF(OR('Données projet'!B9="",'Données projet'!C9="",'Données projet'!C9=0%),0,SUM(Calculateur!$V$3:$V$33)*VLOOKUP('Données projet'!$B$9,Paramètres!$A$1:$I$89,9,0)*B6)</f>
        <v>250.42314000000002</v>
      </c>
      <c r="K6" s="160">
        <f>J6*(100%-'Données projet'!$C$24)*(100%-'Données projet'!$C$25)*(100%-'Données projet'!$C$26)*(100%-'Données projet'!$C$27)</f>
        <v>214.11178470000002</v>
      </c>
      <c r="L6" s="161">
        <f ca="1">G6+I6+K6</f>
        <v>767.35964127324405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Cèdre de l'Atlas</v>
      </c>
      <c r="B7" s="163">
        <f>'Données projet'!D10</f>
        <v>1.9470000000000001</v>
      </c>
      <c r="C7" s="156">
        <f ca="1">IF(OR('Données projet'!B10="",'Données projet'!C10="",'Données projet'!C10=0%),0,Calculateur!AN3)</f>
        <v>160.81094423216069</v>
      </c>
      <c r="D7" s="156">
        <f>IF(OR('Données projet'!B10="",'Données projet'!C10="",'Données projet'!C10=0%),0,Calculateur!AO3)</f>
        <v>145.53871436439169</v>
      </c>
      <c r="E7" s="156">
        <f t="shared" ref="E7:E15" ca="1" si="0">MIN(C7,D7)</f>
        <v>145.53871436439169</v>
      </c>
      <c r="F7" s="156">
        <f t="shared" ref="F7:F15" ca="1" si="1">E7*B7</f>
        <v>283.36387686747065</v>
      </c>
      <c r="G7" s="156">
        <f ca="1">F7*(100%-'Données projet'!$C$24)*(100%-'Données projet'!$C$25)*(100%-'Données projet'!$C$26)*(100%-'Données projet'!$C$27)</f>
        <v>242.27611472168741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242.27611472168741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Douglas</v>
      </c>
      <c r="B8" s="163">
        <f>'Données projet'!D11</f>
        <v>0.64900000000000002</v>
      </c>
      <c r="C8" s="156">
        <f ca="1">IF(OR('Données projet'!B11="",'Données projet'!C11="",'Données projet'!C11=0%),0,Calculateur!BI3)</f>
        <v>374.67858373761965</v>
      </c>
      <c r="D8" s="156">
        <f>IF(OR('Données projet'!B11="",'Données projet'!C11="",'Données projet'!C11=0%),0,Calculateur!BJ3)</f>
        <v>468.38066974447543</v>
      </c>
      <c r="E8" s="156">
        <f t="shared" ca="1" si="0"/>
        <v>374.67858373761965</v>
      </c>
      <c r="F8" s="156">
        <f t="shared" ca="1" si="1"/>
        <v>243.16640084571515</v>
      </c>
      <c r="G8" s="156">
        <f ca="1">F8*(100%-'Données projet'!$C$24)*(100%-'Données projet'!$C$25)*(100%-'Données projet'!$C$26)*(100%-'Données projet'!$C$27)</f>
        <v>207.90727272308646</v>
      </c>
      <c r="H8" s="164">
        <f>IF(OR('Données projet'!B11="",'Données projet'!C11="",'Données projet'!C11=0%),0,AVERAGE(Calculateur!$BS$3:$BS$33)*B8)</f>
        <v>2.9483610492774281</v>
      </c>
      <c r="I8" s="158">
        <f>H8*(100%-'Données projet'!$C$24)*(100%-'Données projet'!$C$25)*(100%-'Données projet'!$C$26)*(100%-'Données projet'!$C$27)</f>
        <v>2.5208486971322013</v>
      </c>
      <c r="J8" s="159">
        <f>IF(OR('Données projet'!B11="",'Données projet'!C11="",'Données projet'!C11=0%),0,SUM(Calculateur!$BL$3:$BL$33)*VLOOKUP('Données projet'!$B$11,Paramètres!$A$1:$I$89,9,0)*B8)</f>
        <v>30.139559999999999</v>
      </c>
      <c r="K8" s="160">
        <f>J8*(100%-'Données projet'!$C$24)*(100%-'Données projet'!$C$25)*(100%-'Données projet'!$C$26)*(100%-'Données projet'!$C$27)</f>
        <v>25.769323799999999</v>
      </c>
      <c r="L8" s="161">
        <f t="shared" ca="1" si="2"/>
        <v>236.19744522021867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1141.7234227333583</v>
      </c>
      <c r="G16" s="175">
        <f t="shared" ca="1" si="3"/>
        <v>976.17352643702156</v>
      </c>
      <c r="H16" s="176">
        <f t="shared" si="3"/>
        <v>34.828732489039155</v>
      </c>
      <c r="I16" s="176">
        <f t="shared" si="3"/>
        <v>29.77856627812848</v>
      </c>
      <c r="J16" s="177">
        <f t="shared" si="3"/>
        <v>280.56270000000001</v>
      </c>
      <c r="K16" s="177">
        <f t="shared" si="3"/>
        <v>239.88110850000001</v>
      </c>
      <c r="L16" s="178">
        <f t="shared" ca="1" si="3"/>
        <v>1245.8332012151502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Douglas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Q18" zoomScale="90" zoomScaleNormal="90" workbookViewId="0">
      <selection activeCell="V3" sqref="V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18" t="s">
        <v>272</v>
      </c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2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3399.8541250930143</v>
      </c>
      <c r="U10" s="190">
        <f>'Données projet'!D9</f>
        <v>3.8940000000000001</v>
      </c>
      <c r="V10" s="189">
        <f>U10*T10</f>
        <v>13239.031963112198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480.57356520611881</v>
      </c>
      <c r="U11" s="190">
        <f>'Données projet'!D10</f>
        <v>1.9470000000000001</v>
      </c>
      <c r="V11" s="189">
        <f t="shared" ref="V11" si="0">U11*T11</f>
        <v>935.67673145631341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Douglas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4839.6686615901535</v>
      </c>
      <c r="U12" s="190">
        <f>'Données projet'!D11</f>
        <v>0.64900000000000002</v>
      </c>
      <c r="V12" s="189">
        <f t="shared" ref="V12:V19" si="1">U12*T12</f>
        <v>3140.9449613720099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25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1499.9999999999989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1</v>
      </c>
      <c r="I20" s="204">
        <f>28992/6.49</f>
        <v>4467.1802773497684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8818/6.49</f>
        <v>1358.7057010785825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f>6418/6.49</f>
        <v>988.90600924499222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13</v>
      </c>
      <c r="B23" s="193">
        <f>'Données projet'!D36</f>
        <v>15</v>
      </c>
      <c r="C23" s="206">
        <v>10</v>
      </c>
      <c r="D23" s="194">
        <f>B23*C23</f>
        <v>150</v>
      </c>
      <c r="E23" s="206"/>
      <c r="F23" s="261"/>
      <c r="H23" s="203">
        <v>4</v>
      </c>
      <c r="I23" s="204">
        <f>6418/6.49</f>
        <v>988.90600924499222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-29508.752031932818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19</v>
      </c>
      <c r="B24" s="193">
        <f>'Données projet'!D37</f>
        <v>40</v>
      </c>
      <c r="C24" s="206">
        <v>12</v>
      </c>
      <c r="D24" s="194">
        <f t="shared" ref="D24:D42" si="2">B24*C24</f>
        <v>480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693.99849561300198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25</v>
      </c>
      <c r="B25" s="193">
        <f>'Données projet'!D38</f>
        <v>54</v>
      </c>
      <c r="C25" s="206">
        <v>14</v>
      </c>
      <c r="D25" s="194">
        <f t="shared" si="2"/>
        <v>756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-30202.750527545821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38</v>
      </c>
      <c r="B27" s="193">
        <f>'Données projet'!D40</f>
        <v>338</v>
      </c>
      <c r="C27" s="206">
        <v>45</v>
      </c>
      <c r="D27" s="194">
        <f t="shared" si="2"/>
        <v>15210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40</v>
      </c>
      <c r="B56" s="193">
        <f>'Données projet'!D64</f>
        <v>63</v>
      </c>
      <c r="C56" s="204">
        <v>11</v>
      </c>
      <c r="D56" s="191">
        <f t="shared" si="4"/>
        <v>693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50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60</v>
      </c>
      <c r="B58" s="193">
        <f>'Données projet'!D66</f>
        <v>67</v>
      </c>
      <c r="C58" s="204">
        <v>12</v>
      </c>
      <c r="D58" s="191">
        <f t="shared" si="4"/>
        <v>804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70</v>
      </c>
      <c r="B59" s="193">
        <f>'Données projet'!D67</f>
        <v>69</v>
      </c>
      <c r="C59" s="204">
        <v>12</v>
      </c>
      <c r="D59" s="191">
        <f t="shared" si="4"/>
        <v>828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80</v>
      </c>
      <c r="B60" s="193">
        <f>'Données projet'!D68</f>
        <v>71</v>
      </c>
      <c r="C60" s="204">
        <v>15</v>
      </c>
      <c r="D60" s="191">
        <f t="shared" si="4"/>
        <v>1065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90</v>
      </c>
      <c r="B61" s="193">
        <f>'Données projet'!D69</f>
        <v>73</v>
      </c>
      <c r="C61" s="204">
        <v>20</v>
      </c>
      <c r="D61" s="191">
        <f t="shared" si="4"/>
        <v>1460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100</v>
      </c>
      <c r="B62" s="193">
        <f>'Données projet'!D70</f>
        <v>375</v>
      </c>
      <c r="C62" s="204">
        <v>45</v>
      </c>
      <c r="D62" s="191">
        <f t="shared" si="4"/>
        <v>16875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Douglas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19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54</v>
      </c>
      <c r="C86" s="204">
        <v>9</v>
      </c>
      <c r="D86" s="191">
        <f t="shared" ref="D86:D104" si="6">B86*C86</f>
        <v>486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54</v>
      </c>
      <c r="C87" s="204">
        <v>12</v>
      </c>
      <c r="D87" s="191">
        <f t="shared" si="6"/>
        <v>648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35</v>
      </c>
      <c r="B88" s="193">
        <f>'Données projet'!D91</f>
        <v>69</v>
      </c>
      <c r="C88" s="204">
        <v>18</v>
      </c>
      <c r="D88" s="191">
        <f t="shared" si="6"/>
        <v>1242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40</v>
      </c>
      <c r="B89" s="193">
        <f>'Données projet'!D92</f>
        <v>72</v>
      </c>
      <c r="C89" s="204">
        <v>20</v>
      </c>
      <c r="D89" s="191">
        <f t="shared" si="6"/>
        <v>1440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45</v>
      </c>
      <c r="B90" s="193">
        <f>'Données projet'!D93</f>
        <v>66</v>
      </c>
      <c r="C90" s="204">
        <v>30</v>
      </c>
      <c r="D90" s="191">
        <f t="shared" si="6"/>
        <v>1980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50</v>
      </c>
      <c r="B91" s="193">
        <f>'Données projet'!D94</f>
        <v>48</v>
      </c>
      <c r="C91" s="204">
        <v>45</v>
      </c>
      <c r="D91" s="191">
        <f t="shared" si="6"/>
        <v>2160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55</v>
      </c>
      <c r="B92" s="193">
        <f>'Données projet'!D95</f>
        <v>35</v>
      </c>
      <c r="C92" s="204">
        <v>50</v>
      </c>
      <c r="D92" s="191">
        <f t="shared" si="6"/>
        <v>1750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60</v>
      </c>
      <c r="B93" s="193">
        <f>'Données projet'!D96</f>
        <v>666</v>
      </c>
      <c r="C93" s="204">
        <v>70</v>
      </c>
      <c r="D93" s="191">
        <f t="shared" si="6"/>
        <v>46620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2024-07-31T12:15:04Z</dcterms:modified>
</cp:coreProperties>
</file>