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ZA - SCAER 2 (29) - JANIAUD\Dossier déposé 17 06 2024\"/>
    </mc:Choice>
  </mc:AlternateContent>
  <xr:revisionPtr revIDLastSave="0" documentId="13_ncr:1_{BBD1D832-E504-4B63-BFEA-A75A4DC807F4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<sst xmlns="http://schemas.openxmlformats.org/spreadsheetml/2006/main" count="1170" uniqueCount="324">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</sst>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2.5983166838350953</c:v>
                </c:pt>
                <c:pt idx="2">
                  <c:v>3.2463174463232147</c:v>
                </c:pt>
                <c:pt idx="3">
                  <c:v>4.0565513374209239</c:v>
                </c:pt>
                <c:pt idx="4">
                  <c:v>5.0697828618695446</c:v>
                </c:pt>
                <c:pt idx="5">
                  <c:v>6.3370542463297648</c:v>
                </c:pt>
                <c:pt idx="6">
                  <c:v>7.9222848506989054</c:v>
                </c:pt>
                <c:pt idx="7">
                  <c:v>9.9055299174053317</c:v>
                </c:pt>
                <c:pt idx="8">
                  <c:v>12.387066341894517</c:v>
                </c:pt>
                <c:pt idx="9">
                  <c:v>15.492515895586982</c:v>
                </c:pt>
                <c:pt idx="10">
                  <c:v>19.379270002357259</c:v>
                </c:pt>
                <c:pt idx="11">
                  <c:v>24.244547556933963</c:v>
                </c:pt>
                <c:pt idx="12">
                  <c:v>30.335501891424943</c:v>
                </c:pt>
                <c:pt idx="13">
                  <c:v>37.961899258450863</c:v>
                </c:pt>
                <c:pt idx="14">
                  <c:v>47.512024652827165</c:v>
                </c:pt>
                <c:pt idx="15">
                  <c:v>59.472638408851729</c:v>
                </c:pt>
                <c:pt idx="16">
                  <c:v>64.165208394027431</c:v>
                </c:pt>
                <c:pt idx="17">
                  <c:v>68.848893794451357</c:v>
                </c:pt>
                <c:pt idx="18">
                  <c:v>73.524386209313334</c:v>
                </c:pt>
                <c:pt idx="19">
                  <c:v>78.192281767849408</c:v>
                </c:pt>
                <c:pt idx="20">
                  <c:v>82.853099357733484</c:v>
                </c:pt>
                <c:pt idx="21">
                  <c:v>75.320599808628344</c:v>
                </c:pt>
                <c:pt idx="22">
                  <c:v>83.92771673196583</c:v>
                </c:pt>
                <c:pt idx="23">
                  <c:v>92.512559752041909</c:v>
                </c:pt>
                <c:pt idx="24">
                  <c:v>101.07749153703737</c:v>
                </c:pt>
                <c:pt idx="25">
                  <c:v>109.62444036403467</c:v>
                </c:pt>
                <c:pt idx="26">
                  <c:v>103.57213253161632</c:v>
                </c:pt>
                <c:pt idx="27">
                  <c:v>111.75856147788171</c:v>
                </c:pt>
                <c:pt idx="28">
                  <c:v>119.9302774112839</c:v>
                </c:pt>
                <c:pt idx="29">
                  <c:v>128.08842589863374</c:v>
                </c:pt>
                <c:pt idx="30">
                  <c:v>136.23399433545887</c:v>
                </c:pt>
                <c:pt idx="31">
                  <c:v>128.44283600598467</c:v>
                </c:pt>
                <c:pt idx="32">
                  <c:v>136.58787781146995</c:v>
                </c:pt>
                <c:pt idx="33">
                  <c:v>144.72123383801272</c:v>
                </c:pt>
                <c:pt idx="34">
                  <c:v>152.84365444808637</c:v>
                </c:pt>
                <c:pt idx="35">
                  <c:v>160.95580359158956</c:v>
                </c:pt>
                <c:pt idx="36">
                  <c:v>151.78480419557513</c:v>
                </c:pt>
                <c:pt idx="37">
                  <c:v>160.2507916472772</c:v>
                </c:pt>
                <c:pt idx="38">
                  <c:v>168.70618534384235</c:v>
                </c:pt>
                <c:pt idx="39">
                  <c:v>177.15159182297262</c:v>
                </c:pt>
                <c:pt idx="40">
                  <c:v>185.58755497750232</c:v>
                </c:pt>
                <c:pt idx="41">
                  <c:v>174.68934684982233</c:v>
                </c:pt>
                <c:pt idx="42">
                  <c:v>183.12801142826848</c:v>
                </c:pt>
                <c:pt idx="43">
                  <c:v>191.55758507110059</c:v>
                </c:pt>
                <c:pt idx="44">
                  <c:v>199.97852475003637</c:v>
                </c:pt>
                <c:pt idx="45">
                  <c:v>208.39124575488822</c:v>
                </c:pt>
                <c:pt idx="46">
                  <c:v>197.1724777566096</c:v>
                </c:pt>
                <c:pt idx="47">
                  <c:v>205.23741371043857</c:v>
                </c:pt>
                <c:pt idx="48">
                  <c:v>213.29502298328632</c:v>
                </c:pt>
                <c:pt idx="49">
                  <c:v>221.34562173829306</c:v>
                </c:pt>
                <c:pt idx="50">
                  <c:v>229.38950123185123</c:v>
                </c:pt>
                <c:pt idx="51">
                  <c:v>217.84620360621361</c:v>
                </c:pt>
                <c:pt idx="52">
                  <c:v>225.54324923059599</c:v>
                </c:pt>
                <c:pt idx="53">
                  <c:v>233.23427816301714</c:v>
                </c:pt>
                <c:pt idx="54">
                  <c:v>240.91951704181267</c:v>
                </c:pt>
                <c:pt idx="55">
                  <c:v>248.5991768469012</c:v>
                </c:pt>
                <c:pt idx="56">
                  <c:v>236.7282733117103</c:v>
                </c:pt>
                <c:pt idx="57">
                  <c:v>244.06185890372944</c:v>
                </c:pt>
                <c:pt idx="58">
                  <c:v>251.39043603631271</c:v>
                </c:pt>
                <c:pt idx="59">
                  <c:v>258.71417149720048</c:v>
                </c:pt>
                <c:pt idx="60">
                  <c:v>266.03322184840971</c:v>
                </c:pt>
                <c:pt idx="61">
                  <c:v>253.8322112206819</c:v>
                </c:pt>
                <c:pt idx="62">
                  <c:v>260.80580020638365</c:v>
                </c:pt>
                <c:pt idx="63">
                  <c:v>267.77517870928608</c:v>
                </c:pt>
                <c:pt idx="64">
                  <c:v>274.74047191396755</c:v>
                </c:pt>
                <c:pt idx="65">
                  <c:v>281.70179813149122</c:v>
                </c:pt>
                <c:pt idx="66">
                  <c:v>269.51688027254545</c:v>
                </c:pt>
                <c:pt idx="67">
                  <c:v>276.48117089491979</c:v>
                </c:pt>
                <c:pt idx="68">
                  <c:v>283.44152309866399</c:v>
                </c:pt>
                <c:pt idx="69">
                  <c:v>290.39804735815119</c:v>
                </c:pt>
                <c:pt idx="70">
                  <c:v>297.35084841658897</c:v>
                </c:pt>
                <c:pt idx="71">
                  <c:v>284.48524314677428</c:v>
                </c:pt>
                <c:pt idx="72">
                  <c:v>290.74577498968847</c:v>
                </c:pt>
                <c:pt idx="73">
                  <c:v>297.00329523405793</c:v>
                </c:pt>
                <c:pt idx="74">
                  <c:v>303.25787636453435</c:v>
                </c:pt>
                <c:pt idx="75">
                  <c:v>309.50958762804504</c:v>
                </c:pt>
                <c:pt idx="76">
                  <c:v>296.65573298101731</c:v>
                </c:pt>
                <c:pt idx="77">
                  <c:v>302.91047555001904</c:v>
                </c:pt>
                <c:pt idx="78">
                  <c:v>309.1623444863157</c:v>
                </c:pt>
                <c:pt idx="79">
                  <c:v>315.41140617079753</c:v>
                </c:pt>
                <c:pt idx="80">
                  <c:v>321.65772413618151</c:v>
                </c:pt>
                <c:pt idx="81">
                  <c:v>308.46783220083051</c:v>
                </c:pt>
                <c:pt idx="82">
                  <c:v>314.37008810789507</c:v>
                </c:pt>
                <c:pt idx="83">
                  <c:v>320.26988743158756</c:v>
                </c:pt>
                <c:pt idx="84">
                  <c:v>326.16728186715693</c:v>
                </c:pt>
                <c:pt idx="85">
                  <c:v>332.06232108561682</c:v>
                </c:pt>
                <c:pt idx="86">
                  <c:v>319.92290747907668</c:v>
                </c:pt>
                <c:pt idx="87">
                  <c:v>325.12673773238441</c:v>
                </c:pt>
                <c:pt idx="88">
                  <c:v>330.32872765301545</c:v>
                </c:pt>
                <c:pt idx="89">
                  <c:v>335.52891035063578</c:v>
                </c:pt>
                <c:pt idx="90">
                  <c:v>340.72731782352434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1.487708571830886</c:v>
                </c:pt>
                <c:pt idx="2">
                  <c:v>1.8063244645912075</c:v>
                </c:pt>
                <c:pt idx="3">
                  <c:v>2.193441988325747</c:v>
                </c:pt>
                <c:pt idx="4">
                  <c:v>2.6638428125097842</c:v>
                </c:pt>
                <c:pt idx="5">
                  <c:v>3.2355092314076099</c:v>
                </c:pt>
                <c:pt idx="6">
                  <c:v>3.9303193983364859</c:v>
                </c:pt>
                <c:pt idx="7">
                  <c:v>4.7748940234812096</c:v>
                </c:pt>
                <c:pt idx="8">
                  <c:v>5.8016276226126307</c:v>
                </c:pt>
                <c:pt idx="9">
                  <c:v>7.0499446499537939</c:v>
                </c:pt>
                <c:pt idx="10">
                  <c:v>8.5678296847047104</c:v>
                </c:pt>
                <c:pt idx="11">
                  <c:v>10.413691617160287</c:v>
                </c:pt>
                <c:pt idx="12">
                  <c:v>12.658634923786138</c:v>
                </c:pt>
                <c:pt idx="13">
                  <c:v>15.38922715198346</c:v>
                </c:pt>
                <c:pt idx="14">
                  <c:v>18.710871290357538</c:v>
                </c:pt>
                <c:pt idx="15">
                  <c:v>22.751915555095071</c:v>
                </c:pt>
                <c:pt idx="16">
                  <c:v>27.668662224725569</c:v>
                </c:pt>
                <c:pt idx="17">
                  <c:v>33.651472660263259</c:v>
                </c:pt>
                <c:pt idx="18">
                  <c:v>40.932208966857907</c:v>
                </c:pt>
                <c:pt idx="19">
                  <c:v>49.793305609579022</c:v>
                </c:pt>
                <c:pt idx="20">
                  <c:v>60.578828793259014</c:v>
                </c:pt>
                <c:pt idx="21">
                  <c:v>73.707960122497852</c:v>
                </c:pt>
                <c:pt idx="22">
                  <c:v>89.691437108461628</c:v>
                </c:pt>
                <c:pt idx="23">
                  <c:v>109.15160031240815</c:v>
                </c:pt>
                <c:pt idx="24">
                  <c:v>132.84683998665642</c:v>
                </c:pt>
                <c:pt idx="25">
                  <c:v>161.70140970029556</c:v>
                </c:pt>
                <c:pt idx="26">
                  <c:v>136.74439615020125</c:v>
                </c:pt>
                <c:pt idx="27">
                  <c:v>164.75077334312192</c:v>
                </c:pt>
                <c:pt idx="28">
                  <c:v>192.6444161741795</c:v>
                </c:pt>
                <c:pt idx="29">
                  <c:v>220.44397098530533</c:v>
                </c:pt>
                <c:pt idx="30">
                  <c:v>200.23480062612774</c:v>
                </c:pt>
                <c:pt idx="31">
                  <c:v>232.54877790391367</c:v>
                </c:pt>
                <c:pt idx="32">
                  <c:v>264.76009082333889</c:v>
                </c:pt>
                <c:pt idx="33">
                  <c:v>296.88298625047742</c:v>
                </c:pt>
                <c:pt idx="34">
                  <c:v>328.92837104423444</c:v>
                </c:pt>
                <c:pt idx="35">
                  <c:v>296.28142501216269</c:v>
                </c:pt>
                <c:pt idx="36">
                  <c:v>328.7283093698781</c:v>
                </c:pt>
                <c:pt idx="37">
                  <c:v>361.10450336561422</c:v>
                </c:pt>
                <c:pt idx="38">
                  <c:v>393.41722914254575</c:v>
                </c:pt>
                <c:pt idx="39">
                  <c:v>425.67242592235561</c:v>
                </c:pt>
                <c:pt idx="40">
                  <c:v>385.64370369702669</c:v>
                </c:pt>
                <c:pt idx="41">
                  <c:v>415.32485548223758</c:v>
                </c:pt>
                <c:pt idx="42">
                  <c:v>444.96027949966771</c:v>
                </c:pt>
                <c:pt idx="43">
                  <c:v>474.55344560757021</c:v>
                </c:pt>
                <c:pt idx="44">
                  <c:v>504.10735599489294</c:v>
                </c:pt>
                <c:pt idx="45">
                  <c:v>476.67043320372562</c:v>
                </c:pt>
                <c:pt idx="46">
                  <c:v>501.79464523740444</c:v>
                </c:pt>
                <c:pt idx="47">
                  <c:v>526.89224796595784</c:v>
                </c:pt>
                <c:pt idx="48">
                  <c:v>551.96468570905517</c:v>
                </c:pt>
                <c:pt idx="49">
                  <c:v>577.01326101134964</c:v>
                </c:pt>
                <c:pt idx="50">
                  <c:v>602.0391542325317</c:v>
                </c:pt>
                <c:pt idx="51">
                  <c:v>567.62276426035078</c:v>
                </c:pt>
                <c:pt idx="52">
                  <c:v>587.55317950213123</c:v>
                </c:pt>
                <c:pt idx="53">
                  <c:v>607.46951736202516</c:v>
                </c:pt>
                <c:pt idx="54">
                  <c:v>627.37230392798858</c:v>
                </c:pt>
                <c:pt idx="55">
                  <c:v>647.26202921811966</c:v>
                </c:pt>
                <c:pt idx="56">
                  <c:v>667.13915070848282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D9" sqref="D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6.42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5</v>
      </c>
      <c r="C9" s="35">
        <v>0.06</v>
      </c>
      <c r="D9" s="36">
        <f t="shared" ref="D9:D18" si="0">C9*$C$5</f>
        <v>0.38519999999999999</v>
      </c>
      <c r="E9" s="37">
        <v>90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20</v>
      </c>
      <c r="C10" s="35">
        <v>0.94</v>
      </c>
      <c r="D10" s="36">
        <f t="shared" si="0"/>
        <v>6.0347999999999997</v>
      </c>
      <c r="E10" s="37">
        <v>56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6.42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Bouleau verruqueux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32</v>
      </c>
      <c r="C36" s="63">
        <v>0</v>
      </c>
      <c r="D36" s="63">
        <v>0</v>
      </c>
      <c r="E36" s="54"/>
      <c r="F36" s="54"/>
      <c r="G36" s="54">
        <v>1</v>
      </c>
      <c r="H36" s="54"/>
      <c r="I36" s="52">
        <f>IFERROR(B36/A36,"")</f>
        <v>2.1333333333333333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v>45</v>
      </c>
      <c r="C37" s="63">
        <v>0</v>
      </c>
      <c r="D37" s="63">
        <v>9</v>
      </c>
      <c r="E37" s="54"/>
      <c r="F37" s="54"/>
      <c r="G37" s="54">
        <v>1</v>
      </c>
      <c r="H37" s="54"/>
      <c r="I37" s="56">
        <f t="shared" ref="I37:I55" si="1">IF(A37&lt;&gt;0,(B37-(B36-D36))/(A37-A36),"")</f>
        <v>2.6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60</v>
      </c>
      <c r="C38" s="63">
        <v>1</v>
      </c>
      <c r="D38" s="63">
        <v>8</v>
      </c>
      <c r="E38" s="54"/>
      <c r="F38" s="54"/>
      <c r="G38" s="54">
        <v>1</v>
      </c>
      <c r="H38" s="54"/>
      <c r="I38" s="56">
        <f t="shared" si="1"/>
        <v>4.8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75</v>
      </c>
      <c r="C39" s="63">
        <v>2</v>
      </c>
      <c r="D39" s="63">
        <v>9</v>
      </c>
      <c r="E39" s="54"/>
      <c r="F39" s="54">
        <v>0.4</v>
      </c>
      <c r="G39" s="54">
        <v>0.6</v>
      </c>
      <c r="H39" s="54"/>
      <c r="I39" s="52">
        <f t="shared" si="1"/>
        <v>4.5999999999999996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89</v>
      </c>
      <c r="C40" s="63">
        <v>3</v>
      </c>
      <c r="D40" s="63">
        <v>10</v>
      </c>
      <c r="E40" s="54"/>
      <c r="F40" s="54"/>
      <c r="G40" s="54"/>
      <c r="H40" s="54"/>
      <c r="I40" s="52">
        <f t="shared" si="1"/>
        <v>4.5999999999999996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v>103</v>
      </c>
      <c r="C41" s="63">
        <v>4</v>
      </c>
      <c r="D41" s="63">
        <v>11</v>
      </c>
      <c r="E41" s="54"/>
      <c r="F41" s="54"/>
      <c r="G41" s="54"/>
      <c r="H41" s="54"/>
      <c r="I41" s="56">
        <f t="shared" si="1"/>
        <v>4.8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116</v>
      </c>
      <c r="C42" s="63">
        <v>5</v>
      </c>
      <c r="D42" s="63">
        <v>11</v>
      </c>
      <c r="E42" s="54"/>
      <c r="F42" s="54"/>
      <c r="G42" s="54"/>
      <c r="H42" s="54"/>
      <c r="I42" s="56">
        <f t="shared" si="1"/>
        <v>4.8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v>128</v>
      </c>
      <c r="C43" s="63">
        <v>6</v>
      </c>
      <c r="D43" s="63">
        <v>11</v>
      </c>
      <c r="E43" s="54"/>
      <c r="F43" s="54"/>
      <c r="G43" s="54"/>
      <c r="H43" s="54"/>
      <c r="I43" s="52">
        <f t="shared" si="1"/>
        <v>4.5999999999999996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v>139</v>
      </c>
      <c r="C44" s="63">
        <v>7</v>
      </c>
      <c r="D44" s="63">
        <v>11</v>
      </c>
      <c r="E44" s="54"/>
      <c r="F44" s="54"/>
      <c r="G44" s="54"/>
      <c r="H44" s="54"/>
      <c r="I44" s="52">
        <f t="shared" si="1"/>
        <v>4.4000000000000004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60</v>
      </c>
      <c r="B45" s="63">
        <v>149</v>
      </c>
      <c r="C45" s="63">
        <v>8</v>
      </c>
      <c r="D45" s="63">
        <v>11</v>
      </c>
      <c r="E45" s="54"/>
      <c r="F45" s="54"/>
      <c r="G45" s="54"/>
      <c r="H45" s="54"/>
      <c r="I45" s="52">
        <f t="shared" si="1"/>
        <v>4.2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65</v>
      </c>
      <c r="B46" s="63">
        <v>158</v>
      </c>
      <c r="C46" s="63">
        <v>9</v>
      </c>
      <c r="D46" s="63">
        <v>11</v>
      </c>
      <c r="E46" s="54"/>
      <c r="F46" s="54"/>
      <c r="G46" s="54"/>
      <c r="H46" s="54"/>
      <c r="I46" s="52">
        <f t="shared" si="1"/>
        <v>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70</v>
      </c>
      <c r="B47" s="63">
        <v>167</v>
      </c>
      <c r="C47" s="63">
        <v>10</v>
      </c>
      <c r="D47" s="63">
        <v>11</v>
      </c>
      <c r="E47" s="54"/>
      <c r="F47" s="54"/>
      <c r="G47" s="54"/>
      <c r="H47" s="54"/>
      <c r="I47" s="52">
        <f t="shared" si="1"/>
        <v>4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75</v>
      </c>
      <c r="B48" s="63">
        <v>174</v>
      </c>
      <c r="C48" s="63">
        <v>11</v>
      </c>
      <c r="D48" s="63">
        <v>11</v>
      </c>
      <c r="E48" s="54"/>
      <c r="F48" s="54"/>
      <c r="G48" s="54"/>
      <c r="H48" s="54"/>
      <c r="I48" s="52">
        <f t="shared" si="1"/>
        <v>3.6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80</v>
      </c>
      <c r="B49" s="63">
        <v>181</v>
      </c>
      <c r="C49" s="63">
        <v>12</v>
      </c>
      <c r="D49" s="63">
        <v>11</v>
      </c>
      <c r="E49" s="54"/>
      <c r="F49" s="54"/>
      <c r="G49" s="54"/>
      <c r="H49" s="54"/>
      <c r="I49" s="52">
        <f t="shared" si="1"/>
        <v>3.6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85</v>
      </c>
      <c r="B50" s="53">
        <v>187</v>
      </c>
      <c r="C50" s="53">
        <v>13</v>
      </c>
      <c r="D50" s="53">
        <v>10</v>
      </c>
      <c r="E50" s="54"/>
      <c r="F50" s="54"/>
      <c r="G50" s="54"/>
      <c r="H50" s="54"/>
      <c r="I50" s="52">
        <f t="shared" si="1"/>
        <v>3.4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90</v>
      </c>
      <c r="B51" s="53">
        <v>192</v>
      </c>
      <c r="C51" s="53">
        <v>14</v>
      </c>
      <c r="D51" s="53">
        <v>192</v>
      </c>
      <c r="E51" s="54"/>
      <c r="F51" s="54"/>
      <c r="G51" s="54"/>
      <c r="H51" s="54"/>
      <c r="I51" s="52">
        <f t="shared" si="1"/>
        <v>3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Epicéa de Sitka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155</v>
      </c>
      <c r="C62" s="63">
        <v>1</v>
      </c>
      <c r="D62" s="63">
        <v>52</v>
      </c>
      <c r="E62" s="54"/>
      <c r="F62" s="54">
        <v>0.4</v>
      </c>
      <c r="G62" s="54">
        <v>0.6</v>
      </c>
      <c r="H62" s="54"/>
      <c r="I62" s="56">
        <f>IFERROR(B62/A62,"")</f>
        <v>6.2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29</v>
      </c>
      <c r="B63" s="63">
        <v>213</v>
      </c>
      <c r="C63" s="63">
        <v>2</v>
      </c>
      <c r="D63" s="63">
        <v>52</v>
      </c>
      <c r="E63" s="54"/>
      <c r="F63" s="54">
        <v>0.4</v>
      </c>
      <c r="G63" s="54">
        <v>0.6</v>
      </c>
      <c r="H63" s="54"/>
      <c r="I63" s="52">
        <f>IF(A63&lt;&gt;0,(B63-(B62-D62))/(A63-A62),"")</f>
        <v>27.5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34</v>
      </c>
      <c r="B64" s="63">
        <v>321</v>
      </c>
      <c r="C64" s="63">
        <v>3</v>
      </c>
      <c r="D64" s="63">
        <v>65</v>
      </c>
      <c r="E64" s="54"/>
      <c r="F64" s="54"/>
      <c r="G64" s="54"/>
      <c r="H64" s="54"/>
      <c r="I64" s="52">
        <f>IF(A64&lt;&gt;0,(B64-(B63-D63))/(A64-A63),"")</f>
        <v>32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39</v>
      </c>
      <c r="B65" s="63">
        <v>418</v>
      </c>
      <c r="C65" s="63">
        <v>4</v>
      </c>
      <c r="D65" s="63">
        <v>70</v>
      </c>
      <c r="E65" s="54"/>
      <c r="F65" s="54"/>
      <c r="G65" s="54"/>
      <c r="H65" s="54"/>
      <c r="I65" s="52">
        <f>IF(A65&lt;&gt;0,(B65-(B64-D64))/(A65-A64),"")</f>
        <v>32.4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44</v>
      </c>
      <c r="B66" s="63">
        <v>497</v>
      </c>
      <c r="C66" s="63">
        <v>5</v>
      </c>
      <c r="D66" s="63">
        <v>53</v>
      </c>
      <c r="E66" s="54"/>
      <c r="F66" s="54"/>
      <c r="G66" s="54"/>
      <c r="H66" s="54"/>
      <c r="I66" s="52">
        <f t="shared" ref="I66:I81" si="2">IF(A66&lt;&gt;0,(B66-(B65-D65))/(A66-A65),"")</f>
        <v>29.8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596</v>
      </c>
      <c r="C67" s="63">
        <v>6</v>
      </c>
      <c r="D67" s="63">
        <v>55</v>
      </c>
      <c r="E67" s="54"/>
      <c r="F67" s="54"/>
      <c r="G67" s="54"/>
      <c r="H67" s="54"/>
      <c r="I67" s="52">
        <f t="shared" si="2"/>
        <v>25.333333333333332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56</v>
      </c>
      <c r="B68" s="63">
        <v>662</v>
      </c>
      <c r="C68" s="63">
        <v>7</v>
      </c>
      <c r="D68" s="63">
        <v>662</v>
      </c>
      <c r="E68" s="54"/>
      <c r="F68" s="54"/>
      <c r="G68" s="54"/>
      <c r="H68" s="54"/>
      <c r="I68" s="52">
        <f t="shared" si="2"/>
        <v>20.166666666666668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20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Bouleau verruqueux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Epicéa de Sitka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135.99759935190264</v>
      </c>
      <c r="T3" s="62">
        <f>IF('Données projet'!E9&gt;30,$R$33-$H$33,LOOKUP('Données projet'!$E$9,$A$3:$A$203,R3:R203)-LOOKUP('Données projet'!$E$9,$A$3:$A$203,$H$3:$H$203))</f>
        <v>103.49526616376608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213.5791415320935</v>
      </c>
      <c r="AO3" s="62">
        <f>IF('Données projet'!E10&gt;30,$AM$33-$H$33,LOOKUP('Données projet'!$E$10,$A$3:$A$203,AM3:AM203)-LOOKUP('Données projet'!$E$10,$A$3:$A$203,$H$3:$H$203))</f>
        <v>167.49607245443497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0.46799999999999997</v>
      </c>
      <c r="D4" s="12">
        <f>IFERROR(EXP(-1.0587+0.8836*LN(C4)+0.284),0)</f>
        <v>0.23560326283967137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5.431323432446586</v>
      </c>
      <c r="H4" s="70">
        <f t="shared" ref="H4:H67" si="1">(B4+E4+F4)*44/12+(C4+D4)*0.475*44/12</f>
        <v>294.55877568277907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2.1333333333333333</v>
      </c>
      <c r="N4" s="14">
        <f>IF('Données projet'!$A$36&gt;35,N3+M4-V3,IF(A4&lt;'Données projet'!$A$36,$K$205^A4,IF(A4='Données projet'!$A$36,'Données projet'!$B$36,N3+M4-V3)))</f>
        <v>1.2599210498948732</v>
      </c>
      <c r="O4" s="14">
        <f>N4*VLOOKUP('Données projet'!$B$9,Paramètres!$A$1:$I$89,3,0)*VLOOKUP('Données projet'!$B$9,Paramètres!$A$1:$I$89,5,0)</f>
        <v>1.0220479556747213</v>
      </c>
      <c r="P4" s="14">
        <f>EXP(-1.0587+0.8836*LN(O4)+0.284)</f>
        <v>0.4698085135128936</v>
      </c>
      <c r="Q4" s="22">
        <f t="shared" ref="Q4:Q34" si="2">(O4+P4)*0.475*44/12</f>
        <v>2.5983166838350953</v>
      </c>
      <c r="R4" s="62">
        <f t="shared" si="0"/>
        <v>295.93165001716841</v>
      </c>
      <c r="S4" s="62">
        <f ca="1">AVERAGE(OFFSET($R$3,0,0,'Données projet'!$E$9+1,1))-AVERAGE(OFFSET($H$3,0,0,'Données projet'!$E$9+1,1))</f>
        <v>135.99759935190264</v>
      </c>
      <c r="T4" s="62">
        <f>$T$3</f>
        <v>103.49526616376608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6.2</v>
      </c>
      <c r="AI4" s="14">
        <f>IF('Données projet'!$A$62&gt;35,AI3+AH4-AQ3,IF(A4&lt;'Données projet'!$A$62,$AF$205^A4,IF(A4='Données projet'!$A$62,'Données projet'!$B$62,AI3+AH4-AQ3)))</f>
        <v>1.2235261841298362</v>
      </c>
      <c r="AJ4" s="14">
        <f>AI4*VLOOKUP('Données projet'!$B$10,Paramètres!$A$1:$I$89,3,0)*VLOOKUP('Données projet'!$B$10,Paramètres!$A$1:$I$89,5,0)</f>
        <v>0.57261025417276334</v>
      </c>
      <c r="AK4" s="14">
        <f>EXP(-1.0587+0.8836*LN(AJ4)+0.284)</f>
        <v>0.28157648563444393</v>
      </c>
      <c r="AL4" s="22">
        <f t="shared" ref="AL4:AL67" si="4">(AJ4+AK4)*0.475*44/12</f>
        <v>1.487708571830886</v>
      </c>
      <c r="AM4" s="62">
        <f t="shared" ref="AM4:AM67" si="5">AL4+(AD4+AE4)*44/12</f>
        <v>294.82104190516418</v>
      </c>
      <c r="AN4" s="62">
        <f ca="1">AVERAGE(OFFSET($AM$3,0,0,'Données projet'!$E$10+1,1))-AVERAGE(OFFSET($H$3,0,0,'Données projet'!$E$10+1,1))</f>
        <v>213.5791415320935</v>
      </c>
      <c r="AO4" s="62">
        <f>$AO$3</f>
        <v>167.49607245443497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0.93599999999999994</v>
      </c>
      <c r="D5" s="12">
        <f t="shared" ref="D5:D68" si="32">IFERROR(EXP(-1.0587+0.8836*LN(C5)+0.284),0)</f>
        <v>0.43468174797979486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10.58070121247561</v>
      </c>
      <c r="H5" s="70">
        <f t="shared" si="1"/>
        <v>295.7206040443981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2.1333333333333333</v>
      </c>
      <c r="N5" s="14">
        <f>IF('Données projet'!$A$36&gt;35,N4+M5-V4,IF(A5&lt;'Données projet'!$A$36,$K$205^A5,IF(A5='Données projet'!$A$36,'Données projet'!$B$36,N4+M5-V4)))</f>
        <v>1.5874010519681996</v>
      </c>
      <c r="O5" s="14">
        <f>N5*VLOOKUP('Données projet'!$B$9,Paramètres!$A$1:$I$89,3,0)*VLOOKUP('Données projet'!$B$9,Paramètres!$A$1:$I$89,5,0)</f>
        <v>1.2876997333566036</v>
      </c>
      <c r="P5" s="14">
        <f t="shared" ref="P5:P68" si="33">EXP(-1.0587+0.8836*LN(O5)+0.284)</f>
        <v>0.57621458989117558</v>
      </c>
      <c r="Q5" s="22">
        <f t="shared" si="2"/>
        <v>3.2463174463232147</v>
      </c>
      <c r="R5" s="62">
        <f t="shared" si="0"/>
        <v>296.5796507796565</v>
      </c>
      <c r="S5" s="62">
        <f ca="1">AVERAGE(OFFSET($R$3,0,0,'Données projet'!$E$9+1,1))-AVERAGE(OFFSET($H$3,0,0,'Données projet'!$E$9+1,1))</f>
        <v>135.99759935190264</v>
      </c>
      <c r="T5" s="62">
        <f t="shared" ref="T5:T68" si="34">$T$3</f>
        <v>103.49526616376608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6.2</v>
      </c>
      <c r="AI5" s="14">
        <f>IF('Données projet'!$A$62&gt;35,AI4+AH5-AQ4,IF(A5&lt;'Données projet'!$A$62,$AF$205^A5,IF(A5='Données projet'!$A$62,'Données projet'!$B$62,AI4+AH5-AQ4)))</f>
        <v>1.4970163232513178</v>
      </c>
      <c r="AJ5" s="14">
        <f>AI5*VLOOKUP('Données projet'!$B$10,Paramètres!$A$1:$I$89,3,0)*VLOOKUP('Données projet'!$B$10,Paramètres!$A$1:$I$89,5,0)</f>
        <v>0.70060363928161673</v>
      </c>
      <c r="AK5" s="14">
        <f t="shared" ref="AK5:AK68" si="35">EXP(-1.0587+0.8836*LN(AJ5)+0.284)</f>
        <v>0.33652045522051222</v>
      </c>
      <c r="AL5" s="22">
        <f t="shared" si="4"/>
        <v>1.8063244645912075</v>
      </c>
      <c r="AM5" s="62">
        <f t="shared" si="5"/>
        <v>295.13965779792454</v>
      </c>
      <c r="AN5" s="62">
        <f ca="1">AVERAGE(OFFSET($AM$3,0,0,'Données projet'!$E$10+1,1))-AVERAGE(OFFSET($H$3,0,0,'Données projet'!$E$10+1,1))</f>
        <v>213.5791415320935</v>
      </c>
      <c r="AO5" s="62">
        <f t="shared" ref="AO5:AO68" si="36">$AO$3</f>
        <v>167.49607245443497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1.4039999999999999</v>
      </c>
      <c r="D6" s="12">
        <f t="shared" si="32"/>
        <v>0.62196456335211292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15.639024699560167</v>
      </c>
      <c r="H6" s="70">
        <f t="shared" si="1"/>
        <v>296.86188828117156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2.1333333333333333</v>
      </c>
      <c r="N6" s="14">
        <f>IF('Données projet'!$A$36&gt;35,N5+M6-V5,IF(A6&lt;'Données projet'!$A$36,$K$205^A6,IF(A6='Données projet'!$A$36,'Données projet'!$B$36,N5+M6-V5)))</f>
        <v>2</v>
      </c>
      <c r="O6" s="14">
        <f>N6*VLOOKUP('Données projet'!$B$9,Paramètres!$A$1:$I$89,3,0)*VLOOKUP('Données projet'!$B$9,Paramètres!$A$1:$I$89,5,0)</f>
        <v>1.6224000000000001</v>
      </c>
      <c r="P6" s="14">
        <f t="shared" si="33"/>
        <v>0.70672038512206192</v>
      </c>
      <c r="Q6" s="22">
        <f t="shared" si="2"/>
        <v>4.0565513374209239</v>
      </c>
      <c r="R6" s="62">
        <f t="shared" si="0"/>
        <v>297.38988467075421</v>
      </c>
      <c r="S6" s="62">
        <f ca="1">AVERAGE(OFFSET($R$3,0,0,'Données projet'!$E$9+1,1))-AVERAGE(OFFSET($H$3,0,0,'Données projet'!$E$9+1,1))</f>
        <v>135.99759935190264</v>
      </c>
      <c r="T6" s="62">
        <f t="shared" si="34"/>
        <v>103.49526616376608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6.2</v>
      </c>
      <c r="AI6" s="14">
        <f>IF('Données projet'!$A$62&gt;35,AI5+AH6-AQ5,IF(A6&lt;'Données projet'!$A$62,$AF$205^A6,IF(A6='Données projet'!$A$62,'Données projet'!$B$62,AI5+AH6-AQ5)))</f>
        <v>1.8316386695677622</v>
      </c>
      <c r="AJ6" s="14">
        <f>AI6*VLOOKUP('Données projet'!$B$10,Paramètres!$A$1:$I$89,3,0)*VLOOKUP('Données projet'!$B$10,Paramètres!$A$1:$I$89,5,0)</f>
        <v>0.85720689735771283</v>
      </c>
      <c r="AK6" s="14">
        <f t="shared" si="35"/>
        <v>0.40218563182453443</v>
      </c>
      <c r="AL6" s="22">
        <f t="shared" si="4"/>
        <v>2.193441988325747</v>
      </c>
      <c r="AM6" s="62">
        <f t="shared" si="5"/>
        <v>295.52677532165904</v>
      </c>
      <c r="AN6" s="62">
        <f ca="1">AVERAGE(OFFSET($AM$3,0,0,'Données projet'!$E$10+1,1))-AVERAGE(OFFSET($H$3,0,0,'Données projet'!$E$10+1,1))</f>
        <v>213.5791415320935</v>
      </c>
      <c r="AO6" s="62">
        <f t="shared" si="36"/>
        <v>167.49607245443497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1.8719999999999999</v>
      </c>
      <c r="D7" s="12">
        <f t="shared" si="32"/>
        <v>0.80197625342459555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20.641220201874074</v>
      </c>
      <c r="H7" s="70">
        <f t="shared" si="1"/>
        <v>297.99050864138115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2.1333333333333333</v>
      </c>
      <c r="N7" s="14">
        <f>IF('Données projet'!$A$36&gt;35,N6+M7-V6,IF(A7&lt;'Données projet'!$A$36,$K$205^A7,IF(A7='Données projet'!$A$36,'Données projet'!$B$36,N6+M7-V6)))</f>
        <v>2.5198420997897468</v>
      </c>
      <c r="O7" s="14">
        <f>N7*VLOOKUP('Données projet'!$B$9,Paramètres!$A$1:$I$89,3,0)*VLOOKUP('Données projet'!$B$9,Paramètres!$A$1:$I$89,5,0)</f>
        <v>2.0440959113494426</v>
      </c>
      <c r="P7" s="14">
        <f t="shared" si="33"/>
        <v>0.86678420072876483</v>
      </c>
      <c r="Q7" s="22">
        <f t="shared" si="2"/>
        <v>5.0697828618695446</v>
      </c>
      <c r="R7" s="62">
        <f t="shared" si="0"/>
        <v>298.40311619520287</v>
      </c>
      <c r="S7" s="62">
        <f ca="1">AVERAGE(OFFSET($R$3,0,0,'Données projet'!$E$9+1,1))-AVERAGE(OFFSET($H$3,0,0,'Données projet'!$E$9+1,1))</f>
        <v>135.99759935190264</v>
      </c>
      <c r="T7" s="62">
        <f t="shared" si="34"/>
        <v>103.49526616376608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6.2</v>
      </c>
      <c r="AI7" s="14">
        <f>IF('Données projet'!$A$62&gt;35,AI6+AH7-AQ6,IF(A7&lt;'Données projet'!$A$62,$AF$205^A7,IF(A7='Données projet'!$A$62,'Données projet'!$B$62,AI6+AH7-AQ6)))</f>
        <v>2.2410578720808942</v>
      </c>
      <c r="AJ7" s="14">
        <f>AI7*VLOOKUP('Données projet'!$B$10,Paramètres!$A$1:$I$89,3,0)*VLOOKUP('Données projet'!$B$10,Paramètres!$A$1:$I$89,5,0)</f>
        <v>1.0488150841338586</v>
      </c>
      <c r="AK7" s="14">
        <f t="shared" si="35"/>
        <v>0.48066404266601759</v>
      </c>
      <c r="AL7" s="22">
        <f t="shared" si="4"/>
        <v>2.6638428125097842</v>
      </c>
      <c r="AM7" s="62">
        <f t="shared" si="5"/>
        <v>295.99717614584307</v>
      </c>
      <c r="AN7" s="62">
        <f ca="1">AVERAGE(OFFSET($AM$3,0,0,'Données projet'!$E$10+1,1))-AVERAGE(OFFSET($H$3,0,0,'Données projet'!$E$10+1,1))</f>
        <v>213.5791415320935</v>
      </c>
      <c r="AO7" s="62">
        <f t="shared" si="36"/>
        <v>167.49607245443497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2.34</v>
      </c>
      <c r="D8" s="12">
        <f t="shared" si="32"/>
        <v>0.97676749007450259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25.603117467241773</v>
      </c>
      <c r="H8" s="70">
        <f t="shared" si="1"/>
        <v>299.11003671187973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2.1333333333333333</v>
      </c>
      <c r="N8" s="14">
        <f>IF('Données projet'!$A$36&gt;35,N7+M8-V7,IF(A8&lt;'Données projet'!$A$36,$K$205^A8,IF(A8='Données projet'!$A$36,'Données projet'!$B$36,N7+M8-V7)))</f>
        <v>3.1748021039363996</v>
      </c>
      <c r="O8" s="14">
        <f>N8*VLOOKUP('Données projet'!$B$9,Paramètres!$A$1:$I$89,3,0)*VLOOKUP('Données projet'!$B$9,Paramètres!$A$1:$I$89,5,0)</f>
        <v>2.5753994667132076</v>
      </c>
      <c r="P8" s="14">
        <f t="shared" si="33"/>
        <v>1.0631005790263708</v>
      </c>
      <c r="Q8" s="22">
        <f t="shared" si="2"/>
        <v>6.3370542463297648</v>
      </c>
      <c r="R8" s="62">
        <f t="shared" si="0"/>
        <v>299.6703875796631</v>
      </c>
      <c r="S8" s="62">
        <f ca="1">AVERAGE(OFFSET($R$3,0,0,'Données projet'!$E$9+1,1))-AVERAGE(OFFSET($H$3,0,0,'Données projet'!$E$9+1,1))</f>
        <v>135.99759935190264</v>
      </c>
      <c r="T8" s="62">
        <f t="shared" si="34"/>
        <v>103.49526616376608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6.2</v>
      </c>
      <c r="AI8" s="14">
        <f>IF('Données projet'!$A$62&gt;35,AI7+AH8-AQ7,IF(A8&lt;'Données projet'!$A$62,$AF$205^A8,IF(A8='Données projet'!$A$62,'Données projet'!$B$62,AI7+AH8-AQ7)))</f>
        <v>2.7419929866412671</v>
      </c>
      <c r="AJ8" s="14">
        <f>AI8*VLOOKUP('Données projet'!$B$10,Paramètres!$A$1:$I$89,3,0)*VLOOKUP('Données projet'!$B$10,Paramètres!$A$1:$I$89,5,0)</f>
        <v>1.283252717748113</v>
      </c>
      <c r="AK8" s="14">
        <f t="shared" si="35"/>
        <v>0.57445593186391197</v>
      </c>
      <c r="AL8" s="22">
        <f t="shared" si="4"/>
        <v>3.2355092314076099</v>
      </c>
      <c r="AM8" s="62">
        <f t="shared" si="5"/>
        <v>296.56884256474092</v>
      </c>
      <c r="AN8" s="62">
        <f ca="1">AVERAGE(OFFSET($AM$3,0,0,'Données projet'!$E$10+1,1))-AVERAGE(OFFSET($H$3,0,0,'Données projet'!$E$10+1,1))</f>
        <v>213.5791415320935</v>
      </c>
      <c r="AO8" s="62">
        <f t="shared" si="36"/>
        <v>167.49607245443497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2.8079999999999998</v>
      </c>
      <c r="D9" s="12">
        <f t="shared" si="32"/>
        <v>1.1475080621585647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30.533746444732781</v>
      </c>
      <c r="H9" s="70">
        <f t="shared" si="1"/>
        <v>300.22250987492617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2.1333333333333333</v>
      </c>
      <c r="N9" s="14">
        <f>IF('Données projet'!$A$36&gt;35,N8+M9-V8,IF(A9&lt;'Données projet'!$A$36,$K$205^A9,IF(A9='Données projet'!$A$36,'Données projet'!$B$36,N8+M9-V8)))</f>
        <v>4.0000000000000009</v>
      </c>
      <c r="O9" s="14">
        <f>N9*VLOOKUP('Données projet'!$B$9,Paramètres!$A$1:$I$89,3,0)*VLOOKUP('Données projet'!$B$9,Paramètres!$A$1:$I$89,5,0)</f>
        <v>3.244800000000001</v>
      </c>
      <c r="P9" s="14">
        <f t="shared" si="33"/>
        <v>1.3038802970520027</v>
      </c>
      <c r="Q9" s="22">
        <f t="shared" si="2"/>
        <v>7.9222848506989054</v>
      </c>
      <c r="R9" s="62">
        <f t="shared" si="0"/>
        <v>301.25561818403224</v>
      </c>
      <c r="S9" s="62">
        <f ca="1">AVERAGE(OFFSET($R$3,0,0,'Données projet'!$E$9+1,1))-AVERAGE(OFFSET($H$3,0,0,'Données projet'!$E$9+1,1))</f>
        <v>135.99759935190264</v>
      </c>
      <c r="T9" s="62">
        <f t="shared" si="34"/>
        <v>103.49526616376608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6.2</v>
      </c>
      <c r="AI9" s="14">
        <f>IF('Données projet'!$A$62&gt;35,AI8+AH9-AQ8,IF(A9&lt;'Données projet'!$A$62,$AF$205^A9,IF(A9='Données projet'!$A$62,'Données projet'!$B$62,AI8+AH9-AQ8)))</f>
        <v>3.3549002158559627</v>
      </c>
      <c r="AJ9" s="14">
        <f>AI9*VLOOKUP('Données projet'!$B$10,Paramètres!$A$1:$I$89,3,0)*VLOOKUP('Données projet'!$B$10,Paramètres!$A$1:$I$89,5,0)</f>
        <v>1.5700933010205904</v>
      </c>
      <c r="AK9" s="14">
        <f t="shared" si="35"/>
        <v>0.68654941572763117</v>
      </c>
      <c r="AL9" s="22">
        <f t="shared" si="4"/>
        <v>3.9303193983364859</v>
      </c>
      <c r="AM9" s="62">
        <f t="shared" si="5"/>
        <v>297.26365273166982</v>
      </c>
      <c r="AN9" s="62">
        <f ca="1">AVERAGE(OFFSET($AM$3,0,0,'Données projet'!$E$10+1,1))-AVERAGE(OFFSET($H$3,0,0,'Données projet'!$E$10+1,1))</f>
        <v>213.5791415320935</v>
      </c>
      <c r="AO9" s="62">
        <f t="shared" si="36"/>
        <v>167.49607245443497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3.2759999999999998</v>
      </c>
      <c r="D10" s="12">
        <f t="shared" si="32"/>
        <v>1.3149520873221709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35.438928393364129</v>
      </c>
      <c r="H10" s="70">
        <f t="shared" si="1"/>
        <v>301.3292415520861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2.1333333333333333</v>
      </c>
      <c r="N10" s="14">
        <f>IF('Données projet'!$A$36&gt;35,N9+M10-V9,IF(A10&lt;'Données projet'!$A$36,$K$205^A10,IF(A10='Données projet'!$A$36,'Données projet'!$B$36,N9+M10-V9)))</f>
        <v>5.0396841995794937</v>
      </c>
      <c r="O10" s="14">
        <f>N10*VLOOKUP('Données projet'!$B$9,Paramètres!$A$1:$I$89,3,0)*VLOOKUP('Données projet'!$B$9,Paramètres!$A$1:$I$89,5,0)</f>
        <v>4.0881918226988851</v>
      </c>
      <c r="P10" s="14">
        <f t="shared" si="33"/>
        <v>1.5991937758113535</v>
      </c>
      <c r="Q10" s="22">
        <f t="shared" si="2"/>
        <v>9.9055299174053317</v>
      </c>
      <c r="R10" s="62">
        <f t="shared" si="0"/>
        <v>303.23886325073863</v>
      </c>
      <c r="S10" s="62">
        <f ca="1">AVERAGE(OFFSET($R$3,0,0,'Données projet'!$E$9+1,1))-AVERAGE(OFFSET($H$3,0,0,'Données projet'!$E$9+1,1))</f>
        <v>135.99759935190264</v>
      </c>
      <c r="T10" s="62">
        <f t="shared" si="34"/>
        <v>103.49526616376608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6.2</v>
      </c>
      <c r="AI10" s="14">
        <f>IF('Données projet'!$A$62&gt;35,AI9+AH10-AQ9,IF(A10&lt;'Données projet'!$A$62,$AF$205^A10,IF(A10='Données projet'!$A$62,'Données projet'!$B$62,AI9+AH10-AQ9)))</f>
        <v>4.1048082592426089</v>
      </c>
      <c r="AJ10" s="14">
        <f>AI10*VLOOKUP('Données projet'!$B$10,Paramètres!$A$1:$I$89,3,0)*VLOOKUP('Données projet'!$B$10,Paramètres!$A$1:$I$89,5,0)</f>
        <v>1.921050265325541</v>
      </c>
      <c r="AK10" s="14">
        <f t="shared" si="35"/>
        <v>0.8205156811708475</v>
      </c>
      <c r="AL10" s="22">
        <f t="shared" si="4"/>
        <v>4.7748940234812096</v>
      </c>
      <c r="AM10" s="62">
        <f t="shared" si="5"/>
        <v>298.1082273568145</v>
      </c>
      <c r="AN10" s="62">
        <f ca="1">AVERAGE(OFFSET($AM$3,0,0,'Données projet'!$E$10+1,1))-AVERAGE(OFFSET($H$3,0,0,'Données projet'!$E$10+1,1))</f>
        <v>213.5791415320935</v>
      </c>
      <c r="AO10" s="62">
        <f t="shared" si="36"/>
        <v>167.49607245443497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3.7439999999999998</v>
      </c>
      <c r="D11" s="12">
        <f t="shared" si="32"/>
        <v>1.4796248382778823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40.322718049864356</v>
      </c>
      <c r="H11" s="70">
        <f t="shared" si="1"/>
        <v>302.43114659333395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2.1333333333333333</v>
      </c>
      <c r="N11" s="14">
        <f>IF('Données projet'!$A$36&gt;35,N10+M11-V10,IF(A11&lt;'Données projet'!$A$36,$K$205^A11,IF(A11='Données projet'!$A$36,'Données projet'!$B$36,N10+M11-V10)))</f>
        <v>6.3496042078728001</v>
      </c>
      <c r="O11" s="14">
        <f>N11*VLOOKUP('Données projet'!$B$9,Paramètres!$A$1:$I$89,3,0)*VLOOKUP('Données projet'!$B$9,Paramètres!$A$1:$I$89,5,0)</f>
        <v>5.1507989334264161</v>
      </c>
      <c r="P11" s="14">
        <f t="shared" si="33"/>
        <v>1.9613922676613451</v>
      </c>
      <c r="Q11" s="22">
        <f t="shared" si="2"/>
        <v>12.387066341894517</v>
      </c>
      <c r="R11" s="62">
        <f t="shared" si="0"/>
        <v>305.72039967522784</v>
      </c>
      <c r="S11" s="62">
        <f ca="1">AVERAGE(OFFSET($R$3,0,0,'Données projet'!$E$9+1,1))-AVERAGE(OFFSET($H$3,0,0,'Données projet'!$E$9+1,1))</f>
        <v>135.99759935190264</v>
      </c>
      <c r="T11" s="62">
        <f t="shared" si="34"/>
        <v>103.49526616376608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6.2</v>
      </c>
      <c r="AI11" s="14">
        <f>IF('Données projet'!$A$62&gt;35,AI10+AH11-AQ10,IF(A11&lt;'Données projet'!$A$62,$AF$205^A11,IF(A11='Données projet'!$A$62,'Données projet'!$B$62,AI10+AH11-AQ10)))</f>
        <v>5.0223403860157454</v>
      </c>
      <c r="AJ11" s="14">
        <f>AI11*VLOOKUP('Données projet'!$B$10,Paramètres!$A$1:$I$89,3,0)*VLOOKUP('Données projet'!$B$10,Paramètres!$A$1:$I$89,5,0)</f>
        <v>2.3504553006553688</v>
      </c>
      <c r="AK11" s="14">
        <f t="shared" si="35"/>
        <v>0.98062276017484962</v>
      </c>
      <c r="AL11" s="22">
        <f t="shared" si="4"/>
        <v>5.8016276226126307</v>
      </c>
      <c r="AM11" s="62">
        <f t="shared" si="5"/>
        <v>299.13496095594593</v>
      </c>
      <c r="AN11" s="62">
        <f ca="1">AVERAGE(OFFSET($AM$3,0,0,'Données projet'!$E$10+1,1))-AVERAGE(OFFSET($H$3,0,0,'Données projet'!$E$10+1,1))</f>
        <v>213.5791415320935</v>
      </c>
      <c r="AO11" s="62">
        <f t="shared" si="36"/>
        <v>167.49607245443497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4.2119999999999997</v>
      </c>
      <c r="D12" s="12">
        <f t="shared" si="32"/>
        <v>1.6419123971514347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45.188095697309329</v>
      </c>
      <c r="H12" s="70">
        <f t="shared" si="1"/>
        <v>303.52889742503874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2.1333333333333333</v>
      </c>
      <c r="N12" s="14">
        <f>IF('Données projet'!$A$36&gt;35,N11+M12-V11,IF(A12&lt;'Données projet'!$A$36,$K$205^A12,IF(A12='Données projet'!$A$36,'Données projet'!$B$36,N11+M12-V11)))</f>
        <v>8.0000000000000036</v>
      </c>
      <c r="O12" s="14">
        <f>N12*VLOOKUP('Données projet'!$B$9,Paramètres!$A$1:$I$89,3,0)*VLOOKUP('Données projet'!$B$9,Paramètres!$A$1:$I$89,5,0)</f>
        <v>6.4896000000000029</v>
      </c>
      <c r="P12" s="14">
        <f t="shared" si="33"/>
        <v>2.4056244376575937</v>
      </c>
      <c r="Q12" s="22">
        <f t="shared" si="2"/>
        <v>15.492515895586982</v>
      </c>
      <c r="R12" s="62">
        <f t="shared" si="0"/>
        <v>308.82584922892028</v>
      </c>
      <c r="S12" s="62">
        <f ca="1">AVERAGE(OFFSET($R$3,0,0,'Données projet'!$E$9+1,1))-AVERAGE(OFFSET($H$3,0,0,'Données projet'!$E$9+1,1))</f>
        <v>135.99759935190264</v>
      </c>
      <c r="T12" s="62">
        <f t="shared" si="34"/>
        <v>103.49526616376608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6.2</v>
      </c>
      <c r="AI12" s="14">
        <f>IF('Données projet'!$A$62&gt;35,AI11+AH12-AQ11,IF(A12&lt;'Données projet'!$A$62,$AF$205^A12,IF(A12='Données projet'!$A$62,'Données projet'!$B$62,AI11+AH12-AQ11)))</f>
        <v>6.1449649679030136</v>
      </c>
      <c r="AJ12" s="14">
        <f>AI12*VLOOKUP('Données projet'!$B$10,Paramètres!$A$1:$I$89,3,0)*VLOOKUP('Données projet'!$B$10,Paramètres!$A$1:$I$89,5,0)</f>
        <v>2.87584360497861</v>
      </c>
      <c r="AK12" s="14">
        <f t="shared" si="35"/>
        <v>1.1719715050427075</v>
      </c>
      <c r="AL12" s="22">
        <f t="shared" si="4"/>
        <v>7.0499446499537939</v>
      </c>
      <c r="AM12" s="62">
        <f t="shared" si="5"/>
        <v>300.38327798328709</v>
      </c>
      <c r="AN12" s="62">
        <f ca="1">AVERAGE(OFFSET($AM$3,0,0,'Données projet'!$E$10+1,1))-AVERAGE(OFFSET($H$3,0,0,'Données projet'!$E$10+1,1))</f>
        <v>213.5791415320935</v>
      </c>
      <c r="AO12" s="62">
        <f t="shared" si="36"/>
        <v>167.49607245443497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4.68</v>
      </c>
      <c r="D13" s="12">
        <f t="shared" si="32"/>
        <v>1.8021100168054613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50.037340480603554</v>
      </c>
      <c r="H13" s="70">
        <f t="shared" si="1"/>
        <v>304.62300827926947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2.1333333333333333</v>
      </c>
      <c r="N13" s="14">
        <f>IF('Données projet'!$A$36&gt;35,N12+M13-V12,IF(A13&lt;'Données projet'!$A$36,$K$205^A13,IF(A13='Données projet'!$A$36,'Données projet'!$B$36,N12+M13-V12)))</f>
        <v>10.079368399158989</v>
      </c>
      <c r="O13" s="14">
        <f>N13*VLOOKUP('Données projet'!$B$9,Paramètres!$A$1:$I$89,3,0)*VLOOKUP('Données projet'!$B$9,Paramètres!$A$1:$I$89,5,0)</f>
        <v>8.1763836453977721</v>
      </c>
      <c r="P13" s="14">
        <f t="shared" si="33"/>
        <v>2.9504699444724252</v>
      </c>
      <c r="Q13" s="22">
        <f t="shared" si="2"/>
        <v>19.379270002357259</v>
      </c>
      <c r="R13" s="62">
        <f t="shared" si="0"/>
        <v>312.71260333569057</v>
      </c>
      <c r="S13" s="62">
        <f ca="1">AVERAGE(OFFSET($R$3,0,0,'Données projet'!$E$9+1,1))-AVERAGE(OFFSET($H$3,0,0,'Données projet'!$E$9+1,1))</f>
        <v>135.99759935190264</v>
      </c>
      <c r="T13" s="62">
        <f t="shared" si="34"/>
        <v>103.49526616376608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6.2</v>
      </c>
      <c r="AI13" s="14">
        <f>IF('Données projet'!$A$62&gt;35,AI12+AH13-AQ12,IF(A13&lt;'Données projet'!$A$62,$AF$205^A13,IF(A13='Données projet'!$A$62,'Données projet'!$B$62,AI12+AH13-AQ12)))</f>
        <v>7.5185255387898957</v>
      </c>
      <c r="AJ13" s="14">
        <f>AI13*VLOOKUP('Données projet'!$B$10,Paramètres!$A$1:$I$89,3,0)*VLOOKUP('Données projet'!$B$10,Paramètres!$A$1:$I$89,5,0)</f>
        <v>3.5186699521536715</v>
      </c>
      <c r="AK13" s="14">
        <f t="shared" si="35"/>
        <v>1.4006580964806126</v>
      </c>
      <c r="AL13" s="22">
        <f t="shared" si="4"/>
        <v>8.5678296847047104</v>
      </c>
      <c r="AM13" s="62">
        <f t="shared" si="5"/>
        <v>301.90116301803801</v>
      </c>
      <c r="AN13" s="62">
        <f ca="1">AVERAGE(OFFSET($AM$3,0,0,'Données projet'!$E$10+1,1))-AVERAGE(OFFSET($H$3,0,0,'Données projet'!$E$10+1,1))</f>
        <v>213.5791415320935</v>
      </c>
      <c r="AO13" s="62">
        <f t="shared" si="36"/>
        <v>167.49607245443497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5.1479999999999997</v>
      </c>
      <c r="D14" s="12">
        <f t="shared" si="32"/>
        <v>1.9604504824312583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54.872249338065849</v>
      </c>
      <c r="H14" s="70">
        <f t="shared" si="1"/>
        <v>305.71388459023444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2.1333333333333333</v>
      </c>
      <c r="N14" s="14">
        <f>IF('Données projet'!$A$36&gt;35,N13+M14-V13,IF(A14&lt;'Données projet'!$A$36,$K$205^A14,IF(A14='Données projet'!$A$36,'Données projet'!$B$36,N13+M14-V13)))</f>
        <v>12.6992084157456</v>
      </c>
      <c r="O14" s="14">
        <f>N14*VLOOKUP('Données projet'!$B$9,Paramètres!$A$1:$I$89,3,0)*VLOOKUP('Données projet'!$B$9,Paramètres!$A$1:$I$89,5,0)</f>
        <v>10.301597866852832</v>
      </c>
      <c r="P14" s="14">
        <f t="shared" si="33"/>
        <v>3.6187165199035083</v>
      </c>
      <c r="Q14" s="22">
        <f t="shared" si="2"/>
        <v>24.244547556933963</v>
      </c>
      <c r="R14" s="62">
        <f t="shared" si="0"/>
        <v>317.57788089026729</v>
      </c>
      <c r="S14" s="62">
        <f ca="1">AVERAGE(OFFSET($R$3,0,0,'Données projet'!$E$9+1,1))-AVERAGE(OFFSET($H$3,0,0,'Données projet'!$E$9+1,1))</f>
        <v>135.99759935190264</v>
      </c>
      <c r="T14" s="62">
        <f t="shared" si="34"/>
        <v>103.49526616376608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6.2</v>
      </c>
      <c r="AI14" s="14">
        <f>IF('Données projet'!$A$62&gt;35,AI13+AH14-AQ13,IF(A14&lt;'Données projet'!$A$62,$AF$205^A14,IF(A14='Données projet'!$A$62,'Données projet'!$B$62,AI13+AH14-AQ13)))</f>
        <v>9.1991128627583212</v>
      </c>
      <c r="AJ14" s="14">
        <f>AI14*VLOOKUP('Données projet'!$B$10,Paramètres!$A$1:$I$89,3,0)*VLOOKUP('Données projet'!$B$10,Paramètres!$A$1:$I$89,5,0)</f>
        <v>4.3051848197708944</v>
      </c>
      <c r="AK14" s="14">
        <f t="shared" si="35"/>
        <v>1.673968261852238</v>
      </c>
      <c r="AL14" s="22">
        <f t="shared" si="4"/>
        <v>10.413691617160287</v>
      </c>
      <c r="AM14" s="62">
        <f t="shared" si="5"/>
        <v>303.7470249504936</v>
      </c>
      <c r="AN14" s="62">
        <f ca="1">AVERAGE(OFFSET($AM$3,0,0,'Données projet'!$E$10+1,1))-AVERAGE(OFFSET($H$3,0,0,'Données projet'!$E$10+1,1))</f>
        <v>213.5791415320935</v>
      </c>
      <c r="AO14" s="62">
        <f t="shared" si="36"/>
        <v>167.49607245443497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5.6159999999999997</v>
      </c>
      <c r="D15" s="12">
        <f t="shared" si="32"/>
        <v>2.1171218270411956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59.694273752598697</v>
      </c>
      <c r="H15" s="70">
        <f t="shared" si="1"/>
        <v>306.80185384876341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2.1333333333333333</v>
      </c>
      <c r="N15" s="14">
        <f>IF('Données projet'!$A$36&gt;35,N14+M15-V14,IF(A15&lt;'Données projet'!$A$36,$K$205^A15,IF(A15='Données projet'!$A$36,'Données projet'!$B$36,N14+M15-V14)))</f>
        <v>16.000000000000007</v>
      </c>
      <c r="O15" s="14">
        <f>N15*VLOOKUP('Données projet'!$B$9,Paramètres!$A$1:$I$89,3,0)*VLOOKUP('Données projet'!$B$9,Paramètres!$A$1:$I$89,5,0)</f>
        <v>12.979200000000006</v>
      </c>
      <c r="P15" s="14">
        <f t="shared" si="33"/>
        <v>4.4383130477080988</v>
      </c>
      <c r="Q15" s="22">
        <f t="shared" si="2"/>
        <v>30.335501891424943</v>
      </c>
      <c r="R15" s="62">
        <f t="shared" si="0"/>
        <v>323.66883522475825</v>
      </c>
      <c r="S15" s="62">
        <f ca="1">AVERAGE(OFFSET($R$3,0,0,'Données projet'!$E$9+1,1))-AVERAGE(OFFSET($H$3,0,0,'Données projet'!$E$9+1,1))</f>
        <v>135.99759935190264</v>
      </c>
      <c r="T15" s="62">
        <f t="shared" si="34"/>
        <v>103.49526616376608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6.2</v>
      </c>
      <c r="AI15" s="14">
        <f>IF('Données projet'!$A$62&gt;35,AI14+AH15-AQ14,IF(A15&lt;'Données projet'!$A$62,$AF$205^A15,IF(A15='Données projet'!$A$62,'Données projet'!$B$62,AI14+AH15-AQ14)))</f>
        <v>11.255355458350383</v>
      </c>
      <c r="AJ15" s="14">
        <f>AI15*VLOOKUP('Données projet'!$B$10,Paramètres!$A$1:$I$89,3,0)*VLOOKUP('Données projet'!$B$10,Paramètres!$A$1:$I$89,5,0)</f>
        <v>5.2675063545079794</v>
      </c>
      <c r="AK15" s="14">
        <f t="shared" si="35"/>
        <v>2.0006093912065501</v>
      </c>
      <c r="AL15" s="22">
        <f t="shared" si="4"/>
        <v>12.658634923786138</v>
      </c>
      <c r="AM15" s="62">
        <f t="shared" si="5"/>
        <v>305.99196825711942</v>
      </c>
      <c r="AN15" s="62">
        <f ca="1">AVERAGE(OFFSET($AM$3,0,0,'Données projet'!$E$10+1,1))-AVERAGE(OFFSET($H$3,0,0,'Données projet'!$E$10+1,1))</f>
        <v>213.5791415320935</v>
      </c>
      <c r="AO15" s="62">
        <f t="shared" si="36"/>
        <v>167.49607245443497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6.0839999999999996</v>
      </c>
      <c r="D16" s="12">
        <f t="shared" si="32"/>
        <v>2.2722789577396263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64.504609498340969</v>
      </c>
      <c r="H16" s="70">
        <f t="shared" si="1"/>
        <v>307.88718585139651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2.1333333333333333</v>
      </c>
      <c r="N16" s="14">
        <f>IF('Données projet'!$A$36&gt;35,N15+M16-V15,IF(A16&lt;'Données projet'!$A$36,$K$205^A16,IF(A16='Données projet'!$A$36,'Données projet'!$B$36,N15+M16-V15)))</f>
        <v>20.158736798317982</v>
      </c>
      <c r="O16" s="14">
        <f>N16*VLOOKUP('Données projet'!$B$9,Paramètres!$A$1:$I$89,3,0)*VLOOKUP('Données projet'!$B$9,Paramètres!$A$1:$I$89,5,0)</f>
        <v>16.352767290795548</v>
      </c>
      <c r="P16" s="14">
        <f t="shared" si="33"/>
        <v>5.4435385035303101</v>
      </c>
      <c r="Q16" s="22">
        <f t="shared" si="2"/>
        <v>37.961899258450863</v>
      </c>
      <c r="R16" s="62">
        <f t="shared" si="0"/>
        <v>331.29523259178416</v>
      </c>
      <c r="S16" s="62">
        <f ca="1">AVERAGE(OFFSET($R$3,0,0,'Données projet'!$E$9+1,1))-AVERAGE(OFFSET($H$3,0,0,'Données projet'!$E$9+1,1))</f>
        <v>135.99759935190264</v>
      </c>
      <c r="T16" s="62">
        <f t="shared" si="34"/>
        <v>103.49526616376608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6.2</v>
      </c>
      <c r="AI16" s="14">
        <f>IF('Données projet'!$A$62&gt;35,AI15+AH16-AQ15,IF(A16&lt;'Données projet'!$A$62,$AF$205^A16,IF(A16='Données projet'!$A$62,'Données projet'!$B$62,AI15+AH16-AQ15)))</f>
        <v>13.771222114980368</v>
      </c>
      <c r="AJ16" s="14">
        <f>AI16*VLOOKUP('Données projet'!$B$10,Paramètres!$A$1:$I$89,3,0)*VLOOKUP('Données projet'!$B$10,Paramètres!$A$1:$I$89,5,0)</f>
        <v>6.4449319498108126</v>
      </c>
      <c r="AK16" s="14">
        <f t="shared" si="35"/>
        <v>2.390987946064858</v>
      </c>
      <c r="AL16" s="22">
        <f t="shared" si="4"/>
        <v>15.38922715198346</v>
      </c>
      <c r="AM16" s="62">
        <f t="shared" si="5"/>
        <v>308.72256048531676</v>
      </c>
      <c r="AN16" s="62">
        <f ca="1">AVERAGE(OFFSET($AM$3,0,0,'Données projet'!$E$10+1,1))-AVERAGE(OFFSET($H$3,0,0,'Données projet'!$E$10+1,1))</f>
        <v>213.5791415320935</v>
      </c>
      <c r="AO16" s="62">
        <f t="shared" si="36"/>
        <v>167.49607245443497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6.5519999999999996</v>
      </c>
      <c r="D17" s="12">
        <f t="shared" si="32"/>
        <v>2.4260515959655735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69.304257933769335</v>
      </c>
      <c r="H17" s="70">
        <f t="shared" si="1"/>
        <v>308.97010652964002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2.1333333333333333</v>
      </c>
      <c r="N17" s="14">
        <f>IF('Données projet'!$A$36&gt;35,N16+M17-V16,IF(A17&lt;'Données projet'!$A$36,$K$205^A17,IF(A17='Données projet'!$A$36,'Données projet'!$B$36,N16+M17-V16)))</f>
        <v>25.398416831491208</v>
      </c>
      <c r="O17" s="14">
        <f>N17*VLOOKUP('Données projet'!$B$9,Paramètres!$A$1:$I$89,3,0)*VLOOKUP('Données projet'!$B$9,Paramètres!$A$1:$I$89,5,0)</f>
        <v>20.603195733705668</v>
      </c>
      <c r="P17" s="14">
        <f t="shared" si="33"/>
        <v>6.6764356459080147</v>
      </c>
      <c r="Q17" s="22">
        <f t="shared" si="2"/>
        <v>47.512024652827165</v>
      </c>
      <c r="R17" s="62">
        <f t="shared" si="0"/>
        <v>340.84535798616048</v>
      </c>
      <c r="S17" s="62">
        <f ca="1">AVERAGE(OFFSET($R$3,0,0,'Données projet'!$E$9+1,1))-AVERAGE(OFFSET($H$3,0,0,'Données projet'!$E$9+1,1))</f>
        <v>135.99759935190264</v>
      </c>
      <c r="T17" s="62">
        <f t="shared" si="34"/>
        <v>103.49526616376608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6.2</v>
      </c>
      <c r="AI17" s="14">
        <f>IF('Données projet'!$A$62&gt;35,AI16+AH17-AQ16,IF(A17&lt;'Données projet'!$A$62,$AF$205^A17,IF(A17='Données projet'!$A$62,'Données projet'!$B$62,AI16+AH17-AQ16)))</f>
        <v>16.849450845146343</v>
      </c>
      <c r="AJ17" s="14">
        <f>AI17*VLOOKUP('Données projet'!$B$10,Paramètres!$A$1:$I$89,3,0)*VLOOKUP('Données projet'!$B$10,Paramètres!$A$1:$I$89,5,0)</f>
        <v>7.8855429955284881</v>
      </c>
      <c r="AK17" s="14">
        <f t="shared" si="35"/>
        <v>2.8575409989351699</v>
      </c>
      <c r="AL17" s="22">
        <f t="shared" si="4"/>
        <v>18.710871290357538</v>
      </c>
      <c r="AM17" s="62">
        <f t="shared" si="5"/>
        <v>312.04420462369086</v>
      </c>
      <c r="AN17" s="62">
        <f ca="1">AVERAGE(OFFSET($AM$3,0,0,'Données projet'!$E$10+1,1))-AVERAGE(OFFSET($H$3,0,0,'Données projet'!$E$10+1,1))</f>
        <v>213.5791415320935</v>
      </c>
      <c r="AO17" s="62">
        <f t="shared" si="36"/>
        <v>167.49607245443497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7.02</v>
      </c>
      <c r="D18" s="12">
        <f t="shared" si="32"/>
        <v>2.5785498814341232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74.094069260193223</v>
      </c>
      <c r="H18" s="70">
        <f t="shared" si="1"/>
        <v>310.05080771016441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32</v>
      </c>
      <c r="L18" s="13">
        <f>VLOOKUP(A18,'Données projet'!$A$35:$I$55,9,0)</f>
        <v>2.1333333333333333</v>
      </c>
      <c r="M18" s="13">
        <f t="array" ref="M18">INDEX(L:L,MIN(IF(ISNUMBER(L18:L214),ROW(L18:L214),"")))</f>
        <v>2.1333333333333333</v>
      </c>
      <c r="N18" s="14">
        <f>IF('Données projet'!$A$36&gt;35,N17+M18-V17,IF(A18&lt;'Données projet'!$A$36,$K$205^A18,IF(A18='Données projet'!$A$36,'Données projet'!$B$36,N17+M18-V17)))</f>
        <v>32</v>
      </c>
      <c r="O18" s="14">
        <f>N18*VLOOKUP('Données projet'!$B$9,Paramètres!$A$1:$I$89,3,0)*VLOOKUP('Données projet'!$B$9,Paramètres!$A$1:$I$89,5,0)</f>
        <v>25.958400000000001</v>
      </c>
      <c r="P18" s="14">
        <f t="shared" si="33"/>
        <v>8.1885694213502802</v>
      </c>
      <c r="Q18" s="22">
        <f t="shared" si="2"/>
        <v>59.472638408851729</v>
      </c>
      <c r="R18" s="62">
        <f t="shared" si="0"/>
        <v>352.80597174218502</v>
      </c>
      <c r="S18" s="62">
        <f ca="1">AVERAGE(OFFSET($R$3,0,0,'Données projet'!$E$9+1,1))-AVERAGE(OFFSET($H$3,0,0,'Données projet'!$E$9+1,1))</f>
        <v>135.99759935190264</v>
      </c>
      <c r="T18" s="62">
        <f t="shared" si="34"/>
        <v>103.49526616376608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1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6.2</v>
      </c>
      <c r="AI18" s="14">
        <f>IF('Données projet'!$A$62&gt;35,AI17+AH18-AQ17,IF(A18&lt;'Données projet'!$A$62,$AF$205^A18,IF(A18='Données projet'!$A$62,'Données projet'!$B$62,AI17+AH18-AQ17)))</f>
        <v>20.615744297245143</v>
      </c>
      <c r="AJ18" s="14">
        <f>AI18*VLOOKUP('Données projet'!$B$10,Paramètres!$A$1:$I$89,3,0)*VLOOKUP('Données projet'!$B$10,Paramètres!$A$1:$I$89,5,0)</f>
        <v>9.6481683311107282</v>
      </c>
      <c r="AK18" s="14">
        <f t="shared" si="35"/>
        <v>3.4151324660730467</v>
      </c>
      <c r="AL18" s="22">
        <f t="shared" si="4"/>
        <v>22.751915555095071</v>
      </c>
      <c r="AM18" s="62">
        <f t="shared" si="5"/>
        <v>316.0852488884284</v>
      </c>
      <c r="AN18" s="62">
        <f ca="1">AVERAGE(OFFSET($AM$3,0,0,'Données projet'!$E$10+1,1))-AVERAGE(OFFSET($H$3,0,0,'Données projet'!$E$10+1,1))</f>
        <v>213.5791415320935</v>
      </c>
      <c r="AO18" s="62">
        <f t="shared" si="36"/>
        <v>167.49607245443497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7.4879999999999995</v>
      </c>
      <c r="D19" s="12">
        <f t="shared" si="32"/>
        <v>2.7298684377500635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78.874773905439085</v>
      </c>
      <c r="H19" s="70">
        <f t="shared" si="1"/>
        <v>311.129454195748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2.6</v>
      </c>
      <c r="N19" s="14">
        <f>IF('Données projet'!$A$36&gt;35,N18+M19-V18,IF(A19&lt;'Données projet'!$A$36,$K$205^A19,IF(A19='Données projet'!$A$36,'Données projet'!$B$36,N18+M19-V18)))</f>
        <v>34.6</v>
      </c>
      <c r="O19" s="14">
        <f>N19*VLOOKUP('Données projet'!$B$9,Paramètres!$A$1:$I$89,3,0)*VLOOKUP('Données projet'!$B$9,Paramètres!$A$1:$I$89,5,0)</f>
        <v>28.067520000000002</v>
      </c>
      <c r="P19" s="14">
        <f t="shared" si="33"/>
        <v>8.7737479774320182</v>
      </c>
      <c r="Q19" s="22">
        <f t="shared" si="2"/>
        <v>64.165208394027431</v>
      </c>
      <c r="R19" s="62">
        <f t="shared" si="0"/>
        <v>357.49854172736076</v>
      </c>
      <c r="S19" s="62">
        <f ca="1">AVERAGE(OFFSET($R$3,0,0,'Données projet'!$E$9+1,1))-AVERAGE(OFFSET($H$3,0,0,'Données projet'!$E$9+1,1))</f>
        <v>135.99759935190264</v>
      </c>
      <c r="T19" s="62">
        <f t="shared" si="34"/>
        <v>103.49526616376608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6.2</v>
      </c>
      <c r="AI19" s="14">
        <f>IF('Données projet'!$A$62&gt;35,AI18+AH19-AQ18,IF(A19&lt;'Données projet'!$A$62,$AF$205^A19,IF(A19='Données projet'!$A$62,'Données projet'!$B$62,AI18+AH19-AQ18)))</f>
        <v>25.223902953004785</v>
      </c>
      <c r="AJ19" s="14">
        <f>AI19*VLOOKUP('Données projet'!$B$10,Paramètres!$A$1:$I$89,3,0)*VLOOKUP('Données projet'!$B$10,Paramètres!$A$1:$I$89,5,0)</f>
        <v>11.804786582006239</v>
      </c>
      <c r="AK19" s="14">
        <f t="shared" si="35"/>
        <v>4.0815266570706452</v>
      </c>
      <c r="AL19" s="22">
        <f t="shared" si="4"/>
        <v>27.668662224725569</v>
      </c>
      <c r="AM19" s="62">
        <f t="shared" si="5"/>
        <v>321.00199555805887</v>
      </c>
      <c r="AN19" s="62">
        <f ca="1">AVERAGE(OFFSET($AM$3,0,0,'Données projet'!$E$10+1,1))-AVERAGE(OFFSET($H$3,0,0,'Données projet'!$E$10+1,1))</f>
        <v>213.5791415320935</v>
      </c>
      <c r="AO19" s="62">
        <f t="shared" si="36"/>
        <v>167.49607245443497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7.9559999999999995</v>
      </c>
      <c r="D20" s="12">
        <f t="shared" si="32"/>
        <v>2.880089392049658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83.647005833365782</v>
      </c>
      <c r="H20" s="70">
        <f t="shared" si="1"/>
        <v>312.20618902448649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2.6</v>
      </c>
      <c r="N20" s="14">
        <f>IF('Données projet'!$A$36&gt;35,N19+M20-V19,IF(A20&lt;'Données projet'!$A$36,$K$205^A20,IF(A20='Données projet'!$A$36,'Données projet'!$B$36,N19+M20-V19)))</f>
        <v>37.200000000000003</v>
      </c>
      <c r="O20" s="14">
        <f>N20*VLOOKUP('Données projet'!$B$9,Paramètres!$A$1:$I$89,3,0)*VLOOKUP('Données projet'!$B$9,Paramètres!$A$1:$I$89,5,0)</f>
        <v>30.176640000000003</v>
      </c>
      <c r="P20" s="14">
        <f t="shared" si="33"/>
        <v>9.3538253365270929</v>
      </c>
      <c r="Q20" s="22">
        <f t="shared" si="2"/>
        <v>68.848893794451357</v>
      </c>
      <c r="R20" s="62">
        <f t="shared" si="0"/>
        <v>362.1822271277847</v>
      </c>
      <c r="S20" s="62">
        <f ca="1">AVERAGE(OFFSET($R$3,0,0,'Données projet'!$E$9+1,1))-AVERAGE(OFFSET($H$3,0,0,'Données projet'!$E$9+1,1))</f>
        <v>135.99759935190264</v>
      </c>
      <c r="T20" s="62">
        <f t="shared" si="34"/>
        <v>103.49526616376608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6.2</v>
      </c>
      <c r="AI20" s="14">
        <f>IF('Données projet'!$A$62&gt;35,AI19+AH20-AQ19,IF(A20&lt;'Données projet'!$A$62,$AF$205^A20,IF(A20='Données projet'!$A$62,'Données projet'!$B$62,AI19+AH20-AQ19)))</f>
        <v>30.862105728951249</v>
      </c>
      <c r="AJ20" s="14">
        <f>AI20*VLOOKUP('Données projet'!$B$10,Paramètres!$A$1:$I$89,3,0)*VLOOKUP('Données projet'!$B$10,Paramètres!$A$1:$I$89,5,0)</f>
        <v>14.443465481149184</v>
      </c>
      <c r="AK20" s="14">
        <f t="shared" si="35"/>
        <v>4.877954228092876</v>
      </c>
      <c r="AL20" s="22">
        <f t="shared" si="4"/>
        <v>33.651472660263259</v>
      </c>
      <c r="AM20" s="62">
        <f t="shared" si="5"/>
        <v>326.98480599359658</v>
      </c>
      <c r="AN20" s="62">
        <f ca="1">AVERAGE(OFFSET($AM$3,0,0,'Données projet'!$E$10+1,1))-AVERAGE(OFFSET($H$3,0,0,'Données projet'!$E$10+1,1))</f>
        <v>213.5791415320935</v>
      </c>
      <c r="AO20" s="62">
        <f t="shared" si="36"/>
        <v>167.49607245443497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8.4239999999999995</v>
      </c>
      <c r="D21" s="12">
        <f t="shared" si="32"/>
        <v>3.0292846636388133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88.411320210545227</v>
      </c>
      <c r="H21" s="70">
        <f t="shared" si="1"/>
        <v>313.28113745583755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2.6</v>
      </c>
      <c r="N21" s="14">
        <f>IF('Données projet'!$A$36&gt;35,N20+M21-V20,IF(A21&lt;'Données projet'!$A$36,$K$205^A21,IF(A21='Données projet'!$A$36,'Données projet'!$B$36,N20+M21-V20)))</f>
        <v>39.800000000000004</v>
      </c>
      <c r="O21" s="14">
        <f>N21*VLOOKUP('Données projet'!$B$9,Paramètres!$A$1:$I$89,3,0)*VLOOKUP('Données projet'!$B$9,Paramètres!$A$1:$I$89,5,0)</f>
        <v>32.285760000000003</v>
      </c>
      <c r="P21" s="14">
        <f t="shared" si="33"/>
        <v>9.9291985890794177</v>
      </c>
      <c r="Q21" s="22">
        <f t="shared" si="2"/>
        <v>73.524386209313334</v>
      </c>
      <c r="R21" s="62">
        <f t="shared" si="0"/>
        <v>366.85771954264663</v>
      </c>
      <c r="S21" s="62">
        <f ca="1">AVERAGE(OFFSET($R$3,0,0,'Données projet'!$E$9+1,1))-AVERAGE(OFFSET($H$3,0,0,'Données projet'!$E$9+1,1))</f>
        <v>135.99759935190264</v>
      </c>
      <c r="T21" s="62">
        <f t="shared" si="34"/>
        <v>103.49526616376608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6.2</v>
      </c>
      <c r="AI21" s="14">
        <f>IF('Données projet'!$A$62&gt;35,AI20+AH21-AQ20,IF(A21&lt;'Données projet'!$A$62,$AF$205^A21,IF(A21='Données projet'!$A$62,'Données projet'!$B$62,AI20+AH21-AQ20)))</f>
        <v>37.760594456755285</v>
      </c>
      <c r="AJ21" s="14">
        <f>AI21*VLOOKUP('Données projet'!$B$10,Paramètres!$A$1:$I$89,3,0)*VLOOKUP('Données projet'!$B$10,Paramètres!$A$1:$I$89,5,0)</f>
        <v>17.671958205761474</v>
      </c>
      <c r="AK21" s="14">
        <f t="shared" si="35"/>
        <v>5.8297885694679463</v>
      </c>
      <c r="AL21" s="22">
        <f t="shared" si="4"/>
        <v>40.932208966857907</v>
      </c>
      <c r="AM21" s="62">
        <f t="shared" si="5"/>
        <v>334.26554230019121</v>
      </c>
      <c r="AN21" s="62">
        <f ca="1">AVERAGE(OFFSET($AM$3,0,0,'Données projet'!$E$10+1,1))-AVERAGE(OFFSET($H$3,0,0,'Données projet'!$E$10+1,1))</f>
        <v>213.5791415320935</v>
      </c>
      <c r="AO21" s="62">
        <f t="shared" si="36"/>
        <v>167.49607245443497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2" s="12">
        <f t="shared" si="32"/>
        <v>3.177517729464268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93.16820703446102</v>
      </c>
      <c r="H22" s="70">
        <f t="shared" si="1"/>
        <v>314.35441004548358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2.6</v>
      </c>
      <c r="N22" s="14">
        <f>IF('Données projet'!$A$36&gt;35,N21+M22-V21,IF(A22&lt;'Données projet'!$A$36,$K$205^A22,IF(A22='Données projet'!$A$36,'Données projet'!$B$36,N21+M22-V21)))</f>
        <v>42.400000000000006</v>
      </c>
      <c r="O22" s="14">
        <f>N22*VLOOKUP('Données projet'!$B$9,Paramètres!$A$1:$I$89,3,0)*VLOOKUP('Données projet'!$B$9,Paramètres!$A$1:$I$89,5,0)</f>
        <v>34.394880000000008</v>
      </c>
      <c r="P22" s="14">
        <f t="shared" si="33"/>
        <v>10.500210010248459</v>
      </c>
      <c r="Q22" s="22">
        <f t="shared" si="2"/>
        <v>78.192281767849408</v>
      </c>
      <c r="R22" s="62">
        <f t="shared" si="0"/>
        <v>371.52561510118272</v>
      </c>
      <c r="S22" s="62">
        <f ca="1">AVERAGE(OFFSET($R$3,0,0,'Données projet'!$E$9+1,1))-AVERAGE(OFFSET($H$3,0,0,'Données projet'!$E$9+1,1))</f>
        <v>135.99759935190264</v>
      </c>
      <c r="T22" s="62">
        <f t="shared" si="34"/>
        <v>103.49526616376608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6.2</v>
      </c>
      <c r="AI22" s="14">
        <f>IF('Données projet'!$A$62&gt;35,AI21+AH22-AQ21,IF(A22&lt;'Données projet'!$A$62,$AF$205^A22,IF(A22='Données projet'!$A$62,'Données projet'!$B$62,AI21+AH22-AQ21)))</f>
        <v>46.201076046148032</v>
      </c>
      <c r="AJ22" s="14">
        <f>AI22*VLOOKUP('Données projet'!$B$10,Paramètres!$A$1:$I$89,3,0)*VLOOKUP('Données projet'!$B$10,Paramètres!$A$1:$I$89,5,0)</f>
        <v>21.62210358959728</v>
      </c>
      <c r="AK22" s="14">
        <f t="shared" si="35"/>
        <v>6.967354176668187</v>
      </c>
      <c r="AL22" s="22">
        <f t="shared" si="4"/>
        <v>49.793305609579022</v>
      </c>
      <c r="AM22" s="62">
        <f t="shared" si="5"/>
        <v>343.12663894291234</v>
      </c>
      <c r="AN22" s="62">
        <f ca="1">AVERAGE(OFFSET($AM$3,0,0,'Données projet'!$E$10+1,1))-AVERAGE(OFFSET($H$3,0,0,'Données projet'!$E$10+1,1))</f>
        <v>213.5791415320935</v>
      </c>
      <c r="AO22" s="62">
        <f t="shared" si="36"/>
        <v>167.49607245443497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9.36</v>
      </c>
      <c r="D23" s="12">
        <f t="shared" si="32"/>
        <v>3.3248450073034994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97.918101810763858</v>
      </c>
      <c r="H23" s="70">
        <f t="shared" si="1"/>
        <v>315.42610505438688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45</v>
      </c>
      <c r="L23" s="13">
        <f>VLOOKUP(A23,'Données projet'!$A$35:$I$55,9,0)</f>
        <v>2.6</v>
      </c>
      <c r="M23" s="13">
        <f t="array" ref="M23">INDEX(L:L,MIN(IF(ISNUMBER(L23:L219),ROW(L23:L219),"")))</f>
        <v>2.6</v>
      </c>
      <c r="N23" s="14">
        <f>IF('Données projet'!$A$36&gt;35,N22+M23-V22,IF(A23&lt;'Données projet'!$A$36,$K$205^A23,IF(A23='Données projet'!$A$36,'Données projet'!$B$36,N22+M23-V22)))</f>
        <v>45.000000000000007</v>
      </c>
      <c r="O23" s="14">
        <f>N23*VLOOKUP('Données projet'!$B$9,Paramètres!$A$1:$I$89,3,0)*VLOOKUP('Données projet'!$B$9,Paramètres!$A$1:$I$89,5,0)</f>
        <v>36.504000000000012</v>
      </c>
      <c r="P23" s="14">
        <f t="shared" si="33"/>
        <v>11.067157525971377</v>
      </c>
      <c r="Q23" s="22">
        <f t="shared" si="2"/>
        <v>82.853099357733484</v>
      </c>
      <c r="R23" s="62">
        <f t="shared" si="0"/>
        <v>376.18643269106678</v>
      </c>
      <c r="S23" s="62">
        <f ca="1">AVERAGE(OFFSET($R$3,0,0,'Données projet'!$E$9+1,1))-AVERAGE(OFFSET($H$3,0,0,'Données projet'!$E$9+1,1))</f>
        <v>135.99759935190264</v>
      </c>
      <c r="T23" s="62">
        <f t="shared" si="34"/>
        <v>103.49526616376608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9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6.8885012981510174</v>
      </c>
      <c r="AC23" s="24">
        <f t="shared" si="3"/>
        <v>6.8885012981510174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6.2</v>
      </c>
      <c r="AI23" s="14">
        <f>IF('Données projet'!$A$62&gt;35,AI22+AH23-AQ22,IF(A23&lt;'Données projet'!$A$62,$AF$205^A23,IF(A23='Données projet'!$A$62,'Données projet'!$B$62,AI22+AH23-AQ22)))</f>
        <v>56.528226277435891</v>
      </c>
      <c r="AJ23" s="14">
        <f>AI23*VLOOKUP('Données projet'!$B$10,Paramètres!$A$1:$I$89,3,0)*VLOOKUP('Données projet'!$B$10,Paramètres!$A$1:$I$89,5,0)</f>
        <v>26.455209897839996</v>
      </c>
      <c r="AK23" s="14">
        <f t="shared" si="35"/>
        <v>8.3268927585766548</v>
      </c>
      <c r="AL23" s="22">
        <f t="shared" si="4"/>
        <v>60.578828793259014</v>
      </c>
      <c r="AM23" s="62">
        <f t="shared" si="5"/>
        <v>353.91216212659231</v>
      </c>
      <c r="AN23" s="62">
        <f ca="1">AVERAGE(OFFSET($AM$3,0,0,'Données projet'!$E$10+1,1))-AVERAGE(OFFSET($H$3,0,0,'Données projet'!$E$10+1,1))</f>
        <v>213.5791415320935</v>
      </c>
      <c r="AO23" s="62">
        <f t="shared" si="36"/>
        <v>167.49607245443497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9.8279999999999994</v>
      </c>
      <c r="D24" s="12">
        <f t="shared" si="32"/>
        <v>3.4713169544550615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102.66139403438996</v>
      </c>
      <c r="H24" s="70">
        <f t="shared" si="1"/>
        <v>316.49631036234257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4.8</v>
      </c>
      <c r="N24" s="14">
        <f>IF('Données projet'!$A$36&gt;35,N23+M24-V23,IF(A24&lt;'Données projet'!$A$36,$K$205^A24,IF(A24='Données projet'!$A$36,'Données projet'!$B$36,N23+M24-V23)))</f>
        <v>40.800000000000004</v>
      </c>
      <c r="O24" s="14">
        <f>N24*VLOOKUP('Données projet'!$B$9,Paramètres!$A$1:$I$89,3,0)*VLOOKUP('Données projet'!$B$9,Paramètres!$A$1:$I$89,5,0)</f>
        <v>33.09696000000001</v>
      </c>
      <c r="P24" s="14">
        <f t="shared" si="33"/>
        <v>10.149317402083248</v>
      </c>
      <c r="Q24" s="22">
        <f t="shared" si="2"/>
        <v>75.320599808628344</v>
      </c>
      <c r="R24" s="62">
        <f t="shared" si="0"/>
        <v>368.65393314196166</v>
      </c>
      <c r="S24" s="62">
        <f ca="1">AVERAGE(OFFSET($R$3,0,0,'Données projet'!$E$9+1,1))-AVERAGE(OFFSET($H$3,0,0,'Données projet'!$E$9+1,1))</f>
        <v>135.99759935190264</v>
      </c>
      <c r="T24" s="62">
        <f t="shared" si="34"/>
        <v>103.49526616376608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4.8709059801349204</v>
      </c>
      <c r="AC24" s="24">
        <f t="shared" si="3"/>
        <v>4.8709059801349204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6.2</v>
      </c>
      <c r="AI24" s="14">
        <f>IF('Données projet'!$A$62&gt;35,AI23+AH24-AQ23,IF(A24&lt;'Données projet'!$A$62,$AF$205^A24,IF(A24='Données projet'!$A$62,'Données projet'!$B$62,AI23+AH24-AQ23)))</f>
        <v>69.163764992859072</v>
      </c>
      <c r="AJ24" s="14">
        <f>AI24*VLOOKUP('Données projet'!$B$10,Paramètres!$A$1:$I$89,3,0)*VLOOKUP('Données projet'!$B$10,Paramètres!$A$1:$I$89,5,0)</f>
        <v>32.368642016658043</v>
      </c>
      <c r="AK24" s="14">
        <f t="shared" si="35"/>
        <v>9.9517178622880955</v>
      </c>
      <c r="AL24" s="22">
        <f t="shared" si="4"/>
        <v>73.707960122497852</v>
      </c>
      <c r="AM24" s="62">
        <f t="shared" si="5"/>
        <v>367.04129345583118</v>
      </c>
      <c r="AN24" s="62">
        <f ca="1">AVERAGE(OFFSET($AM$3,0,0,'Données projet'!$E$10+1,1))-AVERAGE(OFFSET($H$3,0,0,'Données projet'!$E$10+1,1))</f>
        <v>213.5791415320935</v>
      </c>
      <c r="AO24" s="62">
        <f t="shared" si="36"/>
        <v>167.49607245443497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10.295999999999999</v>
      </c>
      <c r="D25" s="12">
        <f t="shared" si="32"/>
        <v>3.6169789512251227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107.39843400945709</v>
      </c>
      <c r="H25" s="70">
        <f t="shared" si="1"/>
        <v>317.56510500671709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4.8</v>
      </c>
      <c r="N25" s="14">
        <f>IF('Données projet'!$A$36&gt;35,N24+M25-V24,IF(A25&lt;'Données projet'!$A$36,$K$205^A25,IF(A25='Données projet'!$A$36,'Données projet'!$B$36,N24+M25-V24)))</f>
        <v>45.6</v>
      </c>
      <c r="O25" s="14">
        <f>N25*VLOOKUP('Données projet'!$B$9,Paramètres!$A$1:$I$89,3,0)*VLOOKUP('Données projet'!$B$9,Paramètres!$A$1:$I$89,5,0)</f>
        <v>36.990720000000003</v>
      </c>
      <c r="P25" s="14">
        <f t="shared" si="33"/>
        <v>11.197442716918179</v>
      </c>
      <c r="Q25" s="22">
        <f t="shared" si="2"/>
        <v>83.92771673196583</v>
      </c>
      <c r="R25" s="62">
        <f t="shared" si="0"/>
        <v>377.26105006529917</v>
      </c>
      <c r="S25" s="62">
        <f ca="1">AVERAGE(OFFSET($R$3,0,0,'Données projet'!$E$9+1,1))-AVERAGE(OFFSET($H$3,0,0,'Données projet'!$E$9+1,1))</f>
        <v>135.99759935190264</v>
      </c>
      <c r="T25" s="62">
        <f t="shared" si="34"/>
        <v>103.49526616376608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3.4442506490755092</v>
      </c>
      <c r="AC25" s="24">
        <f t="shared" si="3"/>
        <v>3.4442506490755092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6.2</v>
      </c>
      <c r="AI25" s="14">
        <f>IF('Données projet'!$A$62&gt;35,AI24+AH25-AQ24,IF(A25&lt;'Données projet'!$A$62,$AF$205^A25,IF(A25='Données projet'!$A$62,'Données projet'!$B$62,AI24+AH25-AQ24)))</f>
        <v>84.62367746176561</v>
      </c>
      <c r="AJ25" s="14">
        <f>AI25*VLOOKUP('Données projet'!$B$10,Paramètres!$A$1:$I$89,3,0)*VLOOKUP('Données projet'!$B$10,Paramètres!$A$1:$I$89,5,0)</f>
        <v>39.603881052106303</v>
      </c>
      <c r="AK25" s="14">
        <f t="shared" si="35"/>
        <v>11.893594799641999</v>
      </c>
      <c r="AL25" s="22">
        <f t="shared" si="4"/>
        <v>89.691437108461628</v>
      </c>
      <c r="AM25" s="62">
        <f t="shared" si="5"/>
        <v>383.02477044179494</v>
      </c>
      <c r="AN25" s="62">
        <f ca="1">AVERAGE(OFFSET($AM$3,0,0,'Données projet'!$E$10+1,1))-AVERAGE(OFFSET($H$3,0,0,'Données projet'!$E$10+1,1))</f>
        <v>213.5791415320935</v>
      </c>
      <c r="AO25" s="62">
        <f t="shared" si="36"/>
        <v>167.49607245443497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10.763999999999999</v>
      </c>
      <c r="D26" s="12">
        <f t="shared" si="32"/>
        <v>3.76187201923933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112.12953839412818</v>
      </c>
      <c r="H26" s="70">
        <f t="shared" si="1"/>
        <v>318.6325604335085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4.8</v>
      </c>
      <c r="N26" s="14">
        <f>IF('Données projet'!$A$36&gt;35,N25+M26-V25,IF(A26&lt;'Données projet'!$A$36,$K$205^A26,IF(A26='Données projet'!$A$36,'Données projet'!$B$36,N25+M26-V25)))</f>
        <v>50.4</v>
      </c>
      <c r="O26" s="14">
        <f>N26*VLOOKUP('Données projet'!$B$9,Paramètres!$A$1:$I$89,3,0)*VLOOKUP('Données projet'!$B$9,Paramètres!$A$1:$I$89,5,0)</f>
        <v>40.884479999999996</v>
      </c>
      <c r="P26" s="14">
        <f t="shared" si="33"/>
        <v>12.232779187775265</v>
      </c>
      <c r="Q26" s="22">
        <f t="shared" si="2"/>
        <v>92.512559752041909</v>
      </c>
      <c r="R26" s="62">
        <f t="shared" si="0"/>
        <v>385.84589308537522</v>
      </c>
      <c r="S26" s="62">
        <f ca="1">AVERAGE(OFFSET($R$3,0,0,'Données projet'!$E$9+1,1))-AVERAGE(OFFSET($H$3,0,0,'Données projet'!$E$9+1,1))</f>
        <v>135.99759935190264</v>
      </c>
      <c r="T26" s="62">
        <f t="shared" si="34"/>
        <v>103.49526616376608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2.4354529900674606</v>
      </c>
      <c r="AC26" s="24">
        <f t="shared" si="3"/>
        <v>2.4354529900674606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6.2</v>
      </c>
      <c r="AI26" s="14">
        <f>IF('Données projet'!$A$62&gt;35,AI25+AH26-AQ25,IF(A26&lt;'Données projet'!$A$62,$AF$205^A26,IF(A26='Données projet'!$A$62,'Données projet'!$B$62,AI25+AH26-AQ25)))</f>
        <v>103.53928517182807</v>
      </c>
      <c r="AJ26" s="14">
        <f>AI26*VLOOKUP('Données projet'!$B$10,Paramètres!$A$1:$I$89,3,0)*VLOOKUP('Données projet'!$B$10,Paramètres!$A$1:$I$89,5,0)</f>
        <v>48.456385460415532</v>
      </c>
      <c r="AK26" s="14">
        <f t="shared" si="35"/>
        <v>14.214389838574796</v>
      </c>
      <c r="AL26" s="22">
        <f t="shared" si="4"/>
        <v>109.15160031240815</v>
      </c>
      <c r="AM26" s="62">
        <f t="shared" si="5"/>
        <v>402.48493364574148</v>
      </c>
      <c r="AN26" s="62">
        <f ca="1">AVERAGE(OFFSET($AM$3,0,0,'Données projet'!$E$10+1,1))-AVERAGE(OFFSET($H$3,0,0,'Données projet'!$E$10+1,1))</f>
        <v>213.5791415320935</v>
      </c>
      <c r="AO26" s="62">
        <f t="shared" si="36"/>
        <v>167.49607245443497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11.231999999999999</v>
      </c>
      <c r="D27" s="12">
        <f t="shared" si="32"/>
        <v>3.9060334113059061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116.85499475394033</v>
      </c>
      <c r="H27" s="70">
        <f t="shared" si="1"/>
        <v>319.69874152469112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4.8</v>
      </c>
      <c r="N27" s="14">
        <f>IF('Données projet'!$A$36&gt;35,N26+M27-V26,IF(A27&lt;'Données projet'!$A$36,$K$205^A27,IF(A27='Données projet'!$A$36,'Données projet'!$B$36,N26+M27-V26)))</f>
        <v>55.199999999999996</v>
      </c>
      <c r="O27" s="14">
        <f>N27*VLOOKUP('Données projet'!$B$9,Paramètres!$A$1:$I$89,3,0)*VLOOKUP('Données projet'!$B$9,Paramètres!$A$1:$I$89,5,0)</f>
        <v>44.778239999999997</v>
      </c>
      <c r="P27" s="14">
        <f t="shared" si="33"/>
        <v>13.256683370547782</v>
      </c>
      <c r="Q27" s="22">
        <f t="shared" si="2"/>
        <v>101.07749153703737</v>
      </c>
      <c r="R27" s="62">
        <f t="shared" si="0"/>
        <v>394.41082487037067</v>
      </c>
      <c r="S27" s="62">
        <f ca="1">AVERAGE(OFFSET($R$3,0,0,'Données projet'!$E$9+1,1))-AVERAGE(OFFSET($H$3,0,0,'Données projet'!$E$9+1,1))</f>
        <v>135.99759935190264</v>
      </c>
      <c r="T27" s="62">
        <f t="shared" si="34"/>
        <v>103.49526616376608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1.7221253245377548</v>
      </c>
      <c r="AC27" s="24">
        <f t="shared" si="3"/>
        <v>1.7221253245377548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6.2</v>
      </c>
      <c r="AI27" s="14">
        <f>IF('Données projet'!$A$62&gt;35,AI26+AH27-AQ26,IF(A27&lt;'Données projet'!$A$62,$AF$205^A27,IF(A27='Données projet'!$A$62,'Données projet'!$B$62,AI26+AH27-AQ26)))</f>
        <v>126.68302649381775</v>
      </c>
      <c r="AJ27" s="14">
        <f>AI27*VLOOKUP('Données projet'!$B$10,Paramètres!$A$1:$I$89,3,0)*VLOOKUP('Données projet'!$B$10,Paramètres!$A$1:$I$89,5,0)</f>
        <v>59.287656399106709</v>
      </c>
      <c r="AK27" s="14">
        <f t="shared" si="35"/>
        <v>16.988041200887402</v>
      </c>
      <c r="AL27" s="22">
        <f t="shared" si="4"/>
        <v>132.84683998665642</v>
      </c>
      <c r="AM27" s="62">
        <f t="shared" si="5"/>
        <v>426.18017331998976</v>
      </c>
      <c r="AN27" s="62">
        <f ca="1">AVERAGE(OFFSET($AM$3,0,0,'Données projet'!$E$10+1,1))-AVERAGE(OFFSET($H$3,0,0,'Données projet'!$E$10+1,1))</f>
        <v>213.5791415320935</v>
      </c>
      <c r="AO27" s="62">
        <f t="shared" si="36"/>
        <v>167.49607245443497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</v>
      </c>
      <c r="D28" s="12">
        <f t="shared" si="32"/>
        <v>4.0494971001980291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121.57506533486197</v>
      </c>
      <c r="H28" s="70">
        <f t="shared" si="1"/>
        <v>320.76370744951157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60</v>
      </c>
      <c r="L28" s="13">
        <f>VLOOKUP(A28,'Données projet'!$A$35:$I$55,9,0)</f>
        <v>4.8</v>
      </c>
      <c r="M28" s="13">
        <f t="array" ref="M28">INDEX(L:L,MIN(IF(ISNUMBER(L28:L224),ROW(L28:L224),"")))</f>
        <v>4.8</v>
      </c>
      <c r="N28" s="14">
        <f>IF('Données projet'!$A$36&gt;35,N27+M28-V27,IF(A28&lt;'Données projet'!$A$36,$K$205^A28,IF(A28='Données projet'!$A$36,'Données projet'!$B$36,N27+M28-V27)))</f>
        <v>59.999999999999993</v>
      </c>
      <c r="O28" s="14">
        <f>N28*VLOOKUP('Données projet'!$B$9,Paramètres!$A$1:$I$89,3,0)*VLOOKUP('Données projet'!$B$9,Paramètres!$A$1:$I$89,5,0)</f>
        <v>48.671999999999997</v>
      </c>
      <c r="P28" s="14">
        <f t="shared" si="33"/>
        <v>14.270262409972053</v>
      </c>
      <c r="Q28" s="22">
        <f t="shared" si="2"/>
        <v>109.62444036403467</v>
      </c>
      <c r="R28" s="62">
        <f t="shared" si="0"/>
        <v>402.957773697368</v>
      </c>
      <c r="S28" s="62">
        <f ca="1">AVERAGE(OFFSET($R$3,0,0,'Données projet'!$E$9+1,1))-AVERAGE(OFFSET($H$3,0,0,'Données projet'!$E$9+1,1))</f>
        <v>135.99759935190264</v>
      </c>
      <c r="T28" s="62">
        <f t="shared" si="34"/>
        <v>103.49526616376608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7.3408387600568581</v>
      </c>
      <c r="AC28" s="24">
        <f t="shared" si="3"/>
        <v>7.3408387600568581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155</v>
      </c>
      <c r="AG28" s="13">
        <f>VLOOKUP(A28,'Données projet'!$A$61:$I$81,9,0)</f>
        <v>6.2</v>
      </c>
      <c r="AH28" s="13">
        <f t="array" ref="AH28">INDEX(AG:AG,MIN(IF(ISNUMBER(AG28:AG224),ROW(AG28:AG224),"")))</f>
        <v>6.2</v>
      </c>
      <c r="AI28" s="14">
        <f>IF('Données projet'!$A$62&gt;35,AI27+AH28-AQ27,IF(A28&lt;'Données projet'!$A$62,$AF$205^A28,IF(A28='Données projet'!$A$62,'Données projet'!$B$62,AI27+AH28-AQ27)))</f>
        <v>155</v>
      </c>
      <c r="AJ28" s="14">
        <f>AI28*VLOOKUP('Données projet'!$B$10,Paramètres!$A$1:$I$89,3,0)*VLOOKUP('Données projet'!$B$10,Paramètres!$A$1:$I$89,5,0)</f>
        <v>72.539999999999992</v>
      </c>
      <c r="AK28" s="14">
        <f t="shared" si="35"/>
        <v>20.302914660456786</v>
      </c>
      <c r="AL28" s="22">
        <f t="shared" si="4"/>
        <v>161.70140970029556</v>
      </c>
      <c r="AM28" s="62">
        <f t="shared" si="5"/>
        <v>455.03474303362884</v>
      </c>
      <c r="AN28" s="62">
        <f ca="1">AVERAGE(OFFSET($AM$3,0,0,'Données projet'!$E$10+1,1))-AVERAGE(OFFSET($H$3,0,0,'Données projet'!$E$10+1,1))</f>
        <v>213.5791415320935</v>
      </c>
      <c r="AO28" s="62">
        <f t="shared" si="36"/>
        <v>167.49607245443497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52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0.22000000000000003</v>
      </c>
      <c r="AT28" s="17">
        <f>IF(ISNA(VLOOKUP(A28,'Données projet'!$A$61:$I$81,7,0)),0%,VLOOKUP(A28,'Données projet'!$A$61:$I$81,7,0))</f>
        <v>0.6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7.0743554293517903</v>
      </c>
      <c r="AW28" s="23">
        <f>EXP(-LN(2)/2)*AW27+(1-EXP(-LN(2)/2))/(LN(2)/2)*AQ28*AT28*VLOOKUP('Données projet'!$B$10,Paramètres!$A$1:$I$89,3,0)*0.475*44/12</f>
        <v>16.532403115562438</v>
      </c>
      <c r="AX28" s="23">
        <f t="shared" si="6"/>
        <v>23.606758544914229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29" s="12">
        <f t="shared" si="32"/>
        <v>4.1922941870296242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126.28999021566726</v>
      </c>
      <c r="H29" s="70">
        <f t="shared" si="1"/>
        <v>321.82751237574325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4.5999999999999996</v>
      </c>
      <c r="N29" s="14">
        <f>IF('Données projet'!$A$36&gt;35,N28+M29-V28,IF(A29&lt;'Données projet'!$A$36,$K$205^A29,IF(A29='Données projet'!$A$36,'Données projet'!$B$36,N28+M29-V28)))</f>
        <v>56.599999999999994</v>
      </c>
      <c r="O29" s="14">
        <f>N29*VLOOKUP('Données projet'!$B$9,Paramètres!$A$1:$I$89,3,0)*VLOOKUP('Données projet'!$B$9,Paramètres!$A$1:$I$89,5,0)</f>
        <v>45.913919999999997</v>
      </c>
      <c r="P29" s="14">
        <f t="shared" si="33"/>
        <v>13.553333128200761</v>
      </c>
      <c r="Q29" s="22">
        <f t="shared" si="2"/>
        <v>103.57213253161632</v>
      </c>
      <c r="R29" s="62">
        <f t="shared" si="0"/>
        <v>396.90546586494963</v>
      </c>
      <c r="S29" s="62">
        <f ca="1">AVERAGE(OFFSET($R$3,0,0,'Données projet'!$E$9+1,1))-AVERAGE(OFFSET($H$3,0,0,'Données projet'!$E$9+1,1))</f>
        <v>135.99759935190264</v>
      </c>
      <c r="T29" s="62">
        <f t="shared" si="34"/>
        <v>103.49526616376608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5.1907568668332518</v>
      </c>
      <c r="AC29" s="24">
        <f t="shared" si="3"/>
        <v>5.1907568668332518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27.5</v>
      </c>
      <c r="AI29" s="14">
        <f>IF('Données projet'!$A$62&gt;35,AI28+AH29-AQ28,IF(A29&lt;'Données projet'!$A$62,$AF$205^A29,IF(A29='Données projet'!$A$62,'Données projet'!$B$62,AI28+AH29-AQ28)))</f>
        <v>130.5</v>
      </c>
      <c r="AJ29" s="14">
        <f>AI29*VLOOKUP('Données projet'!$B$10,Paramètres!$A$1:$I$89,3,0)*VLOOKUP('Données projet'!$B$10,Paramètres!$A$1:$I$89,5,0)</f>
        <v>61.073999999999998</v>
      </c>
      <c r="AK29" s="14">
        <f t="shared" si="35"/>
        <v>17.439528890067717</v>
      </c>
      <c r="AL29" s="22">
        <f t="shared" si="4"/>
        <v>136.74439615020125</v>
      </c>
      <c r="AM29" s="62">
        <f t="shared" si="5"/>
        <v>430.07772948353454</v>
      </c>
      <c r="AN29" s="62">
        <f ca="1">AVERAGE(OFFSET($AM$3,0,0,'Données projet'!$E$10+1,1))-AVERAGE(OFFSET($H$3,0,0,'Données projet'!$E$10+1,1))</f>
        <v>213.5791415320935</v>
      </c>
      <c r="AO29" s="62">
        <f t="shared" si="36"/>
        <v>167.49607245443497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6.8809068081119822</v>
      </c>
      <c r="AW29" s="23">
        <f>EXP(-LN(2)/2)*AW28+(1-EXP(-LN(2)/2))/(LN(2)/2)*AQ29*AT29*VLOOKUP('Données projet'!$B$10,Paramètres!$A$1:$I$89,3,0)*0.475*44/12</f>
        <v>11.690174352323806</v>
      </c>
      <c r="AX29" s="23">
        <f t="shared" si="6"/>
        <v>18.571081160435789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12.635999999999999</v>
      </c>
      <c r="D30" s="12">
        <f t="shared" si="32"/>
        <v>4.3344532450369764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130.99998996168895</v>
      </c>
      <c r="H30" s="70">
        <f t="shared" si="1"/>
        <v>322.8902060684394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4.5999999999999996</v>
      </c>
      <c r="N30" s="14">
        <f>IF('Données projet'!$A$36&gt;35,N29+M30-V29,IF(A30&lt;'Données projet'!$A$36,$K$205^A30,IF(A30='Données projet'!$A$36,'Données projet'!$B$36,N29+M30-V29)))</f>
        <v>61.199999999999996</v>
      </c>
      <c r="O30" s="14">
        <f>N30*VLOOKUP('Données projet'!$B$9,Paramètres!$A$1:$I$89,3,0)*VLOOKUP('Données projet'!$B$9,Paramètres!$A$1:$I$89,5,0)</f>
        <v>49.645440000000001</v>
      </c>
      <c r="P30" s="14">
        <f t="shared" si="33"/>
        <v>14.522155106917737</v>
      </c>
      <c r="Q30" s="22">
        <f t="shared" si="2"/>
        <v>111.75856147788171</v>
      </c>
      <c r="R30" s="62">
        <f t="shared" si="0"/>
        <v>405.09189481121501</v>
      </c>
      <c r="S30" s="62">
        <f ca="1">AVERAGE(OFFSET($R$3,0,0,'Données projet'!$E$9+1,1))-AVERAGE(OFFSET($H$3,0,0,'Données projet'!$E$9+1,1))</f>
        <v>135.99759935190264</v>
      </c>
      <c r="T30" s="62">
        <f t="shared" si="34"/>
        <v>103.49526616376608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3.6704193800284295</v>
      </c>
      <c r="AC30" s="24">
        <f t="shared" si="3"/>
        <v>3.6704193800284295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27.5</v>
      </c>
      <c r="AI30" s="14">
        <f>IF('Données projet'!$A$62&gt;35,AI29+AH30-AQ29,IF(A30&lt;'Données projet'!$A$62,$AF$205^A30,IF(A30='Données projet'!$A$62,'Données projet'!$B$62,AI29+AH30-AQ29)))</f>
        <v>158</v>
      </c>
      <c r="AJ30" s="14">
        <f>AI30*VLOOKUP('Données projet'!$B$10,Paramètres!$A$1:$I$89,3,0)*VLOOKUP('Données projet'!$B$10,Paramètres!$A$1:$I$89,5,0)</f>
        <v>73.944000000000003</v>
      </c>
      <c r="AK30" s="14">
        <f t="shared" si="35"/>
        <v>20.649745460165708</v>
      </c>
      <c r="AL30" s="22">
        <f t="shared" si="4"/>
        <v>164.75077334312192</v>
      </c>
      <c r="AM30" s="62">
        <f t="shared" si="5"/>
        <v>458.08410667645524</v>
      </c>
      <c r="AN30" s="62">
        <f ca="1">AVERAGE(OFFSET($AM$3,0,0,'Données projet'!$E$10+1,1))-AVERAGE(OFFSET($H$3,0,0,'Données projet'!$E$10+1,1))</f>
        <v>213.5791415320935</v>
      </c>
      <c r="AO30" s="62">
        <f t="shared" si="36"/>
        <v>167.49607245443497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6.6927480495929972</v>
      </c>
      <c r="AW30" s="23">
        <f>EXP(-LN(2)/2)*AW29+(1-EXP(-LN(2)/2))/(LN(2)/2)*AQ30*AT30*VLOOKUP('Données projet'!$B$10,Paramètres!$A$1:$I$89,3,0)*0.475*44/12</f>
        <v>8.2662015577812209</v>
      </c>
      <c r="AX30" s="23">
        <f t="shared" si="6"/>
        <v>14.958949607374219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13.103999999999999</v>
      </c>
      <c r="D31" s="12">
        <f t="shared" si="32"/>
        <v>4.4760006109979793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135.70526787437038</v>
      </c>
      <c r="H31" s="70">
        <f t="shared" si="1"/>
        <v>323.95183439748814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4.5999999999999996</v>
      </c>
      <c r="N31" s="14">
        <f>IF('Données projet'!$A$36&gt;35,N30+M31-V30,IF(A31&lt;'Données projet'!$A$36,$K$205^A31,IF(A31='Données projet'!$A$36,'Données projet'!$B$36,N30+M31-V30)))</f>
        <v>65.8</v>
      </c>
      <c r="O31" s="14">
        <f>N31*VLOOKUP('Données projet'!$B$9,Paramètres!$A$1:$I$89,3,0)*VLOOKUP('Données projet'!$B$9,Paramètres!$A$1:$I$89,5,0)</f>
        <v>53.376960000000004</v>
      </c>
      <c r="P31" s="14">
        <f t="shared" si="33"/>
        <v>15.48252942274674</v>
      </c>
      <c r="Q31" s="22">
        <f t="shared" si="2"/>
        <v>119.9302774112839</v>
      </c>
      <c r="R31" s="62">
        <f t="shared" si="0"/>
        <v>413.26361074461721</v>
      </c>
      <c r="S31" s="62">
        <f ca="1">AVERAGE(OFFSET($R$3,0,0,'Données projet'!$E$9+1,1))-AVERAGE(OFFSET($H$3,0,0,'Données projet'!$E$9+1,1))</f>
        <v>135.99759935190264</v>
      </c>
      <c r="T31" s="62">
        <f t="shared" si="34"/>
        <v>103.49526616376608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2.5953784334166263</v>
      </c>
      <c r="AC31" s="24">
        <f t="shared" si="3"/>
        <v>2.5953784334166263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27.5</v>
      </c>
      <c r="AI31" s="14">
        <f>IF('Données projet'!$A$62&gt;35,AI30+AH31-AQ30,IF(A31&lt;'Données projet'!$A$62,$AF$205^A31,IF(A31='Données projet'!$A$62,'Données projet'!$B$62,AI30+AH31-AQ30)))</f>
        <v>185.5</v>
      </c>
      <c r="AJ31" s="14">
        <f>AI31*VLOOKUP('Données projet'!$B$10,Paramètres!$A$1:$I$89,3,0)*VLOOKUP('Données projet'!$B$10,Paramètres!$A$1:$I$89,5,0)</f>
        <v>86.814000000000007</v>
      </c>
      <c r="AK31" s="14">
        <f t="shared" si="35"/>
        <v>23.79523416699303</v>
      </c>
      <c r="AL31" s="22">
        <f t="shared" si="4"/>
        <v>192.6444161741795</v>
      </c>
      <c r="AM31" s="62">
        <f t="shared" si="5"/>
        <v>485.97774950751284</v>
      </c>
      <c r="AN31" s="62">
        <f ca="1">AVERAGE(OFFSET($AM$3,0,0,'Données projet'!$E$10+1,1))-AVERAGE(OFFSET($H$3,0,0,'Données projet'!$E$10+1,1))</f>
        <v>213.5791415320935</v>
      </c>
      <c r="AO31" s="62">
        <f t="shared" si="36"/>
        <v>167.49607245443497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6.5097345022205531</v>
      </c>
      <c r="AW31" s="23">
        <f>EXP(-LN(2)/2)*AW30+(1-EXP(-LN(2)/2))/(LN(2)/2)*AQ31*AT31*VLOOKUP('Données projet'!$B$10,Paramètres!$A$1:$I$89,3,0)*0.475*44/12</f>
        <v>5.8450871761619041</v>
      </c>
      <c r="AX31" s="23">
        <f t="shared" si="6"/>
        <v>12.354821678382457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13.571999999999999</v>
      </c>
      <c r="D32" s="12">
        <f t="shared" si="32"/>
        <v>4.6169606338501863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140.40601191042251</v>
      </c>
      <c r="H32" s="70">
        <f t="shared" si="1"/>
        <v>325.01243977062239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4.5999999999999996</v>
      </c>
      <c r="N32" s="14">
        <f>IF('Données projet'!$A$36&gt;35,N31+M32-V31,IF(A32&lt;'Données projet'!$A$36,$K$205^A32,IF(A32='Données projet'!$A$36,'Données projet'!$B$36,N31+M32-V31)))</f>
        <v>70.399999999999991</v>
      </c>
      <c r="O32" s="14">
        <f>N32*VLOOKUP('Données projet'!$B$9,Paramètres!$A$1:$I$89,3,0)*VLOOKUP('Données projet'!$B$9,Paramètres!$A$1:$I$89,5,0)</f>
        <v>57.10848</v>
      </c>
      <c r="P32" s="14">
        <f t="shared" si="33"/>
        <v>16.435113817397369</v>
      </c>
      <c r="Q32" s="22">
        <f t="shared" si="2"/>
        <v>128.08842589863374</v>
      </c>
      <c r="R32" s="62">
        <f t="shared" si="0"/>
        <v>421.42175923196703</v>
      </c>
      <c r="S32" s="62">
        <f ca="1">AVERAGE(OFFSET($R$3,0,0,'Données projet'!$E$9+1,1))-AVERAGE(OFFSET($H$3,0,0,'Données projet'!$E$9+1,1))</f>
        <v>135.99759935190264</v>
      </c>
      <c r="T32" s="62">
        <f t="shared" si="34"/>
        <v>103.49526616376608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1.835209690014215</v>
      </c>
      <c r="AC32" s="24">
        <f t="shared" si="3"/>
        <v>1.835209690014215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>
        <f>VLOOKUP(A32,'Données projet'!$A$61:$I$81,2,0)</f>
        <v>213</v>
      </c>
      <c r="AG32" s="13">
        <f>VLOOKUP(A32,'Données projet'!$A$61:$I$81,9,0)</f>
        <v>27.5</v>
      </c>
      <c r="AH32" s="13">
        <f t="array" ref="AH32">INDEX(AG:AG,MIN(IF(ISNUMBER(AG32:AG228),ROW(AG32:AG228),"")))</f>
        <v>27.5</v>
      </c>
      <c r="AI32" s="14">
        <f>IF('Données projet'!$A$62&gt;35,AI31+AH32-AQ31,IF(A32&lt;'Données projet'!$A$62,$AF$205^A32,IF(A32='Données projet'!$A$62,'Données projet'!$B$62,AI31+AH32-AQ31)))</f>
        <v>213</v>
      </c>
      <c r="AJ32" s="14">
        <f>AI32*VLOOKUP('Données projet'!$B$10,Paramètres!$A$1:$I$89,3,0)*VLOOKUP('Données projet'!$B$10,Paramètres!$A$1:$I$89,5,0)</f>
        <v>99.683999999999997</v>
      </c>
      <c r="AK32" s="14">
        <f t="shared" si="35"/>
        <v>26.886701044194457</v>
      </c>
      <c r="AL32" s="22">
        <f t="shared" si="4"/>
        <v>220.44397098530533</v>
      </c>
      <c r="AM32" s="62">
        <f t="shared" si="5"/>
        <v>513.7773043186387</v>
      </c>
      <c r="AN32" s="62">
        <f ca="1">AVERAGE(OFFSET($AM$3,0,0,'Données projet'!$E$10+1,1))-AVERAGE(OFFSET($H$3,0,0,'Données projet'!$E$10+1,1))</f>
        <v>213.5791415320935</v>
      </c>
      <c r="AO32" s="62">
        <f t="shared" si="36"/>
        <v>167.49607245443497</v>
      </c>
      <c r="AP32" s="16">
        <f>IF(ISNA(VLOOKUP(A32,'Données projet'!$A$61:$I$81,3,0)),0,VLOOKUP(A32,'Données projet'!$A$61:$I$81,3,0))</f>
        <v>2</v>
      </c>
      <c r="AQ32" s="16">
        <f>IF(ISNA(VLOOKUP(A32,'Données projet'!$A$61:$I$81,4,0)),0,VLOOKUP(A32,'Données projet'!$A$61:$I$81,4,0))</f>
        <v>52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0.22000000000000003</v>
      </c>
      <c r="AT32" s="17">
        <f>IF(ISNA(VLOOKUP(A32,'Données projet'!$A$61:$I$81,7,0)),0%,VLOOKUP(A32,'Données projet'!$A$61:$I$81,7,0))</f>
        <v>0.6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13.406080899277063</v>
      </c>
      <c r="AW32" s="23">
        <f>EXP(-LN(2)/2)*AW31+(1-EXP(-LN(2)/2))/(LN(2)/2)*AQ32*AT32*VLOOKUP('Données projet'!$B$10,Paramètres!$A$1:$I$89,3,0)*0.475*44/12</f>
        <v>20.66550389445305</v>
      </c>
      <c r="AX32" s="23">
        <f t="shared" si="6"/>
        <v>34.071584793730111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14.04</v>
      </c>
      <c r="D33" s="12">
        <f t="shared" si="32"/>
        <v>4.75735588805329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145.10239632883244</v>
      </c>
      <c r="H33" s="70">
        <f t="shared" si="1"/>
        <v>326.07206150502611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75</v>
      </c>
      <c r="L33" s="13">
        <f>VLOOKUP(A33,'Données projet'!$A$35:$I$55,9,0)</f>
        <v>4.5999999999999996</v>
      </c>
      <c r="M33" s="13">
        <f t="array" ref="M33">INDEX(L:L,MIN(IF(ISNUMBER(L33:L229),ROW(L33:L229),"")))</f>
        <v>4.5999999999999996</v>
      </c>
      <c r="N33" s="14">
        <f>IF('Données projet'!$A$36&gt;35,N32+M33-V32,IF(A33&lt;'Données projet'!$A$36,$K$205^A33,IF(A33='Données projet'!$A$36,'Données projet'!$B$36,N32+M33-V32)))</f>
        <v>74.999999999999986</v>
      </c>
      <c r="O33" s="14">
        <f>N33*VLOOKUP('Données projet'!$B$9,Paramètres!$A$1:$I$89,3,0)*VLOOKUP('Données projet'!$B$9,Paramètres!$A$1:$I$89,5,0)</f>
        <v>60.839999999999989</v>
      </c>
      <c r="P33" s="14">
        <f t="shared" si="33"/>
        <v>17.38047521653144</v>
      </c>
      <c r="Q33" s="22">
        <f t="shared" si="2"/>
        <v>136.23399433545887</v>
      </c>
      <c r="R33" s="62">
        <f t="shared" si="0"/>
        <v>429.56732766879219</v>
      </c>
      <c r="S33" s="62">
        <f ca="1">AVERAGE(OFFSET($R$3,0,0,'Données projet'!$E$9+1,1))-AVERAGE(OFFSET($H$3,0,0,'Données projet'!$E$9+1,1))</f>
        <v>135.99759935190264</v>
      </c>
      <c r="T33" s="62">
        <f t="shared" si="34"/>
        <v>103.49526616376608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0.17200000000000001</v>
      </c>
      <c r="Y33" s="17">
        <f>IF(ISNA(VLOOKUP(A33,'Données projet'!$A$35:$I$55,7,0)),0%,VLOOKUP(A33,'Données projet'!$A$35:$I$55,7,0))</f>
        <v>0.6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1.3827149248278499</v>
      </c>
      <c r="AB33" s="23">
        <f>EXP(-LN(2)/2)*AB32+(1-EXP(-LN(2)/2))/(LN(2)/2)*V33*Y33*VLOOKUP('Données projet'!$B$9,Paramètres!$A$1:$I$89,3,0)*0.475*44/12</f>
        <v>5.4307899955989241</v>
      </c>
      <c r="AC33" s="24">
        <f t="shared" si="3"/>
        <v>6.8135049204267739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32</v>
      </c>
      <c r="AI33" s="14">
        <f>IF('Données projet'!$A$62&gt;35,AI32+AH33-AQ32,IF(A33&lt;'Données projet'!$A$62,$AF$205^A33,IF(A33='Données projet'!$A$62,'Données projet'!$B$62,AI32+AH33-AQ32)))</f>
        <v>193</v>
      </c>
      <c r="AJ33" s="14">
        <f>AI33*VLOOKUP('Données projet'!$B$10,Paramètres!$A$1:$I$89,3,0)*VLOOKUP('Données projet'!$B$10,Paramètres!$A$1:$I$89,5,0)</f>
        <v>90.324000000000012</v>
      </c>
      <c r="AK33" s="14">
        <f t="shared" si="35"/>
        <v>24.643349641795833</v>
      </c>
      <c r="AL33" s="22">
        <f t="shared" si="4"/>
        <v>200.23480062612774</v>
      </c>
      <c r="AM33" s="62">
        <f t="shared" si="5"/>
        <v>493.56813395946108</v>
      </c>
      <c r="AN33" s="62">
        <f ca="1">AVERAGE(OFFSET($AM$3,0,0,'Données projet'!$E$10+1,1))-AVERAGE(OFFSET($H$3,0,0,'Données projet'!$E$10+1,1))</f>
        <v>213.5791415320935</v>
      </c>
      <c r="AO33" s="62">
        <f t="shared" si="36"/>
        <v>167.49607245443497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13.039490912091177</v>
      </c>
      <c r="AW33" s="23">
        <f>EXP(-LN(2)/2)*AW32+(1-EXP(-LN(2)/2))/(LN(2)/2)*AQ33*AT33*VLOOKUP('Données projet'!$B$10,Paramètres!$A$1:$I$89,3,0)*0.475*44/12</f>
        <v>14.612717940404758</v>
      </c>
      <c r="AX33" s="23">
        <f t="shared" si="6"/>
        <v>27.652208852495935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14.507999999999999</v>
      </c>
      <c r="D34" s="12">
        <f t="shared" si="32"/>
        <v>4.8972073577041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149.79458311210183</v>
      </c>
      <c r="H34" s="70">
        <f t="shared" si="1"/>
        <v>327.13073614800129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4.5999999999999996</v>
      </c>
      <c r="N34" s="14">
        <f>IF('Données projet'!$A$36&gt;35,N33+M34-V33,IF(A34&lt;'Données projet'!$A$36,$K$205^A34,IF(A34='Données projet'!$A$36,'Données projet'!$B$36,N33+M34-V33)))</f>
        <v>70.59999999999998</v>
      </c>
      <c r="O34" s="14">
        <f>N34*VLOOKUP('Données projet'!$B$9,Paramètres!$A$1:$I$89,3,0)*VLOOKUP('Données projet'!$B$9,Paramètres!$A$1:$I$89,5,0)</f>
        <v>57.270719999999983</v>
      </c>
      <c r="P34" s="14">
        <f t="shared" si="33"/>
        <v>16.476362874249581</v>
      </c>
      <c r="Q34" s="22">
        <f t="shared" si="2"/>
        <v>128.44283600598467</v>
      </c>
      <c r="R34" s="62">
        <f t="shared" si="0"/>
        <v>421.77616933931802</v>
      </c>
      <c r="S34" s="62">
        <f ca="1">AVERAGE(OFFSET($R$3,0,0,'Données projet'!$E$9+1,1))-AVERAGE(OFFSET($H$3,0,0,'Données projet'!$E$9+1,1))</f>
        <v>135.99759935190264</v>
      </c>
      <c r="T34" s="62">
        <f t="shared" si="34"/>
        <v>103.49526616376608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1.3449045124946146</v>
      </c>
      <c r="AB34" s="23">
        <f>EXP(-LN(2)/2)*AB33+(1-EXP(-LN(2)/2))/(LN(2)/2)*V34*Y34*VLOOKUP('Données projet'!$B$9,Paramètres!$A$1:$I$89,3,0)*0.475*44/12</f>
        <v>3.8401484330880602</v>
      </c>
      <c r="AC34" s="24">
        <f t="shared" si="3"/>
        <v>5.185052945582675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32</v>
      </c>
      <c r="AI34" s="14">
        <f>IF('Données projet'!$A$62&gt;35,AI33+AH34-AQ33,IF(A34&lt;'Données projet'!$A$62,$AF$205^A34,IF(A34='Données projet'!$A$62,'Données projet'!$B$62,AI33+AH34-AQ33)))</f>
        <v>225</v>
      </c>
      <c r="AJ34" s="14">
        <f>AI34*VLOOKUP('Données projet'!$B$10,Paramètres!$A$1:$I$89,3,0)*VLOOKUP('Données projet'!$B$10,Paramètres!$A$1:$I$89,5,0)</f>
        <v>105.3</v>
      </c>
      <c r="AK34" s="14">
        <f t="shared" si="35"/>
        <v>28.220829418515034</v>
      </c>
      <c r="AL34" s="22">
        <f t="shared" si="4"/>
        <v>232.54877790391367</v>
      </c>
      <c r="AM34" s="62">
        <f t="shared" si="5"/>
        <v>525.88211123724705</v>
      </c>
      <c r="AN34" s="62">
        <f ca="1">AVERAGE(OFFSET($AM$3,0,0,'Données projet'!$E$10+1,1))-AVERAGE(OFFSET($H$3,0,0,'Données projet'!$E$10+1,1))</f>
        <v>213.5791415320935</v>
      </c>
      <c r="AO34" s="62">
        <f t="shared" si="36"/>
        <v>167.49607245443497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12.682925347383019</v>
      </c>
      <c r="AW34" s="23">
        <f>EXP(-LN(2)/2)*AW33+(1-EXP(-LN(2)/2))/(LN(2)/2)*AQ34*AT34*VLOOKUP('Données projet'!$B$10,Paramètres!$A$1:$I$89,3,0)*0.475*44/12</f>
        <v>10.332751947226525</v>
      </c>
      <c r="AX34" s="23">
        <f t="shared" si="6"/>
        <v>23.015677294609546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14.975999999999999</v>
      </c>
      <c r="D35" s="12">
        <f t="shared" si="32"/>
        <v>5.0365345962274297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154.48272319894858</v>
      </c>
      <c r="H35" s="70">
        <f t="shared" si="1"/>
        <v>328.18849775509608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4.5999999999999996</v>
      </c>
      <c r="N35" s="14">
        <f>IF('Données projet'!$A$36&gt;35,N34+M35-V34,IF(A35&lt;'Données projet'!$A$36,$K$205^A35,IF(A35='Données projet'!$A$36,'Données projet'!$B$36,N34+M35-V34)))</f>
        <v>75.199999999999974</v>
      </c>
      <c r="O35" s="14">
        <f>N35*VLOOKUP('Données projet'!$B$9,Paramètres!$A$1:$I$89,3,0)*VLOOKUP('Données projet'!$B$9,Paramètres!$A$1:$I$89,5,0)</f>
        <v>61.002239999999979</v>
      </c>
      <c r="P35" s="14">
        <f t="shared" si="33"/>
        <v>17.421421901322486</v>
      </c>
      <c r="Q35" s="22">
        <f t="shared" ref="Q35:Q66" si="53">(O35+P35)*0.475*44/12</f>
        <v>136.58787781146995</v>
      </c>
      <c r="R35" s="62">
        <f t="shared" si="0"/>
        <v>429.92121114480324</v>
      </c>
      <c r="S35" s="62">
        <f ca="1">AVERAGE(OFFSET($R$3,0,0,'Données projet'!$E$9+1,1))-AVERAGE(OFFSET($H$3,0,0,'Données projet'!$E$9+1,1))</f>
        <v>135.99759935190264</v>
      </c>
      <c r="T35" s="62">
        <f t="shared" si="34"/>
        <v>103.49526616376608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1.3081280278749949</v>
      </c>
      <c r="AB35" s="23">
        <f>EXP(-LN(2)/2)*AB34+(1-EXP(-LN(2)/2))/(LN(2)/2)*V35*Y35*VLOOKUP('Données projet'!$B$9,Paramètres!$A$1:$I$89,3,0)*0.475*44/12</f>
        <v>2.7153949977994625</v>
      </c>
      <c r="AC35" s="24">
        <f t="shared" si="3"/>
        <v>4.0235230256744572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32</v>
      </c>
      <c r="AI35" s="14">
        <f>IF('Données projet'!$A$62&gt;35,AI34+AH35-AQ34,IF(A35&lt;'Données projet'!$A$62,$AF$205^A35,IF(A35='Données projet'!$A$62,'Données projet'!$B$62,AI34+AH35-AQ34)))</f>
        <v>257</v>
      </c>
      <c r="AJ35" s="14">
        <f>AI35*VLOOKUP('Données projet'!$B$10,Paramètres!$A$1:$I$89,3,0)*VLOOKUP('Données projet'!$B$10,Paramètres!$A$1:$I$89,5,0)</f>
        <v>120.276</v>
      </c>
      <c r="AK35" s="14">
        <f t="shared" si="35"/>
        <v>31.739363152156315</v>
      </c>
      <c r="AL35" s="22">
        <f t="shared" si="4"/>
        <v>264.76009082333889</v>
      </c>
      <c r="AM35" s="62">
        <f t="shared" si="5"/>
        <v>558.0934241566722</v>
      </c>
      <c r="AN35" s="62">
        <f ca="1">AVERAGE(OFFSET($AM$3,0,0,'Données projet'!$E$10+1,1))-AVERAGE(OFFSET($H$3,0,0,'Données projet'!$E$10+1,1))</f>
        <v>213.5791415320935</v>
      </c>
      <c r="AO35" s="62">
        <f t="shared" si="36"/>
        <v>167.49607245443497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12.336110086792774</v>
      </c>
      <c r="AW35" s="23">
        <f>EXP(-LN(2)/2)*AW34+(1-EXP(-LN(2)/2))/(LN(2)/2)*AQ35*AT35*VLOOKUP('Données projet'!$B$10,Paramètres!$A$1:$I$89,3,0)*0.475*44/12</f>
        <v>7.3063589702023792</v>
      </c>
      <c r="AX35" s="23">
        <f t="shared" si="6"/>
        <v>19.642469056995154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15.443999999999999</v>
      </c>
      <c r="D36" s="12">
        <f t="shared" si="32"/>
        <v>5.1753558655448444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159.16695755859178</v>
      </c>
      <c r="H36" s="70">
        <f t="shared" si="1"/>
        <v>329.2453781324906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4.5999999999999996</v>
      </c>
      <c r="N36" s="14">
        <f>IF('Données projet'!$A$36&gt;35,N35+M36-V35,IF(A36&lt;'Données projet'!$A$36,$K$205^A36,IF(A36='Données projet'!$A$36,'Données projet'!$B$36,N35+M36-V35)))</f>
        <v>79.799999999999969</v>
      </c>
      <c r="O36" s="14">
        <f>N36*VLOOKUP('Données projet'!$B$9,Paramètres!$A$1:$I$89,3,0)*VLOOKUP('Données projet'!$B$9,Paramètres!$A$1:$I$89,5,0)</f>
        <v>64.73375999999999</v>
      </c>
      <c r="P36" s="14">
        <f t="shared" si="33"/>
        <v>18.359771390246543</v>
      </c>
      <c r="Q36" s="22">
        <f t="shared" si="53"/>
        <v>144.72123383801272</v>
      </c>
      <c r="R36" s="62">
        <f t="shared" si="0"/>
        <v>438.05456717134604</v>
      </c>
      <c r="S36" s="62">
        <f ca="1">AVERAGE(OFFSET($R$3,0,0,'Données projet'!$E$9+1,1))-AVERAGE(OFFSET($H$3,0,0,'Données projet'!$E$9+1,1))</f>
        <v>135.99759935190264</v>
      </c>
      <c r="T36" s="62">
        <f t="shared" si="34"/>
        <v>103.49526616376608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1.27235719816129</v>
      </c>
      <c r="AB36" s="23">
        <f>EXP(-LN(2)/2)*AB35+(1-EXP(-LN(2)/2))/(LN(2)/2)*V36*Y36*VLOOKUP('Données projet'!$B$9,Paramètres!$A$1:$I$89,3,0)*0.475*44/12</f>
        <v>1.9200742165440303</v>
      </c>
      <c r="AC36" s="24">
        <f t="shared" si="3"/>
        <v>3.1924314147053203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32</v>
      </c>
      <c r="AI36" s="14">
        <f>IF('Données projet'!$A$62&gt;35,AI35+AH36-AQ35,IF(A36&lt;'Données projet'!$A$62,$AF$205^A36,IF(A36='Données projet'!$A$62,'Données projet'!$B$62,AI35+AH36-AQ35)))</f>
        <v>289</v>
      </c>
      <c r="AJ36" s="14">
        <f>AI36*VLOOKUP('Données projet'!$B$10,Paramètres!$A$1:$I$89,3,0)*VLOOKUP('Données projet'!$B$10,Paramètres!$A$1:$I$89,5,0)</f>
        <v>135.25199999999998</v>
      </c>
      <c r="AK36" s="14">
        <f t="shared" si="35"/>
        <v>35.207130861518152</v>
      </c>
      <c r="AL36" s="22">
        <f t="shared" si="4"/>
        <v>296.88298625047742</v>
      </c>
      <c r="AM36" s="62">
        <f t="shared" si="5"/>
        <v>590.21631958381067</v>
      </c>
      <c r="AN36" s="62">
        <f ca="1">AVERAGE(OFFSET($AM$3,0,0,'Données projet'!$E$10+1,1))-AVERAGE(OFFSET($H$3,0,0,'Données projet'!$E$10+1,1))</f>
        <v>213.5791415320935</v>
      </c>
      <c r="AO36" s="62">
        <f t="shared" si="36"/>
        <v>167.49607245443497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11.998778507741591</v>
      </c>
      <c r="AW36" s="23">
        <f>EXP(-LN(2)/2)*AW35+(1-EXP(-LN(2)/2))/(LN(2)/2)*AQ36*AT36*VLOOKUP('Données projet'!$B$10,Paramètres!$A$1:$I$89,3,0)*0.475*44/12</f>
        <v>5.1663759736132624</v>
      </c>
      <c r="AX36" s="23">
        <f t="shared" si="6"/>
        <v>17.165154481354854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15.911999999999999</v>
      </c>
      <c r="D37" s="12">
        <f t="shared" si="32"/>
        <v>5.3136882579005116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163.84741813116185</v>
      </c>
      <c r="H37" s="70">
        <f t="shared" si="1"/>
        <v>330.3014070491767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4.5999999999999996</v>
      </c>
      <c r="N37" s="14">
        <f>IF('Données projet'!$A$36&gt;35,N36+M37-V36,IF(A37&lt;'Données projet'!$A$36,$K$205^A37,IF(A37='Données projet'!$A$36,'Données projet'!$B$36,N36+M37-V36)))</f>
        <v>84.399999999999963</v>
      </c>
      <c r="O37" s="14">
        <f>N37*VLOOKUP('Données projet'!$B$9,Paramètres!$A$1:$I$89,3,0)*VLOOKUP('Données projet'!$B$9,Paramètres!$A$1:$I$89,5,0)</f>
        <v>68.465279999999979</v>
      </c>
      <c r="P37" s="14">
        <f t="shared" si="33"/>
        <v>19.291842171150098</v>
      </c>
      <c r="Q37" s="22">
        <f t="shared" si="53"/>
        <v>152.84365444808637</v>
      </c>
      <c r="R37" s="62">
        <f t="shared" si="0"/>
        <v>446.17698778141971</v>
      </c>
      <c r="S37" s="62">
        <f ca="1">AVERAGE(OFFSET($R$3,0,0,'Données projet'!$E$9+1,1))-AVERAGE(OFFSET($H$3,0,0,'Données projet'!$E$9+1,1))</f>
        <v>135.99759935190264</v>
      </c>
      <c r="T37" s="62">
        <f t="shared" si="34"/>
        <v>103.49526616376608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1.2375645236672126</v>
      </c>
      <c r="AB37" s="23">
        <f>EXP(-LN(2)/2)*AB36+(1-EXP(-LN(2)/2))/(LN(2)/2)*V37*Y37*VLOOKUP('Données projet'!$B$9,Paramètres!$A$1:$I$89,3,0)*0.475*44/12</f>
        <v>1.3576974988997315</v>
      </c>
      <c r="AC37" s="24">
        <f t="shared" si="3"/>
        <v>2.5952620225669438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321</v>
      </c>
      <c r="AG37" s="13">
        <f>VLOOKUP(A37,'Données projet'!$A$61:$I$81,9,0)</f>
        <v>32</v>
      </c>
      <c r="AH37" s="13">
        <f t="array" ref="AH37">INDEX(AG:AG,MIN(IF(ISNUMBER(AG37:AG233),ROW(AG37:AG233),"")))</f>
        <v>32</v>
      </c>
      <c r="AI37" s="14">
        <f>IF('Données projet'!$A$62&gt;35,AI36+AH37-AQ36,IF(A37&lt;'Données projet'!$A$62,$AF$205^A37,IF(A37='Données projet'!$A$62,'Données projet'!$B$62,AI36+AH37-AQ36)))</f>
        <v>321</v>
      </c>
      <c r="AJ37" s="14">
        <f>AI37*VLOOKUP('Données projet'!$B$10,Paramètres!$A$1:$I$89,3,0)*VLOOKUP('Données projet'!$B$10,Paramètres!$A$1:$I$89,5,0)</f>
        <v>150.22800000000001</v>
      </c>
      <c r="AK37" s="14">
        <f t="shared" si="35"/>
        <v>38.630394857933659</v>
      </c>
      <c r="AL37" s="22">
        <f t="shared" si="4"/>
        <v>328.92837104423444</v>
      </c>
      <c r="AM37" s="62">
        <f t="shared" si="5"/>
        <v>622.26170437756775</v>
      </c>
      <c r="AN37" s="62">
        <f ca="1">AVERAGE(OFFSET($AM$3,0,0,'Données projet'!$E$10+1,1))-AVERAGE(OFFSET($H$3,0,0,'Données projet'!$E$10+1,1))</f>
        <v>213.5791415320935</v>
      </c>
      <c r="AO37" s="62">
        <f t="shared" si="36"/>
        <v>167.49607245443497</v>
      </c>
      <c r="AP37" s="16">
        <f>IF(ISNA(VLOOKUP(A37,'Données projet'!$A$61:$I$81,3,0)),0,VLOOKUP(A37,'Données projet'!$A$61:$I$81,3,0))</f>
        <v>3</v>
      </c>
      <c r="AQ37" s="16">
        <f>IF(ISNA(VLOOKUP(A37,'Données projet'!$A$61:$I$81,4,0)),0,VLOOKUP(A37,'Données projet'!$A$61:$I$81,4,0))</f>
        <v>65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11.670671278459059</v>
      </c>
      <c r="AW37" s="23">
        <f>EXP(-LN(2)/2)*AW36+(1-EXP(-LN(2)/2))/(LN(2)/2)*AQ37*AT37*VLOOKUP('Données projet'!$B$10,Paramètres!$A$1:$I$89,3,0)*0.475*44/12</f>
        <v>3.6531794851011896</v>
      </c>
      <c r="AX37" s="23">
        <f t="shared" si="6"/>
        <v>15.323850763560248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16.38</v>
      </c>
      <c r="D38" s="12">
        <f t="shared" si="32"/>
        <v>5.4515478029518825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168.5242286543654</v>
      </c>
      <c r="H38" s="70">
        <f t="shared" si="1"/>
        <v>331.35661242347453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89</v>
      </c>
      <c r="L38" s="13">
        <f>VLOOKUP(A38,'Données projet'!$A$35:$I$55,9,0)</f>
        <v>4.5999999999999996</v>
      </c>
      <c r="M38" s="13">
        <f t="array" ref="M38">INDEX(L:L,MIN(IF(ISNUMBER(L38:L234),ROW(L38:L234),"")))</f>
        <v>4.5999999999999996</v>
      </c>
      <c r="N38" s="14">
        <f>IF('Données projet'!$A$36&gt;35,N37+M38-V37,IF(A38&lt;'Données projet'!$A$36,$K$205^A38,IF(A38='Données projet'!$A$36,'Données projet'!$B$36,N37+M38-V37)))</f>
        <v>88.999999999999957</v>
      </c>
      <c r="O38" s="14">
        <f>N38*VLOOKUP('Données projet'!$B$9,Paramètres!$A$1:$I$89,3,0)*VLOOKUP('Données projet'!$B$9,Paramètres!$A$1:$I$89,5,0)</f>
        <v>72.196799999999968</v>
      </c>
      <c r="P38" s="14">
        <f t="shared" si="33"/>
        <v>20.218015459285905</v>
      </c>
      <c r="Q38" s="22">
        <f t="shared" si="53"/>
        <v>160.95580359158956</v>
      </c>
      <c r="R38" s="62">
        <f t="shared" si="0"/>
        <v>454.2891369249229</v>
      </c>
      <c r="S38" s="62">
        <f ca="1">AVERAGE(OFFSET($R$3,0,0,'Données projet'!$E$9+1,1))-AVERAGE(OFFSET($H$3,0,0,'Données projet'!$E$9+1,1))</f>
        <v>135.99759935190264</v>
      </c>
      <c r="T38" s="62">
        <f t="shared" si="34"/>
        <v>103.49526616376608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10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1.2037232566868428</v>
      </c>
      <c r="AB38" s="23">
        <f>EXP(-LN(2)/2)*AB37+(1-EXP(-LN(2)/2))/(LN(2)/2)*V38*Y38*VLOOKUP('Données projet'!$B$9,Paramètres!$A$1:$I$89,3,0)*0.475*44/12</f>
        <v>0.96003710827201527</v>
      </c>
      <c r="AC38" s="24">
        <f t="shared" si="3"/>
        <v>2.1637603649588582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32.4</v>
      </c>
      <c r="AI38" s="14">
        <f>IF('Données projet'!$A$62&gt;35,AI37+AH38-AQ37,IF(A38&lt;'Données projet'!$A$62,$AF$205^A38,IF(A38='Données projet'!$A$62,'Données projet'!$B$62,AI37+AH38-AQ37)))</f>
        <v>288.39999999999998</v>
      </c>
      <c r="AJ38" s="14">
        <f>AI38*VLOOKUP('Données projet'!$B$10,Paramètres!$A$1:$I$89,3,0)*VLOOKUP('Données projet'!$B$10,Paramètres!$A$1:$I$89,5,0)</f>
        <v>134.97119999999998</v>
      </c>
      <c r="AK38" s="14">
        <f t="shared" si="35"/>
        <v>35.142536849088657</v>
      </c>
      <c r="AL38" s="22">
        <f t="shared" si="4"/>
        <v>296.28142501216269</v>
      </c>
      <c r="AM38" s="62">
        <f t="shared" si="5"/>
        <v>589.61475834549606</v>
      </c>
      <c r="AN38" s="62">
        <f ca="1">AVERAGE(OFFSET($AM$3,0,0,'Données projet'!$E$10+1,1))-AVERAGE(OFFSET($H$3,0,0,'Données projet'!$E$10+1,1))</f>
        <v>213.5791415320935</v>
      </c>
      <c r="AO38" s="62">
        <f t="shared" si="36"/>
        <v>167.49607245443497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11.351536158615668</v>
      </c>
      <c r="AW38" s="23">
        <f>EXP(-LN(2)/2)*AW37+(1-EXP(-LN(2)/2))/(LN(2)/2)*AQ38*AT38*VLOOKUP('Données projet'!$B$10,Paramètres!$A$1:$I$89,3,0)*0.475*44/12</f>
        <v>2.5831879868066312</v>
      </c>
      <c r="AX38" s="23">
        <f t="shared" si="6"/>
        <v>13.934724145422299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16.847999999999999</v>
      </c>
      <c r="D39" s="12">
        <f t="shared" si="32"/>
        <v>5.5889495622773833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173.19750539301842</v>
      </c>
      <c r="H39" s="70">
        <f t="shared" si="1"/>
        <v>332.4110204876331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4.8</v>
      </c>
      <c r="N39" s="14">
        <f>IF('Données projet'!$A$36&gt;35,N38+M39-V38,IF(A39&lt;'Données projet'!$A$36,$K$205^A39,IF(A39='Données projet'!$A$36,'Données projet'!$B$36,N38+M39-V38)))</f>
        <v>83.799999999999955</v>
      </c>
      <c r="O39" s="14">
        <f>N39*VLOOKUP('Données projet'!$B$9,Paramètres!$A$1:$I$89,3,0)*VLOOKUP('Données projet'!$B$9,Paramètres!$A$1:$I$89,5,0)</f>
        <v>67.978559999999973</v>
      </c>
      <c r="P39" s="14">
        <f t="shared" si="33"/>
        <v>19.170609873057529</v>
      </c>
      <c r="Q39" s="22">
        <f t="shared" si="53"/>
        <v>151.78480419557513</v>
      </c>
      <c r="R39" s="62">
        <f t="shared" si="0"/>
        <v>445.11813752890845</v>
      </c>
      <c r="S39" s="62">
        <f ca="1">AVERAGE(OFFSET($R$3,0,0,'Données projet'!$E$9+1,1))-AVERAGE(OFFSET($H$3,0,0,'Données projet'!$E$9+1,1))</f>
        <v>135.99759935190264</v>
      </c>
      <c r="T39" s="62">
        <f t="shared" si="34"/>
        <v>103.49526616376608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1.1708073809316861</v>
      </c>
      <c r="AB39" s="23">
        <f>EXP(-LN(2)/2)*AB38+(1-EXP(-LN(2)/2))/(LN(2)/2)*V39*Y39*VLOOKUP('Données projet'!$B$9,Paramètres!$A$1:$I$89,3,0)*0.475*44/12</f>
        <v>0.67884874944986573</v>
      </c>
      <c r="AC39" s="24">
        <f t="shared" si="3"/>
        <v>1.8496561303815517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32.4</v>
      </c>
      <c r="AI39" s="14">
        <f>IF('Données projet'!$A$62&gt;35,AI38+AH39-AQ38,IF(A39&lt;'Données projet'!$A$62,$AF$205^A39,IF(A39='Données projet'!$A$62,'Données projet'!$B$62,AI38+AH39-AQ38)))</f>
        <v>320.79999999999995</v>
      </c>
      <c r="AJ39" s="14">
        <f>AI39*VLOOKUP('Données projet'!$B$10,Paramètres!$A$1:$I$89,3,0)*VLOOKUP('Données projet'!$B$10,Paramètres!$A$1:$I$89,5,0)</f>
        <v>150.1344</v>
      </c>
      <c r="AK39" s="14">
        <f t="shared" si="35"/>
        <v>38.609126910934812</v>
      </c>
      <c r="AL39" s="22">
        <f t="shared" si="4"/>
        <v>328.7283093698781</v>
      </c>
      <c r="AM39" s="62">
        <f t="shared" si="5"/>
        <v>622.06164270321142</v>
      </c>
      <c r="AN39" s="62">
        <f ca="1">AVERAGE(OFFSET($AM$3,0,0,'Données projet'!$E$10+1,1))-AVERAGE(OFFSET($H$3,0,0,'Données projet'!$E$10+1,1))</f>
        <v>213.5791415320935</v>
      </c>
      <c r="AO39" s="62">
        <f t="shared" si="36"/>
        <v>167.49607245443497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11.04112780540698</v>
      </c>
      <c r="AW39" s="23">
        <f>EXP(-LN(2)/2)*AW38+(1-EXP(-LN(2)/2))/(LN(2)/2)*AQ39*AT39*VLOOKUP('Données projet'!$B$10,Paramètres!$A$1:$I$89,3,0)*0.475*44/12</f>
        <v>1.8265897425505948</v>
      </c>
      <c r="AX39" s="23">
        <f t="shared" si="6"/>
        <v>12.867717547957575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40" s="12">
        <f t="shared" si="32"/>
        <v>5.7259077130880893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177.86735778524135</v>
      </c>
      <c r="H40" s="70">
        <f t="shared" si="1"/>
        <v>333.46465593362842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4.8</v>
      </c>
      <c r="N40" s="14">
        <f>IF('Données projet'!$A$36&gt;35,N39+M40-V39,IF(A40&lt;'Données projet'!$A$36,$K$205^A40,IF(A40='Données projet'!$A$36,'Données projet'!$B$36,N39+M40-V39)))</f>
        <v>88.599999999999952</v>
      </c>
      <c r="O40" s="14">
        <f>N40*VLOOKUP('Données projet'!$B$9,Paramètres!$A$1:$I$89,3,0)*VLOOKUP('Données projet'!$B$9,Paramètres!$A$1:$I$89,5,0)</f>
        <v>71.872319999999959</v>
      </c>
      <c r="P40" s="14">
        <f t="shared" si="33"/>
        <v>20.137703912312322</v>
      </c>
      <c r="Q40" s="22">
        <f t="shared" si="53"/>
        <v>160.2507916472772</v>
      </c>
      <c r="R40" s="62">
        <f t="shared" si="0"/>
        <v>453.58412498061051</v>
      </c>
      <c r="S40" s="62">
        <f ca="1">AVERAGE(OFFSET($R$3,0,0,'Données projet'!$E$9+1,1))-AVERAGE(OFFSET($H$3,0,0,'Données projet'!$E$9+1,1))</f>
        <v>135.99759935190264</v>
      </c>
      <c r="T40" s="62">
        <f t="shared" si="34"/>
        <v>103.49526616376608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1.1387915915300248</v>
      </c>
      <c r="AB40" s="23">
        <f>EXP(-LN(2)/2)*AB39+(1-EXP(-LN(2)/2))/(LN(2)/2)*V40*Y40*VLOOKUP('Données projet'!$B$9,Paramètres!$A$1:$I$89,3,0)*0.475*44/12</f>
        <v>0.48001855413600764</v>
      </c>
      <c r="AC40" s="24">
        <f t="shared" si="3"/>
        <v>1.6188101456660324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32.4</v>
      </c>
      <c r="AI40" s="14">
        <f>IF('Données projet'!$A$62&gt;35,AI39+AH40-AQ39,IF(A40&lt;'Données projet'!$A$62,$AF$205^A40,IF(A40='Données projet'!$A$62,'Données projet'!$B$62,AI39+AH40-AQ39)))</f>
        <v>353.19999999999993</v>
      </c>
      <c r="AJ40" s="14">
        <f>AI40*VLOOKUP('Données projet'!$B$10,Paramètres!$A$1:$I$89,3,0)*VLOOKUP('Données projet'!$B$10,Paramètres!$A$1:$I$89,5,0)</f>
        <v>165.29759999999996</v>
      </c>
      <c r="AK40" s="14">
        <f t="shared" si="35"/>
        <v>42.035129205137387</v>
      </c>
      <c r="AL40" s="22">
        <f t="shared" si="4"/>
        <v>361.10450336561422</v>
      </c>
      <c r="AM40" s="62">
        <f t="shared" si="5"/>
        <v>654.43783669894754</v>
      </c>
      <c r="AN40" s="62">
        <f ca="1">AVERAGE(OFFSET($AM$3,0,0,'Données projet'!$E$10+1,1))-AVERAGE(OFFSET($H$3,0,0,'Données projet'!$E$10+1,1))</f>
        <v>213.5791415320935</v>
      </c>
      <c r="AO40" s="62">
        <f t="shared" si="36"/>
        <v>167.49607245443497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10.73920758494045</v>
      </c>
      <c r="AW40" s="23">
        <f>EXP(-LN(2)/2)*AW39+(1-EXP(-LN(2)/2))/(LN(2)/2)*AQ40*AT40*VLOOKUP('Données projet'!$B$10,Paramètres!$A$1:$I$89,3,0)*0.475*44/12</f>
        <v>1.2915939934033156</v>
      </c>
      <c r="AX40" s="23">
        <f t="shared" si="6"/>
        <v>12.030801578343766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17.783999999999999</v>
      </c>
      <c r="D41" s="12">
        <f t="shared" si="32"/>
        <v>5.862435622634961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182.5338890168313</v>
      </c>
      <c r="H41" s="70">
        <f t="shared" si="1"/>
        <v>334.51754204275585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4.8</v>
      </c>
      <c r="N41" s="14">
        <f>IF('Données projet'!$A$36&gt;35,N40+M41-V40,IF(A41&lt;'Données projet'!$A$36,$K$205^A41,IF(A41='Données projet'!$A$36,'Données projet'!$B$36,N40+M41-V40)))</f>
        <v>93.399999999999949</v>
      </c>
      <c r="O41" s="14">
        <f>N41*VLOOKUP('Données projet'!$B$9,Paramètres!$A$1:$I$89,3,0)*VLOOKUP('Données projet'!$B$9,Paramètres!$A$1:$I$89,5,0)</f>
        <v>75.76607999999996</v>
      </c>
      <c r="P41" s="14">
        <f t="shared" si="33"/>
        <v>21.09871541273251</v>
      </c>
      <c r="Q41" s="22">
        <f t="shared" si="53"/>
        <v>168.70618534384235</v>
      </c>
      <c r="R41" s="62">
        <f t="shared" si="0"/>
        <v>462.03951867717569</v>
      </c>
      <c r="S41" s="62">
        <f ca="1">AVERAGE(OFFSET($R$3,0,0,'Données projet'!$E$9+1,1))-AVERAGE(OFFSET($H$3,0,0,'Données projet'!$E$9+1,1))</f>
        <v>135.99759935190264</v>
      </c>
      <c r="T41" s="62">
        <f t="shared" si="34"/>
        <v>103.49526616376608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1.1076512755731893</v>
      </c>
      <c r="AB41" s="23">
        <f>EXP(-LN(2)/2)*AB40+(1-EXP(-LN(2)/2))/(LN(2)/2)*V41*Y41*VLOOKUP('Données projet'!$B$9,Paramètres!$A$1:$I$89,3,0)*0.475*44/12</f>
        <v>0.33942437472493286</v>
      </c>
      <c r="AC41" s="24">
        <f t="shared" si="3"/>
        <v>1.4470756502981221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32.4</v>
      </c>
      <c r="AI41" s="14">
        <f>IF('Données projet'!$A$62&gt;35,AI40+AH41-AQ40,IF(A41&lt;'Données projet'!$A$62,$AF$205^A41,IF(A41='Données projet'!$A$62,'Données projet'!$B$62,AI40+AH41-AQ40)))</f>
        <v>385.59999999999991</v>
      </c>
      <c r="AJ41" s="14">
        <f>AI41*VLOOKUP('Données projet'!$B$10,Paramètres!$A$1:$I$89,3,0)*VLOOKUP('Données projet'!$B$10,Paramètres!$A$1:$I$89,5,0)</f>
        <v>180.46079999999998</v>
      </c>
      <c r="AK41" s="14">
        <f t="shared" si="35"/>
        <v>45.424690416772727</v>
      </c>
      <c r="AL41" s="22">
        <f t="shared" si="4"/>
        <v>393.41722914254575</v>
      </c>
      <c r="AM41" s="62">
        <f t="shared" si="5"/>
        <v>686.75056247587906</v>
      </c>
      <c r="AN41" s="62">
        <f ca="1">AVERAGE(OFFSET($AM$3,0,0,'Données projet'!$E$10+1,1))-AVERAGE(OFFSET($H$3,0,0,'Données projet'!$E$10+1,1))</f>
        <v>213.5791415320935</v>
      </c>
      <c r="AO41" s="62">
        <f t="shared" si="36"/>
        <v>167.49607245443497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10.445543388779871</v>
      </c>
      <c r="AW41" s="23">
        <f>EXP(-LN(2)/2)*AW40+(1-EXP(-LN(2)/2))/(LN(2)/2)*AQ41*AT41*VLOOKUP('Données projet'!$B$10,Paramètres!$A$1:$I$89,3,0)*0.475*44/12</f>
        <v>0.9132948712752974</v>
      </c>
      <c r="AX41" s="23">
        <f t="shared" si="6"/>
        <v>11.358838260055169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18.251999999999999</v>
      </c>
      <c r="D42" s="12">
        <f t="shared" si="32"/>
        <v>5.9985459145634135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187.19719653347192</v>
      </c>
      <c r="H42" s="70">
        <f t="shared" si="1"/>
        <v>335.56970080119794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4.8</v>
      </c>
      <c r="N42" s="14">
        <f>IF('Données projet'!$A$36&gt;35,N41+M42-V41,IF(A42&lt;'Données projet'!$A$36,$K$205^A42,IF(A42='Données projet'!$A$36,'Données projet'!$B$36,N41+M42-V41)))</f>
        <v>98.199999999999946</v>
      </c>
      <c r="O42" s="14">
        <f>N42*VLOOKUP('Données projet'!$B$9,Paramètres!$A$1:$I$89,3,0)*VLOOKUP('Données projet'!$B$9,Paramètres!$A$1:$I$89,5,0)</f>
        <v>79.65983999999996</v>
      </c>
      <c r="P42" s="14">
        <f t="shared" si="33"/>
        <v>22.053992625630261</v>
      </c>
      <c r="Q42" s="22">
        <f t="shared" si="53"/>
        <v>177.15159182297262</v>
      </c>
      <c r="R42" s="62">
        <f t="shared" si="0"/>
        <v>470.48492515630596</v>
      </c>
      <c r="S42" s="62">
        <f ca="1">AVERAGE(OFFSET($R$3,0,0,'Données projet'!$E$9+1,1))-AVERAGE(OFFSET($H$3,0,0,'Données projet'!$E$9+1,1))</f>
        <v>135.99759935190264</v>
      </c>
      <c r="T42" s="62">
        <f t="shared" si="34"/>
        <v>103.49526616376608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1.0773624931937915</v>
      </c>
      <c r="AB42" s="23">
        <f>EXP(-LN(2)/2)*AB41+(1-EXP(-LN(2)/2))/(LN(2)/2)*V42*Y42*VLOOKUP('Données projet'!$B$9,Paramètres!$A$1:$I$89,3,0)*0.475*44/12</f>
        <v>0.24000927706800382</v>
      </c>
      <c r="AC42" s="24">
        <f t="shared" si="3"/>
        <v>1.3173717702617953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>
        <f>VLOOKUP(A42,'Données projet'!$A$61:$I$81,2,0)</f>
        <v>418</v>
      </c>
      <c r="AG42" s="13">
        <f>VLOOKUP(A42,'Données projet'!$A$61:$I$81,9,0)</f>
        <v>32.4</v>
      </c>
      <c r="AH42" s="13">
        <f t="array" ref="AH42">INDEX(AG:AG,MIN(IF(ISNUMBER(AG42:AG238),ROW(AG42:AG238),"")))</f>
        <v>32.4</v>
      </c>
      <c r="AI42" s="14">
        <f>IF('Données projet'!$A$62&gt;35,AI41+AH42-AQ41,IF(A42&lt;'Données projet'!$A$62,$AF$205^A42,IF(A42='Données projet'!$A$62,'Données projet'!$B$62,AI41+AH42-AQ41)))</f>
        <v>417.99999999999989</v>
      </c>
      <c r="AJ42" s="14">
        <f>AI42*VLOOKUP('Données projet'!$B$10,Paramètres!$A$1:$I$89,3,0)*VLOOKUP('Données projet'!$B$10,Paramètres!$A$1:$I$89,5,0)</f>
        <v>195.62399999999997</v>
      </c>
      <c r="AK42" s="14">
        <f t="shared" si="35"/>
        <v>48.781220625276006</v>
      </c>
      <c r="AL42" s="22">
        <f t="shared" si="4"/>
        <v>425.67242592235561</v>
      </c>
      <c r="AM42" s="62">
        <f t="shared" si="5"/>
        <v>719.00575925568887</v>
      </c>
      <c r="AN42" s="62">
        <f ca="1">AVERAGE(OFFSET($AM$3,0,0,'Données projet'!$E$10+1,1))-AVERAGE(OFFSET($H$3,0,0,'Données projet'!$E$10+1,1))</f>
        <v>213.5791415320935</v>
      </c>
      <c r="AO42" s="62">
        <f t="shared" si="36"/>
        <v>167.49607245443497</v>
      </c>
      <c r="AP42" s="16">
        <f>IF(ISNA(VLOOKUP(A42,'Données projet'!$A$61:$I$81,3,0)),0,VLOOKUP(A42,'Données projet'!$A$61:$I$81,3,0))</f>
        <v>4</v>
      </c>
      <c r="AQ42" s="16">
        <f>IF(ISNA(VLOOKUP(A42,'Données projet'!$A$61:$I$81,4,0)),0,VLOOKUP(A42,'Données projet'!$A$61:$I$81,4,0))</f>
        <v>70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10.159909455506432</v>
      </c>
      <c r="AW42" s="23">
        <f>EXP(-LN(2)/2)*AW41+(1-EXP(-LN(2)/2))/(LN(2)/2)*AQ42*AT42*VLOOKUP('Données projet'!$B$10,Paramètres!$A$1:$I$89,3,0)*0.475*44/12</f>
        <v>0.6457969967016578</v>
      </c>
      <c r="AX42" s="23">
        <f t="shared" si="6"/>
        <v>10.805706452208089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18.72</v>
      </c>
      <c r="D43" s="12">
        <f t="shared" si="32"/>
        <v>6.1342505282708037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191.85737249893251</v>
      </c>
      <c r="H43" s="70">
        <f t="shared" si="1"/>
        <v>336.62115300340497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103</v>
      </c>
      <c r="L43" s="13">
        <f>VLOOKUP(A43,'Données projet'!$A$35:$I$55,9,0)</f>
        <v>4.8</v>
      </c>
      <c r="M43" s="13">
        <f t="array" ref="M43">INDEX(L:L,MIN(IF(ISNUMBER(L43:L239),ROW(L43:L239),"")))</f>
        <v>4.8</v>
      </c>
      <c r="N43" s="14">
        <f>IF('Données projet'!$A$36&gt;35,N42+M43-V42,IF(A43&lt;'Données projet'!$A$36,$K$205^A43,IF(A43='Données projet'!$A$36,'Données projet'!$B$36,N42+M43-V42)))</f>
        <v>102.99999999999994</v>
      </c>
      <c r="O43" s="14">
        <f>N43*VLOOKUP('Données projet'!$B$9,Paramètres!$A$1:$I$89,3,0)*VLOOKUP('Données projet'!$B$9,Paramètres!$A$1:$I$89,5,0)</f>
        <v>83.55359999999996</v>
      </c>
      <c r="P43" s="14">
        <f t="shared" si="33"/>
        <v>23.00384783397265</v>
      </c>
      <c r="Q43" s="22">
        <f t="shared" si="53"/>
        <v>185.58755497750232</v>
      </c>
      <c r="R43" s="62">
        <f t="shared" si="0"/>
        <v>478.92088831083561</v>
      </c>
      <c r="S43" s="62">
        <f ca="1">AVERAGE(OFFSET($R$3,0,0,'Données projet'!$E$9+1,1))-AVERAGE(OFFSET($H$3,0,0,'Données projet'!$E$9+1,1))</f>
        <v>135.99759935190264</v>
      </c>
      <c r="T43" s="62">
        <f t="shared" si="34"/>
        <v>103.49526616376608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11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1.0479019591613761</v>
      </c>
      <c r="AB43" s="23">
        <f>EXP(-LN(2)/2)*AB42+(1-EXP(-LN(2)/2))/(LN(2)/2)*V43*Y43*VLOOKUP('Données projet'!$B$9,Paramètres!$A$1:$I$89,3,0)*0.475*44/12</f>
        <v>0.16971218736246643</v>
      </c>
      <c r="AC43" s="24">
        <f t="shared" si="3"/>
        <v>1.2176141465238426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29.8</v>
      </c>
      <c r="AI43" s="14">
        <f>IF('Données projet'!$A$62&gt;35,AI42+AH43-AQ42,IF(A43&lt;'Données projet'!$A$62,$AF$205^A43,IF(A43='Données projet'!$A$62,'Données projet'!$B$62,AI42+AH43-AQ42)))</f>
        <v>377.7999999999999</v>
      </c>
      <c r="AJ43" s="14">
        <f>AI43*VLOOKUP('Données projet'!$B$10,Paramètres!$A$1:$I$89,3,0)*VLOOKUP('Données projet'!$B$10,Paramètres!$A$1:$I$89,5,0)</f>
        <v>176.81039999999996</v>
      </c>
      <c r="AK43" s="14">
        <f t="shared" si="35"/>
        <v>44.611822218388589</v>
      </c>
      <c r="AL43" s="22">
        <f t="shared" si="4"/>
        <v>385.64370369702669</v>
      </c>
      <c r="AM43" s="62">
        <f t="shared" si="5"/>
        <v>678.97703703035995</v>
      </c>
      <c r="AN43" s="62">
        <f ca="1">AVERAGE(OFFSET($AM$3,0,0,'Données projet'!$E$10+1,1))-AVERAGE(OFFSET($H$3,0,0,'Données projet'!$E$10+1,1))</f>
        <v>213.5791415320935</v>
      </c>
      <c r="AO43" s="62">
        <f t="shared" si="36"/>
        <v>167.49607245443497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9.8820861971591913</v>
      </c>
      <c r="AW43" s="23">
        <f>EXP(-LN(2)/2)*AW42+(1-EXP(-LN(2)/2))/(LN(2)/2)*AQ43*AT43*VLOOKUP('Données projet'!$B$10,Paramètres!$A$1:$I$89,3,0)*0.475*44/12</f>
        <v>0.4566474356376487</v>
      </c>
      <c r="AX43" s="23">
        <f t="shared" si="6"/>
        <v>10.33873363279684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19.187999999999999</v>
      </c>
      <c r="D44" s="12">
        <f t="shared" si="32"/>
        <v>6.2695607721610704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196.51450420615564</v>
      </c>
      <c r="H44" s="70">
        <f t="shared" si="1"/>
        <v>337.6719183448472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4.8</v>
      </c>
      <c r="N44" s="14">
        <f>IF('Données projet'!$A$36&gt;35,N43+M44-V43,IF(A44&lt;'Données projet'!$A$36,$K$205^A44,IF(A44='Données projet'!$A$36,'Données projet'!$B$36,N43+M44-V43)))</f>
        <v>96.79999999999994</v>
      </c>
      <c r="O44" s="14">
        <f>N44*VLOOKUP('Données projet'!$B$9,Paramètres!$A$1:$I$89,3,0)*VLOOKUP('Données projet'!$B$9,Paramètres!$A$1:$I$89,5,0)</f>
        <v>78.524159999999952</v>
      </c>
      <c r="P44" s="14">
        <f t="shared" si="33"/>
        <v>21.775943454443503</v>
      </c>
      <c r="Q44" s="22">
        <f t="shared" si="53"/>
        <v>174.68934684982233</v>
      </c>
      <c r="R44" s="62">
        <f t="shared" si="0"/>
        <v>468.02268018315567</v>
      </c>
      <c r="S44" s="62">
        <f ca="1">AVERAGE(OFFSET($R$3,0,0,'Données projet'!$E$9+1,1))-AVERAGE(OFFSET($H$3,0,0,'Données projet'!$E$9+1,1))</f>
        <v>135.99759935190264</v>
      </c>
      <c r="T44" s="62">
        <f t="shared" si="34"/>
        <v>103.49526616376608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1.0192470249813392</v>
      </c>
      <c r="AB44" s="23">
        <f>EXP(-LN(2)/2)*AB43+(1-EXP(-LN(2)/2))/(LN(2)/2)*V44*Y44*VLOOKUP('Données projet'!$B$9,Paramètres!$A$1:$I$89,3,0)*0.475*44/12</f>
        <v>0.12000463853400191</v>
      </c>
      <c r="AC44" s="24">
        <f t="shared" si="3"/>
        <v>1.1392516635153411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29.8</v>
      </c>
      <c r="AI44" s="14">
        <f>IF('Données projet'!$A$62&gt;35,AI43+AH44-AQ43,IF(A44&lt;'Données projet'!$A$62,$AF$205^A44,IF(A44='Données projet'!$A$62,'Données projet'!$B$62,AI43+AH44-AQ43)))</f>
        <v>407.59999999999991</v>
      </c>
      <c r="AJ44" s="14">
        <f>AI44*VLOOKUP('Données projet'!$B$10,Paramètres!$A$1:$I$89,3,0)*VLOOKUP('Données projet'!$B$10,Paramètres!$A$1:$I$89,5,0)</f>
        <v>190.75679999999997</v>
      </c>
      <c r="AK44" s="14">
        <f t="shared" si="35"/>
        <v>47.707231855830237</v>
      </c>
      <c r="AL44" s="22">
        <f t="shared" si="4"/>
        <v>415.32485548223758</v>
      </c>
      <c r="AM44" s="62">
        <f t="shared" si="5"/>
        <v>708.65818881557084</v>
      </c>
      <c r="AN44" s="62">
        <f ca="1">AVERAGE(OFFSET($AM$3,0,0,'Données projet'!$E$10+1,1))-AVERAGE(OFFSET($H$3,0,0,'Données projet'!$E$10+1,1))</f>
        <v>213.5791415320935</v>
      </c>
      <c r="AO44" s="62">
        <f t="shared" si="36"/>
        <v>167.49607245443497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9.6118600304215462</v>
      </c>
      <c r="AW44" s="23">
        <f>EXP(-LN(2)/2)*AW43+(1-EXP(-LN(2)/2))/(LN(2)/2)*AQ44*AT44*VLOOKUP('Données projet'!$B$10,Paramètres!$A$1:$I$89,3,0)*0.475*44/12</f>
        <v>0.3228984983508289</v>
      </c>
      <c r="AX44" s="23">
        <f t="shared" si="6"/>
        <v>9.9347585287723756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19.655999999999999</v>
      </c>
      <c r="D45" s="12">
        <f t="shared" si="32"/>
        <v>6.4044873715575275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201.16867444711076</v>
      </c>
      <c r="H45" s="70">
        <f t="shared" si="1"/>
        <v>338.72201550546265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4.8</v>
      </c>
      <c r="N45" s="14">
        <f>IF('Données projet'!$A$36&gt;35,N44+M45-V44,IF(A45&lt;'Données projet'!$A$36,$K$205^A45,IF(A45='Données projet'!$A$36,'Données projet'!$B$36,N44+M45-V44)))</f>
        <v>101.59999999999994</v>
      </c>
      <c r="O45" s="14">
        <f>N45*VLOOKUP('Données projet'!$B$9,Paramètres!$A$1:$I$89,3,0)*VLOOKUP('Données projet'!$B$9,Paramètres!$A$1:$I$89,5,0)</f>
        <v>82.417919999999953</v>
      </c>
      <c r="P45" s="14">
        <f t="shared" si="33"/>
        <v>22.727349719580065</v>
      </c>
      <c r="Q45" s="22">
        <f t="shared" si="53"/>
        <v>183.12801142826848</v>
      </c>
      <c r="R45" s="62">
        <f t="shared" si="0"/>
        <v>476.46134476160182</v>
      </c>
      <c r="S45" s="62">
        <f ca="1">AVERAGE(OFFSET($R$3,0,0,'Données projet'!$E$9+1,1))-AVERAGE(OFFSET($H$3,0,0,'Données projet'!$E$9+1,1))</f>
        <v>135.99759935190264</v>
      </c>
      <c r="T45" s="62">
        <f t="shared" si="34"/>
        <v>103.49526616376608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0.99137566148335299</v>
      </c>
      <c r="AB45" s="23">
        <f>EXP(-LN(2)/2)*AB44+(1-EXP(-LN(2)/2))/(LN(2)/2)*V45*Y45*VLOOKUP('Données projet'!$B$9,Paramètres!$A$1:$I$89,3,0)*0.475*44/12</f>
        <v>8.4856093681233216E-2</v>
      </c>
      <c r="AC45" s="24">
        <f t="shared" si="3"/>
        <v>1.0762317551645861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29.8</v>
      </c>
      <c r="AI45" s="14">
        <f>IF('Données projet'!$A$62&gt;35,AI44+AH45-AQ44,IF(A45&lt;'Données projet'!$A$62,$AF$205^A45,IF(A45='Données projet'!$A$62,'Données projet'!$B$62,AI44+AH45-AQ44)))</f>
        <v>437.39999999999992</v>
      </c>
      <c r="AJ45" s="14">
        <f>AI45*VLOOKUP('Données projet'!$B$10,Paramètres!$A$1:$I$89,3,0)*VLOOKUP('Données projet'!$B$10,Paramètres!$A$1:$I$89,5,0)</f>
        <v>204.70319999999998</v>
      </c>
      <c r="AK45" s="14">
        <f t="shared" si="35"/>
        <v>50.776386315598728</v>
      </c>
      <c r="AL45" s="22">
        <f t="shared" si="4"/>
        <v>444.96027949966771</v>
      </c>
      <c r="AM45" s="62">
        <f t="shared" si="5"/>
        <v>738.29361283300102</v>
      </c>
      <c r="AN45" s="62">
        <f ca="1">AVERAGE(OFFSET($AM$3,0,0,'Données projet'!$E$10+1,1))-AVERAGE(OFFSET($H$3,0,0,'Données projet'!$E$10+1,1))</f>
        <v>213.5791415320935</v>
      </c>
      <c r="AO45" s="62">
        <f t="shared" si="36"/>
        <v>167.49607245443497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9.3490232124239174</v>
      </c>
      <c r="AW45" s="23">
        <f>EXP(-LN(2)/2)*AW44+(1-EXP(-LN(2)/2))/(LN(2)/2)*AQ45*AT45*VLOOKUP('Données projet'!$B$10,Paramètres!$A$1:$I$89,3,0)*0.475*44/12</f>
        <v>0.22832371781882435</v>
      </c>
      <c r="AX45" s="23">
        <f t="shared" si="6"/>
        <v>9.5773469302427419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46" s="12">
        <f t="shared" si="32"/>
        <v>6.539040511923969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205.81996184643063</v>
      </c>
      <c r="H46" s="70">
        <f t="shared" si="1"/>
        <v>339.77146222493423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4.8</v>
      </c>
      <c r="N46" s="14">
        <f>IF('Données projet'!$A$36&gt;35,N45+M46-V45,IF(A46&lt;'Données projet'!$A$36,$K$205^A46,IF(A46='Données projet'!$A$36,'Données projet'!$B$36,N45+M46-V45)))</f>
        <v>106.39999999999993</v>
      </c>
      <c r="O46" s="14">
        <f>N46*VLOOKUP('Données projet'!$B$9,Paramètres!$A$1:$I$89,3,0)*VLOOKUP('Données projet'!$B$9,Paramètres!$A$1:$I$89,5,0)</f>
        <v>86.311679999999953</v>
      </c>
      <c r="P46" s="14">
        <f t="shared" si="33"/>
        <v>23.673536308765939</v>
      </c>
      <c r="Q46" s="22">
        <f t="shared" si="53"/>
        <v>191.55758507110059</v>
      </c>
      <c r="R46" s="62">
        <f t="shared" si="0"/>
        <v>484.89091840443393</v>
      </c>
      <c r="S46" s="62">
        <f ca="1">AVERAGE(OFFSET($R$3,0,0,'Données projet'!$E$9+1,1))-AVERAGE(OFFSET($H$3,0,0,'Données projet'!$E$9+1,1))</f>
        <v>135.99759935190264</v>
      </c>
      <c r="T46" s="62">
        <f t="shared" si="34"/>
        <v>103.49526616376608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0.96426644188591049</v>
      </c>
      <c r="AB46" s="23">
        <f>EXP(-LN(2)/2)*AB45+(1-EXP(-LN(2)/2))/(LN(2)/2)*V46*Y46*VLOOKUP('Données projet'!$B$9,Paramètres!$A$1:$I$89,3,0)*0.475*44/12</f>
        <v>6.0002319267000954E-2</v>
      </c>
      <c r="AC46" s="24">
        <f t="shared" si="3"/>
        <v>1.0242687611529115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29.8</v>
      </c>
      <c r="AI46" s="14">
        <f>IF('Données projet'!$A$62&gt;35,AI45+AH46-AQ45,IF(A46&lt;'Données projet'!$A$62,$AF$205^A46,IF(A46='Données projet'!$A$62,'Données projet'!$B$62,AI45+AH46-AQ45)))</f>
        <v>467.19999999999993</v>
      </c>
      <c r="AJ46" s="14">
        <f>AI46*VLOOKUP('Données projet'!$B$10,Paramètres!$A$1:$I$89,3,0)*VLOOKUP('Données projet'!$B$10,Paramètres!$A$1:$I$89,5,0)</f>
        <v>218.64959999999999</v>
      </c>
      <c r="AK46" s="14">
        <f t="shared" si="35"/>
        <v>53.821277860805893</v>
      </c>
      <c r="AL46" s="22">
        <f t="shared" si="4"/>
        <v>474.55344560757021</v>
      </c>
      <c r="AM46" s="62">
        <f t="shared" si="5"/>
        <v>767.88677894090347</v>
      </c>
      <c r="AN46" s="62">
        <f ca="1">AVERAGE(OFFSET($AM$3,0,0,'Données projet'!$E$10+1,1))-AVERAGE(OFFSET($H$3,0,0,'Données projet'!$E$10+1,1))</f>
        <v>213.5791415320935</v>
      </c>
      <c r="AO46" s="62">
        <f t="shared" si="36"/>
        <v>167.49607245443497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9.0933736810364216</v>
      </c>
      <c r="AW46" s="23">
        <f>EXP(-LN(2)/2)*AW45+(1-EXP(-LN(2)/2))/(LN(2)/2)*AQ46*AT46*VLOOKUP('Données projet'!$B$10,Paramètres!$A$1:$I$89,3,0)*0.475*44/12</f>
        <v>0.16144924917541445</v>
      </c>
      <c r="AX46" s="23">
        <f t="shared" si="6"/>
        <v>9.2548229302118354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20.591999999999999</v>
      </c>
      <c r="D47" s="12">
        <f t="shared" si="32"/>
        <v>6.6732298779519512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210.46844116313787</v>
      </c>
      <c r="H47" s="70">
        <f t="shared" si="1"/>
        <v>340.8202753707663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4.8</v>
      </c>
      <c r="N47" s="14">
        <f>IF('Données projet'!$A$36&gt;35,N46+M47-V46,IF(A47&lt;'Données projet'!$A$36,$K$205^A47,IF(A47='Données projet'!$A$36,'Données projet'!$B$36,N46+M47-V46)))</f>
        <v>111.19999999999993</v>
      </c>
      <c r="O47" s="14">
        <f>N47*VLOOKUP('Données projet'!$B$9,Paramètres!$A$1:$I$89,3,0)*VLOOKUP('Données projet'!$B$9,Paramètres!$A$1:$I$89,5,0)</f>
        <v>90.205439999999953</v>
      </c>
      <c r="P47" s="14">
        <f t="shared" si="33"/>
        <v>24.614765598107038</v>
      </c>
      <c r="Q47" s="22">
        <f t="shared" si="53"/>
        <v>199.97852475003637</v>
      </c>
      <c r="R47" s="62">
        <f t="shared" si="0"/>
        <v>493.31185808336966</v>
      </c>
      <c r="S47" s="62">
        <f ca="1">AVERAGE(OFFSET($R$3,0,0,'Données projet'!$E$9+1,1))-AVERAGE(OFFSET($H$3,0,0,'Données projet'!$E$9+1,1))</f>
        <v>135.99759935190264</v>
      </c>
      <c r="T47" s="62">
        <f t="shared" si="34"/>
        <v>103.49526616376608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0.937898525323972</v>
      </c>
      <c r="AB47" s="23">
        <f>EXP(-LN(2)/2)*AB46+(1-EXP(-LN(2)/2))/(LN(2)/2)*V47*Y47*VLOOKUP('Données projet'!$B$9,Paramètres!$A$1:$I$89,3,0)*0.475*44/12</f>
        <v>4.2428046840616608E-2</v>
      </c>
      <c r="AC47" s="24">
        <f t="shared" si="3"/>
        <v>0.98032657216458863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497</v>
      </c>
      <c r="AG47" s="13">
        <f>VLOOKUP(A47,'Données projet'!$A$61:$I$81,9,0)</f>
        <v>29.8</v>
      </c>
      <c r="AH47" s="13">
        <f t="array" ref="AH47">INDEX(AG:AG,MIN(IF(ISNUMBER(AG47:AG243),ROW(AG47:AG243),"")))</f>
        <v>29.8</v>
      </c>
      <c r="AI47" s="14">
        <f>IF('Données projet'!$A$62&gt;35,AI46+AH47-AQ46,IF(A47&lt;'Données projet'!$A$62,$AF$205^A47,IF(A47='Données projet'!$A$62,'Données projet'!$B$62,AI46+AH47-AQ46)))</f>
        <v>496.99999999999994</v>
      </c>
      <c r="AJ47" s="14">
        <f>AI47*VLOOKUP('Données projet'!$B$10,Paramètres!$A$1:$I$89,3,0)*VLOOKUP('Données projet'!$B$10,Paramètres!$A$1:$I$89,5,0)</f>
        <v>232.59599999999995</v>
      </c>
      <c r="AK47" s="14">
        <f t="shared" si="35"/>
        <v>56.843630236302218</v>
      </c>
      <c r="AL47" s="22">
        <f t="shared" si="4"/>
        <v>504.10735599489294</v>
      </c>
      <c r="AM47" s="62">
        <f t="shared" si="5"/>
        <v>797.4406893282262</v>
      </c>
      <c r="AN47" s="62">
        <f ca="1">AVERAGE(OFFSET($AM$3,0,0,'Données projet'!$E$10+1,1))-AVERAGE(OFFSET($H$3,0,0,'Données projet'!$E$10+1,1))</f>
        <v>213.5791415320935</v>
      </c>
      <c r="AO47" s="62">
        <f t="shared" si="36"/>
        <v>167.49607245443497</v>
      </c>
      <c r="AP47" s="16">
        <f>IF(ISNA(VLOOKUP(A47,'Données projet'!$A$61:$I$81,3,0)),0,VLOOKUP(A47,'Données projet'!$A$61:$I$81,3,0))</f>
        <v>5</v>
      </c>
      <c r="AQ47" s="16">
        <f>IF(ISNA(VLOOKUP(A47,'Données projet'!$A$61:$I$81,4,0)),0,VLOOKUP(A47,'Données projet'!$A$61:$I$81,4,0))</f>
        <v>53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8.8447148995287428</v>
      </c>
      <c r="AW47" s="23">
        <f>EXP(-LN(2)/2)*AW46+(1-EXP(-LN(2)/2))/(LN(2)/2)*AQ47*AT47*VLOOKUP('Données projet'!$B$10,Paramètres!$A$1:$I$89,3,0)*0.475*44/12</f>
        <v>0.11416185890941218</v>
      </c>
      <c r="AX47" s="23">
        <f t="shared" si="6"/>
        <v>8.958876758438155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</v>
      </c>
      <c r="D48" s="12">
        <f t="shared" si="32"/>
        <v>6.8070646889944983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215.11418356416803</v>
      </c>
      <c r="H48" s="70">
        <f t="shared" si="1"/>
        <v>341.86847099999875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116</v>
      </c>
      <c r="L48" s="13">
        <f>VLOOKUP(A48,'Données projet'!$A$35:$I$55,9,0)</f>
        <v>4.8</v>
      </c>
      <c r="M48" s="13">
        <f t="array" ref="M48">INDEX(L:L,MIN(IF(ISNUMBER(L48:L244),ROW(L48:L244),"")))</f>
        <v>4.8</v>
      </c>
      <c r="N48" s="14">
        <f>IF('Données projet'!$A$36&gt;35,N47+M48-V47,IF(A48&lt;'Données projet'!$A$36,$K$205^A48,IF(A48='Données projet'!$A$36,'Données projet'!$B$36,N47+M48-V47)))</f>
        <v>115.99999999999993</v>
      </c>
      <c r="O48" s="14">
        <f>N48*VLOOKUP('Données projet'!$B$9,Paramètres!$A$1:$I$89,3,0)*VLOOKUP('Données projet'!$B$9,Paramètres!$A$1:$I$89,5,0)</f>
        <v>94.099199999999954</v>
      </c>
      <c r="P48" s="14">
        <f t="shared" si="33"/>
        <v>25.551276031514817</v>
      </c>
      <c r="Q48" s="22">
        <f t="shared" si="53"/>
        <v>208.39124575488822</v>
      </c>
      <c r="R48" s="62">
        <f t="shared" si="0"/>
        <v>501.7245790882215</v>
      </c>
      <c r="S48" s="62">
        <f ca="1">AVERAGE(OFFSET($R$3,0,0,'Données projet'!$E$9+1,1))-AVERAGE(OFFSET($H$3,0,0,'Données projet'!$E$9+1,1))</f>
        <v>135.99759935190264</v>
      </c>
      <c r="T48" s="62">
        <f t="shared" si="34"/>
        <v>103.49526616376608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11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0.91225164082704813</v>
      </c>
      <c r="AB48" s="23">
        <f>EXP(-LN(2)/2)*AB47+(1-EXP(-LN(2)/2))/(LN(2)/2)*V48*Y48*VLOOKUP('Données projet'!$B$9,Paramètres!$A$1:$I$89,3,0)*0.475*44/12</f>
        <v>3.0001159633500477E-2</v>
      </c>
      <c r="AC48" s="24">
        <f t="shared" si="3"/>
        <v>0.9422528004605486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25.333333333333332</v>
      </c>
      <c r="AI48" s="14">
        <f>IF('Données projet'!$A$62&gt;35,AI47+AH48-AQ47,IF(A48&lt;'Données projet'!$A$62,$AF$205^A48,IF(A48='Données projet'!$A$62,'Données projet'!$B$62,AI47+AH48-AQ47)))</f>
        <v>469.33333333333326</v>
      </c>
      <c r="AJ48" s="14">
        <f>AI48*VLOOKUP('Données projet'!$B$10,Paramètres!$A$1:$I$89,3,0)*VLOOKUP('Données projet'!$B$10,Paramètres!$A$1:$I$89,5,0)</f>
        <v>219.64799999999997</v>
      </c>
      <c r="AK48" s="14">
        <f t="shared" si="35"/>
        <v>54.03837313132572</v>
      </c>
      <c r="AL48" s="22">
        <f t="shared" si="4"/>
        <v>476.67043320372562</v>
      </c>
      <c r="AM48" s="62">
        <f t="shared" si="5"/>
        <v>770.00376653705894</v>
      </c>
      <c r="AN48" s="62">
        <f ca="1">AVERAGE(OFFSET($AM$3,0,0,'Données projet'!$E$10+1,1))-AVERAGE(OFFSET($H$3,0,0,'Données projet'!$E$10+1,1))</f>
        <v>213.5791415320935</v>
      </c>
      <c r="AO48" s="62">
        <f t="shared" si="36"/>
        <v>167.49607245443497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8.6028557054777881</v>
      </c>
      <c r="AW48" s="23">
        <f>EXP(-LN(2)/2)*AW47+(1-EXP(-LN(2)/2))/(LN(2)/2)*AQ48*AT48*VLOOKUP('Données projet'!$B$10,Paramètres!$A$1:$I$89,3,0)*0.475*44/12</f>
        <v>8.0724624587707225E-2</v>
      </c>
      <c r="AX48" s="23">
        <f t="shared" si="6"/>
        <v>8.6835803300654959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49" s="12">
        <f t="shared" si="32"/>
        <v>6.9405537312613585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219.75725687289471</v>
      </c>
      <c r="H49" s="70">
        <f t="shared" si="1"/>
        <v>342.91606441528018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4.5999999999999996</v>
      </c>
      <c r="N49" s="14">
        <f>IF('Données projet'!$A$36&gt;35,N48+M49-V48,IF(A49&lt;'Données projet'!$A$36,$K$205^A49,IF(A49='Données projet'!$A$36,'Données projet'!$B$36,N48+M49-V48)))</f>
        <v>109.59999999999992</v>
      </c>
      <c r="O49" s="14">
        <f>N49*VLOOKUP('Données projet'!$B$9,Paramètres!$A$1:$I$89,3,0)*VLOOKUP('Données projet'!$B$9,Paramètres!$A$1:$I$89,5,0)</f>
        <v>88.907519999999948</v>
      </c>
      <c r="P49" s="14">
        <f t="shared" si="33"/>
        <v>24.301558137766328</v>
      </c>
      <c r="Q49" s="22">
        <f t="shared" si="53"/>
        <v>197.1724777566096</v>
      </c>
      <c r="R49" s="62">
        <f t="shared" si="0"/>
        <v>490.50581108994288</v>
      </c>
      <c r="S49" s="62">
        <f ca="1">AVERAGE(OFFSET($R$3,0,0,'Données projet'!$E$9+1,1))-AVERAGE(OFFSET($H$3,0,0,'Données projet'!$E$9+1,1))</f>
        <v>135.99759935190264</v>
      </c>
      <c r="T49" s="62">
        <f t="shared" si="34"/>
        <v>103.49526616376608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0.88730607173540366</v>
      </c>
      <c r="AB49" s="23">
        <f>EXP(-LN(2)/2)*AB48+(1-EXP(-LN(2)/2))/(LN(2)/2)*V49*Y49*VLOOKUP('Données projet'!$B$9,Paramètres!$A$1:$I$89,3,0)*0.475*44/12</f>
        <v>2.1214023420308304E-2</v>
      </c>
      <c r="AC49" s="24">
        <f t="shared" si="3"/>
        <v>0.90852009515571197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25.333333333333332</v>
      </c>
      <c r="AI49" s="14">
        <f>IF('Données projet'!$A$62&gt;35,AI48+AH49-AQ48,IF(A49&lt;'Données projet'!$A$62,$AF$205^A49,IF(A49='Données projet'!$A$62,'Données projet'!$B$62,AI48+AH49-AQ48)))</f>
        <v>494.66666666666657</v>
      </c>
      <c r="AJ49" s="14">
        <f>AI49*VLOOKUP('Données projet'!$B$10,Paramètres!$A$1:$I$89,3,0)*VLOOKUP('Données projet'!$B$10,Paramètres!$A$1:$I$89,5,0)</f>
        <v>231.50399999999996</v>
      </c>
      <c r="AK49" s="14">
        <f t="shared" si="35"/>
        <v>56.607758031045634</v>
      </c>
      <c r="AL49" s="22">
        <f t="shared" si="4"/>
        <v>501.79464523740444</v>
      </c>
      <c r="AM49" s="62">
        <f t="shared" si="5"/>
        <v>795.1279785707377</v>
      </c>
      <c r="AN49" s="62">
        <f ca="1">AVERAGE(OFFSET($AM$3,0,0,'Données projet'!$E$10+1,1))-AVERAGE(OFFSET($H$3,0,0,'Données projet'!$E$10+1,1))</f>
        <v>213.5791415320935</v>
      </c>
      <c r="AO49" s="62">
        <f t="shared" si="36"/>
        <v>167.49607245443497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8.3676101638069778</v>
      </c>
      <c r="AW49" s="23">
        <f>EXP(-LN(2)/2)*AW48+(1-EXP(-LN(2)/2))/(LN(2)/2)*AQ49*AT49*VLOOKUP('Données projet'!$B$10,Paramètres!$A$1:$I$89,3,0)*0.475*44/12</f>
        <v>5.7080929454706088E-2</v>
      </c>
      <c r="AX49" s="23">
        <f t="shared" si="6"/>
        <v>8.4246910932616839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50" s="12">
        <f t="shared" si="32"/>
        <v>7.0737053871356732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224.39772579543327</v>
      </c>
      <c r="H50" s="70">
        <f t="shared" si="1"/>
        <v>343.96307021592793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4.5999999999999996</v>
      </c>
      <c r="N50" s="14">
        <f>IF('Données projet'!$A$36&gt;35,N49+M50-V49,IF(A50&lt;'Données projet'!$A$36,$K$205^A50,IF(A50='Données projet'!$A$36,'Données projet'!$B$36,N49+M50-V49)))</f>
        <v>114.19999999999992</v>
      </c>
      <c r="O50" s="14">
        <f>N50*VLOOKUP('Données projet'!$B$9,Paramètres!$A$1:$I$89,3,0)*VLOOKUP('Données projet'!$B$9,Paramètres!$A$1:$I$89,5,0)</f>
        <v>92.639039999999937</v>
      </c>
      <c r="P50" s="14">
        <f t="shared" si="33"/>
        <v>25.200623374414562</v>
      </c>
      <c r="Q50" s="22">
        <f t="shared" si="53"/>
        <v>205.23741371043857</v>
      </c>
      <c r="R50" s="62">
        <f t="shared" si="0"/>
        <v>498.57074704377192</v>
      </c>
      <c r="S50" s="62">
        <f ca="1">AVERAGE(OFFSET($R$3,0,0,'Données projet'!$E$9+1,1))-AVERAGE(OFFSET($H$3,0,0,'Données projet'!$E$9+1,1))</f>
        <v>135.99759935190264</v>
      </c>
      <c r="T50" s="62">
        <f t="shared" si="34"/>
        <v>103.49526616376608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0.86304264054240065</v>
      </c>
      <c r="AB50" s="23">
        <f>EXP(-LN(2)/2)*AB49+(1-EXP(-LN(2)/2))/(LN(2)/2)*V50*Y50*VLOOKUP('Données projet'!$B$9,Paramètres!$A$1:$I$89,3,0)*0.475*44/12</f>
        <v>1.5000579816750239E-2</v>
      </c>
      <c r="AC50" s="24">
        <f t="shared" si="3"/>
        <v>0.87804322035915094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25.333333333333332</v>
      </c>
      <c r="AI50" s="14">
        <f>IF('Données projet'!$A$62&gt;35,AI49+AH50-AQ49,IF(A50&lt;'Données projet'!$A$62,$AF$205^A50,IF(A50='Données projet'!$A$62,'Données projet'!$B$62,AI49+AH50-AQ49)))</f>
        <v>519.99999999999989</v>
      </c>
      <c r="AJ50" s="14">
        <f>AI50*VLOOKUP('Données projet'!$B$10,Paramètres!$A$1:$I$89,3,0)*VLOOKUP('Données projet'!$B$10,Paramètres!$A$1:$I$89,5,0)</f>
        <v>243.35999999999996</v>
      </c>
      <c r="AK50" s="14">
        <f t="shared" si="35"/>
        <v>59.161864860837127</v>
      </c>
      <c r="AL50" s="22">
        <f t="shared" si="4"/>
        <v>526.89224796595784</v>
      </c>
      <c r="AM50" s="62">
        <f t="shared" si="5"/>
        <v>820.22558129929121</v>
      </c>
      <c r="AN50" s="62">
        <f ca="1">AVERAGE(OFFSET($AM$3,0,0,'Données projet'!$E$10+1,1))-AVERAGE(OFFSET($H$3,0,0,'Données projet'!$E$10+1,1))</f>
        <v>213.5791415320935</v>
      </c>
      <c r="AO50" s="62">
        <f t="shared" si="36"/>
        <v>167.49607245443497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8.1387974238441814</v>
      </c>
      <c r="AW50" s="23">
        <f>EXP(-LN(2)/2)*AW49+(1-EXP(-LN(2)/2))/(LN(2)/2)*AQ50*AT50*VLOOKUP('Données projet'!$B$10,Paramètres!$A$1:$I$89,3,0)*0.475*44/12</f>
        <v>4.0362312293853612E-2</v>
      </c>
      <c r="AX50" s="23">
        <f t="shared" si="6"/>
        <v>8.1791597361380344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22.463999999999999</v>
      </c>
      <c r="D51" s="12">
        <f t="shared" si="32"/>
        <v>7.2065276619252296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229.03565212714213</v>
      </c>
      <c r="H51" s="70">
        <f t="shared" si="1"/>
        <v>345.00950234451977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4.5999999999999996</v>
      </c>
      <c r="N51" s="14">
        <f>IF('Données projet'!$A$36&gt;35,N50+M51-V50,IF(A51&lt;'Données projet'!$A$36,$K$205^A51,IF(A51='Données projet'!$A$36,'Données projet'!$B$36,N50+M51-V50)))</f>
        <v>118.79999999999991</v>
      </c>
      <c r="O51" s="14">
        <f>N51*VLOOKUP('Données projet'!$B$9,Paramètres!$A$1:$I$89,3,0)*VLOOKUP('Données projet'!$B$9,Paramètres!$A$1:$I$89,5,0)</f>
        <v>96.370559999999927</v>
      </c>
      <c r="P51" s="14">
        <f t="shared" si="33"/>
        <v>26.09548190427931</v>
      </c>
      <c r="Q51" s="22">
        <f t="shared" si="53"/>
        <v>213.29502298328632</v>
      </c>
      <c r="R51" s="62">
        <f t="shared" si="0"/>
        <v>506.6283563166196</v>
      </c>
      <c r="S51" s="62">
        <f ca="1">AVERAGE(OFFSET($R$3,0,0,'Données projet'!$E$9+1,1))-AVERAGE(OFFSET($H$3,0,0,'Données projet'!$E$9+1,1))</f>
        <v>135.99759935190264</v>
      </c>
      <c r="T51" s="62">
        <f t="shared" si="34"/>
        <v>103.49526616376608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0.83944269415132877</v>
      </c>
      <c r="AB51" s="23">
        <f>EXP(-LN(2)/2)*AB50+(1-EXP(-LN(2)/2))/(LN(2)/2)*V51*Y51*VLOOKUP('Données projet'!$B$9,Paramètres!$A$1:$I$89,3,0)*0.475*44/12</f>
        <v>1.0607011710154152E-2</v>
      </c>
      <c r="AC51" s="24">
        <f t="shared" si="3"/>
        <v>0.85004970586148287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25.333333333333332</v>
      </c>
      <c r="AI51" s="14">
        <f>IF('Données projet'!$A$62&gt;35,AI50+AH51-AQ50,IF(A51&lt;'Données projet'!$A$62,$AF$205^A51,IF(A51='Données projet'!$A$62,'Données projet'!$B$62,AI50+AH51-AQ50)))</f>
        <v>545.33333333333326</v>
      </c>
      <c r="AJ51" s="14">
        <f>AI51*VLOOKUP('Données projet'!$B$10,Paramètres!$A$1:$I$89,3,0)*VLOOKUP('Données projet'!$B$10,Paramètres!$A$1:$I$89,5,0)</f>
        <v>255.21599999999995</v>
      </c>
      <c r="AK51" s="14">
        <f t="shared" si="35"/>
        <v>61.701522895151371</v>
      </c>
      <c r="AL51" s="22">
        <f t="shared" si="4"/>
        <v>551.96468570905517</v>
      </c>
      <c r="AM51" s="62">
        <f t="shared" si="5"/>
        <v>845.29801904238843</v>
      </c>
      <c r="AN51" s="62">
        <f ca="1">AVERAGE(OFFSET($AM$3,0,0,'Données projet'!$E$10+1,1))-AVERAGE(OFFSET($H$3,0,0,'Données projet'!$E$10+1,1))</f>
        <v>213.5791415320935</v>
      </c>
      <c r="AO51" s="62">
        <f t="shared" si="36"/>
        <v>167.49607245443497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7.916241580288407</v>
      </c>
      <c r="AW51" s="23">
        <f>EXP(-LN(2)/2)*AW50+(1-EXP(-LN(2)/2))/(LN(2)/2)*AQ51*AT51*VLOOKUP('Données projet'!$B$10,Paramètres!$A$1:$I$89,3,0)*0.475*44/12</f>
        <v>2.8540464727353044E-2</v>
      </c>
      <c r="AX51" s="23">
        <f t="shared" si="6"/>
        <v>7.94478204501576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22.931999999999999</v>
      </c>
      <c r="D52" s="12">
        <f t="shared" si="32"/>
        <v>7.3390282083215084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233.67109494142917</v>
      </c>
      <c r="H52" s="70">
        <f t="shared" si="1"/>
        <v>346.05537412949326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4.5999999999999996</v>
      </c>
      <c r="N52" s="14">
        <f>IF('Données projet'!$A$36&gt;35,N51+M52-V51,IF(A52&lt;'Données projet'!$A$36,$K$205^A52,IF(A52='Données projet'!$A$36,'Données projet'!$B$36,N51+M52-V51)))</f>
        <v>123.39999999999991</v>
      </c>
      <c r="O52" s="14">
        <f>N52*VLOOKUP('Données projet'!$B$9,Paramètres!$A$1:$I$89,3,0)*VLOOKUP('Données projet'!$B$9,Paramètres!$A$1:$I$89,5,0)</f>
        <v>100.10207999999993</v>
      </c>
      <c r="P52" s="14">
        <f t="shared" si="33"/>
        <v>26.986315256436281</v>
      </c>
      <c r="Q52" s="22">
        <f t="shared" si="53"/>
        <v>221.34562173829306</v>
      </c>
      <c r="R52" s="62">
        <f t="shared" si="0"/>
        <v>514.67895507162643</v>
      </c>
      <c r="S52" s="62">
        <f ca="1">AVERAGE(OFFSET($R$3,0,0,'Données projet'!$E$9+1,1))-AVERAGE(OFFSET($H$3,0,0,'Données projet'!$E$9+1,1))</f>
        <v>135.99759935190264</v>
      </c>
      <c r="T52" s="62">
        <f t="shared" si="34"/>
        <v>103.49526616376608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0.81648808953538798</v>
      </c>
      <c r="AB52" s="23">
        <f>EXP(-LN(2)/2)*AB51+(1-EXP(-LN(2)/2))/(LN(2)/2)*V52*Y52*VLOOKUP('Données projet'!$B$9,Paramètres!$A$1:$I$89,3,0)*0.475*44/12</f>
        <v>7.5002899083751193E-3</v>
      </c>
      <c r="AC52" s="24">
        <f t="shared" si="3"/>
        <v>0.82398837944376313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25.333333333333332</v>
      </c>
      <c r="AI52" s="14">
        <f>IF('Données projet'!$A$62&gt;35,AI51+AH52-AQ51,IF(A52&lt;'Données projet'!$A$62,$AF$205^A52,IF(A52='Données projet'!$A$62,'Données projet'!$B$62,AI51+AH52-AQ51)))</f>
        <v>570.66666666666663</v>
      </c>
      <c r="AJ52" s="14">
        <f>AI52*VLOOKUP('Données projet'!$B$10,Paramètres!$A$1:$I$89,3,0)*VLOOKUP('Données projet'!$B$10,Paramètres!$A$1:$I$89,5,0)</f>
        <v>267.07199999999995</v>
      </c>
      <c r="AK52" s="14">
        <f t="shared" si="35"/>
        <v>64.227480006516572</v>
      </c>
      <c r="AL52" s="22">
        <f t="shared" si="4"/>
        <v>577.01326101134964</v>
      </c>
      <c r="AM52" s="62">
        <f t="shared" si="5"/>
        <v>870.3465943446829</v>
      </c>
      <c r="AN52" s="62">
        <f ca="1">AVERAGE(OFFSET($AM$3,0,0,'Données projet'!$E$10+1,1))-AVERAGE(OFFSET($H$3,0,0,'Données projet'!$E$10+1,1))</f>
        <v>213.5791415320935</v>
      </c>
      <c r="AO52" s="62">
        <f t="shared" si="36"/>
        <v>167.49607245443497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7.6997715379783687</v>
      </c>
      <c r="AW52" s="23">
        <f>EXP(-LN(2)/2)*AW51+(1-EXP(-LN(2)/2))/(LN(2)/2)*AQ52*AT52*VLOOKUP('Données projet'!$B$10,Paramètres!$A$1:$I$89,3,0)*0.475*44/12</f>
        <v>2.0181156146926806E-2</v>
      </c>
      <c r="AX52" s="23">
        <f t="shared" si="6"/>
        <v>7.7199526941252952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</v>
      </c>
      <c r="D53" s="12">
        <f t="shared" si="32"/>
        <v>7.4712143488056828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238.30411076271048</v>
      </c>
      <c r="H53" s="70">
        <f t="shared" si="1"/>
        <v>347.10069832416985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128</v>
      </c>
      <c r="L53" s="13">
        <f>VLOOKUP(A53,'Données projet'!$A$35:$I$55,9,0)</f>
        <v>4.5999999999999996</v>
      </c>
      <c r="M53" s="13">
        <f t="array" ref="M53">INDEX(L:L,MIN(IF(ISNUMBER(L53:L249),ROW(L53:L249),"")))</f>
        <v>4.5999999999999996</v>
      </c>
      <c r="N53" s="14">
        <f>IF('Données projet'!$A$36&gt;35,N52+M53-V52,IF(A53&lt;'Données projet'!$A$36,$K$205^A53,IF(A53='Données projet'!$A$36,'Données projet'!$B$36,N52+M53-V52)))</f>
        <v>127.9999999999999</v>
      </c>
      <c r="O53" s="14">
        <f>N53*VLOOKUP('Données projet'!$B$9,Paramètres!$A$1:$I$89,3,0)*VLOOKUP('Données projet'!$B$9,Paramètres!$A$1:$I$89,5,0)</f>
        <v>103.83359999999992</v>
      </c>
      <c r="P53" s="14">
        <f t="shared" si="33"/>
        <v>27.873290659436186</v>
      </c>
      <c r="Q53" s="22">
        <f t="shared" si="53"/>
        <v>229.38950123185123</v>
      </c>
      <c r="R53" s="62">
        <f t="shared" si="0"/>
        <v>522.72283456518448</v>
      </c>
      <c r="S53" s="62">
        <f ca="1">AVERAGE(OFFSET($R$3,0,0,'Données projet'!$E$9+1,1))-AVERAGE(OFFSET($H$3,0,0,'Données projet'!$E$9+1,1))</f>
        <v>135.99759935190264</v>
      </c>
      <c r="T53" s="62">
        <f t="shared" si="34"/>
        <v>103.49526616376608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11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0.79416117978980028</v>
      </c>
      <c r="AB53" s="23">
        <f>EXP(-LN(2)/2)*AB52+(1-EXP(-LN(2)/2))/(LN(2)/2)*V53*Y53*VLOOKUP('Données projet'!$B$9,Paramètres!$A$1:$I$89,3,0)*0.475*44/12</f>
        <v>5.303505855077076E-3</v>
      </c>
      <c r="AC53" s="24">
        <f t="shared" si="3"/>
        <v>0.79946468564487738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596</v>
      </c>
      <c r="AG53" s="13">
        <f>VLOOKUP(A53,'Données projet'!$A$61:$I$81,9,0)</f>
        <v>25.333333333333332</v>
      </c>
      <c r="AH53" s="13">
        <f t="array" ref="AH53">INDEX(AG:AG,MIN(IF(ISNUMBER(AG53:AG249),ROW(AG53:AG249),"")))</f>
        <v>25.333333333333332</v>
      </c>
      <c r="AI53" s="14">
        <f>IF('Données projet'!$A$62&gt;35,AI52+AH53-AQ52,IF(A53&lt;'Données projet'!$A$62,$AF$205^A53,IF(A53='Données projet'!$A$62,'Données projet'!$B$62,AI52+AH53-AQ52)))</f>
        <v>596</v>
      </c>
      <c r="AJ53" s="14">
        <f>AI53*VLOOKUP('Données projet'!$B$10,Paramètres!$A$1:$I$89,3,0)*VLOOKUP('Données projet'!$B$10,Paramètres!$A$1:$I$89,5,0)</f>
        <v>278.928</v>
      </c>
      <c r="AK53" s="14">
        <f t="shared" si="35"/>
        <v>66.740413913415367</v>
      </c>
      <c r="AL53" s="22">
        <f t="shared" si="4"/>
        <v>602.0391542325317</v>
      </c>
      <c r="AM53" s="62">
        <f t="shared" si="5"/>
        <v>895.37248756586496</v>
      </c>
      <c r="AN53" s="62">
        <f ca="1">AVERAGE(OFFSET($AM$3,0,0,'Données projet'!$E$10+1,1))-AVERAGE(OFFSET($H$3,0,0,'Données projet'!$E$10+1,1))</f>
        <v>213.5791415320935</v>
      </c>
      <c r="AO53" s="62">
        <f t="shared" si="36"/>
        <v>167.49607245443497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55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7.4892208803589631</v>
      </c>
      <c r="AW53" s="23">
        <f>EXP(-LN(2)/2)*AW52+(1-EXP(-LN(2)/2))/(LN(2)/2)*AQ53*AT53*VLOOKUP('Données projet'!$B$10,Paramètres!$A$1:$I$89,3,0)*0.475*44/12</f>
        <v>1.4270232363676522E-2</v>
      </c>
      <c r="AX53" s="23">
        <f t="shared" si="6"/>
        <v>7.5034911127226396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23.867999999999999</v>
      </c>
      <c r="D54" s="12">
        <f t="shared" si="32"/>
        <v>7.6030930962115368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242.93475372514169</v>
      </c>
      <c r="H54" s="70">
        <f t="shared" si="1"/>
        <v>348.14548714256841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4.4000000000000004</v>
      </c>
      <c r="N54" s="14">
        <f>IF('Données projet'!$A$36&gt;35,N53+M54-V53,IF(A54&lt;'Données projet'!$A$36,$K$205^A54,IF(A54='Données projet'!$A$36,'Données projet'!$B$36,N53+M54-V53)))</f>
        <v>121.39999999999989</v>
      </c>
      <c r="O54" s="14">
        <f>N54*VLOOKUP('Données projet'!$B$9,Paramètres!$A$1:$I$89,3,0)*VLOOKUP('Données projet'!$B$9,Paramètres!$A$1:$I$89,5,0)</f>
        <v>98.479679999999917</v>
      </c>
      <c r="P54" s="14">
        <f t="shared" si="33"/>
        <v>26.599479965290179</v>
      </c>
      <c r="Q54" s="22">
        <f t="shared" si="53"/>
        <v>217.84620360621361</v>
      </c>
      <c r="R54" s="62">
        <f t="shared" si="0"/>
        <v>511.17953693954689</v>
      </c>
      <c r="S54" s="62">
        <f ca="1">AVERAGE(OFFSET($R$3,0,0,'Données projet'!$E$9+1,1))-AVERAGE(OFFSET($H$3,0,0,'Données projet'!$E$9+1,1))</f>
        <v>135.99759935190264</v>
      </c>
      <c r="T54" s="62">
        <f t="shared" si="34"/>
        <v>103.49526616376608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0.77244480056532683</v>
      </c>
      <c r="AB54" s="23">
        <f>EXP(-LN(2)/2)*AB53+(1-EXP(-LN(2)/2))/(LN(2)/2)*V54*Y54*VLOOKUP('Données projet'!$B$9,Paramètres!$A$1:$I$89,3,0)*0.475*44/12</f>
        <v>3.7501449541875597E-3</v>
      </c>
      <c r="AC54" s="24">
        <f t="shared" si="3"/>
        <v>0.7761949455195144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20.166666666666668</v>
      </c>
      <c r="AI54" s="14">
        <f>IF('Données projet'!$A$62&gt;35,AI53+AH54-AQ53,IF(A54&lt;'Données projet'!$A$62,$AF$205^A54,IF(A54='Données projet'!$A$62,'Données projet'!$B$62,AI53+AH54-AQ53)))</f>
        <v>561.16666666666663</v>
      </c>
      <c r="AJ54" s="14">
        <f>AI54*VLOOKUP('Données projet'!$B$10,Paramètres!$A$1:$I$89,3,0)*VLOOKUP('Données projet'!$B$10,Paramètres!$A$1:$I$89,5,0)</f>
        <v>262.62599999999998</v>
      </c>
      <c r="AK54" s="14">
        <f t="shared" si="35"/>
        <v>63.281807230823453</v>
      </c>
      <c r="AL54" s="22">
        <f t="shared" si="4"/>
        <v>567.62276426035078</v>
      </c>
      <c r="AM54" s="62">
        <f t="shared" si="5"/>
        <v>860.95609759368404</v>
      </c>
      <c r="AN54" s="62">
        <f ca="1">AVERAGE(OFFSET($AM$3,0,0,'Données projet'!$E$10+1,1))-AVERAGE(OFFSET($H$3,0,0,'Données projet'!$E$10+1,1))</f>
        <v>213.5791415320935</v>
      </c>
      <c r="AO54" s="62">
        <f t="shared" si="36"/>
        <v>167.49607245443497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7.2844277415445378</v>
      </c>
      <c r="AW54" s="23">
        <f>EXP(-LN(2)/2)*AW53+(1-EXP(-LN(2)/2))/(LN(2)/2)*AQ54*AT54*VLOOKUP('Données projet'!$B$10,Paramètres!$A$1:$I$89,3,0)*0.475*44/12</f>
        <v>1.0090578073463403E-2</v>
      </c>
      <c r="AX54" s="23">
        <f t="shared" si="6"/>
        <v>7.2945183196180015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24.335999999999999</v>
      </c>
      <c r="D55" s="12">
        <f t="shared" si="32"/>
        <v>7.7346711726299766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247.56307571854714</v>
      </c>
      <c r="H55" s="70">
        <f t="shared" si="1"/>
        <v>349.18975229233052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4.4000000000000004</v>
      </c>
      <c r="N55" s="14">
        <f>IF('Données projet'!$A$36&gt;35,N54+M55-V54,IF(A55&lt;'Données projet'!$A$36,$K$205^A55,IF(A55='Données projet'!$A$36,'Données projet'!$B$36,N54+M55-V54)))</f>
        <v>125.7999999999999</v>
      </c>
      <c r="O55" s="14">
        <f>N55*VLOOKUP('Données projet'!$B$9,Paramètres!$A$1:$I$89,3,0)*VLOOKUP('Données projet'!$B$9,Paramètres!$A$1:$I$89,5,0)</f>
        <v>102.04895999999994</v>
      </c>
      <c r="P55" s="14">
        <f t="shared" si="33"/>
        <v>27.44955630464851</v>
      </c>
      <c r="Q55" s="22">
        <f t="shared" si="53"/>
        <v>225.54324923059599</v>
      </c>
      <c r="R55" s="62">
        <f t="shared" si="0"/>
        <v>518.87658256392933</v>
      </c>
      <c r="S55" s="62">
        <f ca="1">AVERAGE(OFFSET($R$3,0,0,'Données projet'!$E$9+1,1))-AVERAGE(OFFSET($H$3,0,0,'Données projet'!$E$9+1,1))</f>
        <v>135.99759935190264</v>
      </c>
      <c r="T55" s="62">
        <f t="shared" si="34"/>
        <v>103.49526616376608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0.75132225687276133</v>
      </c>
      <c r="AB55" s="23">
        <f>EXP(-LN(2)/2)*AB54+(1-EXP(-LN(2)/2))/(LN(2)/2)*V55*Y55*VLOOKUP('Données projet'!$B$9,Paramètres!$A$1:$I$89,3,0)*0.475*44/12</f>
        <v>2.651752927538538E-3</v>
      </c>
      <c r="AC55" s="24">
        <f t="shared" si="3"/>
        <v>0.75397400980029983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20.166666666666668</v>
      </c>
      <c r="AI55" s="14">
        <f>IF('Données projet'!$A$62&gt;35,AI54+AH55-AQ54,IF(A55&lt;'Données projet'!$A$62,$AF$205^A55,IF(A55='Données projet'!$A$62,'Données projet'!$B$62,AI54+AH55-AQ54)))</f>
        <v>581.33333333333326</v>
      </c>
      <c r="AJ55" s="14">
        <f>AI55*VLOOKUP('Données projet'!$B$10,Paramètres!$A$1:$I$89,3,0)*VLOOKUP('Données projet'!$B$10,Paramètres!$A$1:$I$89,5,0)</f>
        <v>272.06399999999996</v>
      </c>
      <c r="AK55" s="14">
        <f t="shared" si="35"/>
        <v>65.287107848113664</v>
      </c>
      <c r="AL55" s="22">
        <f t="shared" si="4"/>
        <v>587.55317950213123</v>
      </c>
      <c r="AM55" s="62">
        <f t="shared" si="5"/>
        <v>880.8865128354646</v>
      </c>
      <c r="AN55" s="62">
        <f ca="1">AVERAGE(OFFSET($AM$3,0,0,'Données projet'!$E$10+1,1))-AVERAGE(OFFSET($H$3,0,0,'Données projet'!$E$10+1,1))</f>
        <v>213.5791415320935</v>
      </c>
      <c r="AO55" s="62">
        <f t="shared" si="36"/>
        <v>167.49607245443497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7.0852346818805962</v>
      </c>
      <c r="AW55" s="23">
        <f>EXP(-LN(2)/2)*AW54+(1-EXP(-LN(2)/2))/(LN(2)/2)*AQ55*AT55*VLOOKUP('Données projet'!$B$10,Paramètres!$A$1:$I$89,3,0)*0.475*44/12</f>
        <v>7.135116181838261E-3</v>
      </c>
      <c r="AX55" s="23">
        <f t="shared" si="6"/>
        <v>7.0923697980624345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24.803999999999998</v>
      </c>
      <c r="D56" s="12">
        <f t="shared" si="32"/>
        <v>7.8659550268183116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252.18912652280798</v>
      </c>
      <c r="H56" s="70">
        <f t="shared" si="1"/>
        <v>350.23350500504188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4.4000000000000004</v>
      </c>
      <c r="N56" s="14">
        <f>IF('Données projet'!$A$36&gt;35,N55+M56-V55,IF(A56&lt;'Données projet'!$A$36,$K$205^A56,IF(A56='Données projet'!$A$36,'Données projet'!$B$36,N55+M56-V55)))</f>
        <v>130.1999999999999</v>
      </c>
      <c r="O56" s="14">
        <f>N56*VLOOKUP('Données projet'!$B$9,Paramètres!$A$1:$I$89,3,0)*VLOOKUP('Données projet'!$B$9,Paramètres!$A$1:$I$89,5,0)</f>
        <v>105.61823999999993</v>
      </c>
      <c r="P56" s="14">
        <f t="shared" si="33"/>
        <v>28.296178084029037</v>
      </c>
      <c r="Q56" s="22">
        <f t="shared" si="53"/>
        <v>233.23427816301714</v>
      </c>
      <c r="R56" s="62">
        <f t="shared" si="0"/>
        <v>526.56761149635042</v>
      </c>
      <c r="S56" s="62">
        <f ca="1">AVERAGE(OFFSET($R$3,0,0,'Données projet'!$E$9+1,1))-AVERAGE(OFFSET($H$3,0,0,'Données projet'!$E$9+1,1))</f>
        <v>135.99759935190264</v>
      </c>
      <c r="T56" s="62">
        <f t="shared" si="34"/>
        <v>103.49526616376608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0.73077731024825532</v>
      </c>
      <c r="AB56" s="23">
        <f>EXP(-LN(2)/2)*AB55+(1-EXP(-LN(2)/2))/(LN(2)/2)*V56*Y56*VLOOKUP('Données projet'!$B$9,Paramètres!$A$1:$I$89,3,0)*0.475*44/12</f>
        <v>1.8750724770937798E-3</v>
      </c>
      <c r="AC56" s="24">
        <f t="shared" si="3"/>
        <v>0.73265238272534905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20.166666666666668</v>
      </c>
      <c r="AI56" s="14">
        <f>IF('Données projet'!$A$62&gt;35,AI55+AH56-AQ55,IF(A56&lt;'Données projet'!$A$62,$AF$205^A56,IF(A56='Données projet'!$A$62,'Données projet'!$B$62,AI55+AH56-AQ55)))</f>
        <v>601.49999999999989</v>
      </c>
      <c r="AJ56" s="14">
        <f>AI56*VLOOKUP('Données projet'!$B$10,Paramètres!$A$1:$I$89,3,0)*VLOOKUP('Données projet'!$B$10,Paramètres!$A$1:$I$89,5,0)</f>
        <v>281.50199999999995</v>
      </c>
      <c r="AK56" s="14">
        <f t="shared" si="35"/>
        <v>67.28432575810065</v>
      </c>
      <c r="AL56" s="22">
        <f t="shared" si="4"/>
        <v>607.46951736202516</v>
      </c>
      <c r="AM56" s="62">
        <f t="shared" si="5"/>
        <v>900.80285069535853</v>
      </c>
      <c r="AN56" s="62">
        <f ca="1">AVERAGE(OFFSET($AM$3,0,0,'Données projet'!$E$10+1,1))-AVERAGE(OFFSET($H$3,0,0,'Données projet'!$E$10+1,1))</f>
        <v>213.5791415320935</v>
      </c>
      <c r="AO56" s="62">
        <f t="shared" si="36"/>
        <v>167.49607245443497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6.8914885669082731</v>
      </c>
      <c r="AW56" s="23">
        <f>EXP(-LN(2)/2)*AW55+(1-EXP(-LN(2)/2))/(LN(2)/2)*AQ56*AT56*VLOOKUP('Données projet'!$B$10,Paramètres!$A$1:$I$89,3,0)*0.475*44/12</f>
        <v>5.0452890367317016E-3</v>
      </c>
      <c r="AX56" s="23">
        <f t="shared" si="6"/>
        <v>6.8965338559450045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25.271999999999998</v>
      </c>
      <c r="D57" s="12">
        <f t="shared" si="32"/>
        <v>7.996950850258413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256.81295393181932</v>
      </c>
      <c r="H57" s="70">
        <f t="shared" si="1"/>
        <v>351.27675606420007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4.4000000000000004</v>
      </c>
      <c r="N57" s="14">
        <f>IF('Données projet'!$A$36&gt;35,N56+M57-V56,IF(A57&lt;'Données projet'!$A$36,$K$205^A57,IF(A57='Données projet'!$A$36,'Données projet'!$B$36,N56+M57-V56)))</f>
        <v>134.59999999999991</v>
      </c>
      <c r="O57" s="14">
        <f>N57*VLOOKUP('Données projet'!$B$9,Paramètres!$A$1:$I$89,3,0)*VLOOKUP('Données projet'!$B$9,Paramètres!$A$1:$I$89,5,0)</f>
        <v>109.18751999999995</v>
      </c>
      <c r="P57" s="14">
        <f t="shared" si="33"/>
        <v>29.139475430705875</v>
      </c>
      <c r="Q57" s="22">
        <f t="shared" si="53"/>
        <v>240.91951704181267</v>
      </c>
      <c r="R57" s="62">
        <f t="shared" si="0"/>
        <v>534.25285037514595</v>
      </c>
      <c r="S57" s="62">
        <f ca="1">AVERAGE(OFFSET($R$3,0,0,'Données projet'!$E$9+1,1))-AVERAGE(OFFSET($H$3,0,0,'Données projet'!$E$9+1,1))</f>
        <v>135.99759935190264</v>
      </c>
      <c r="T57" s="62">
        <f t="shared" si="34"/>
        <v>103.49526616376608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0.71079416626960823</v>
      </c>
      <c r="AB57" s="23">
        <f>EXP(-LN(2)/2)*AB56+(1-EXP(-LN(2)/2))/(LN(2)/2)*V57*Y57*VLOOKUP('Données projet'!$B$9,Paramètres!$A$1:$I$89,3,0)*0.475*44/12</f>
        <v>1.325876463769269E-3</v>
      </c>
      <c r="AC57" s="24">
        <f t="shared" si="3"/>
        <v>0.71212004273337748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20.166666666666668</v>
      </c>
      <c r="AI57" s="14">
        <f>IF('Données projet'!$A$62&gt;35,AI56+AH57-AQ56,IF(A57&lt;'Données projet'!$A$62,$AF$205^A57,IF(A57='Données projet'!$A$62,'Données projet'!$B$62,AI56+AH57-AQ56)))</f>
        <v>621.66666666666652</v>
      </c>
      <c r="AJ57" s="14">
        <f>AI57*VLOOKUP('Données projet'!$B$10,Paramètres!$A$1:$I$89,3,0)*VLOOKUP('Données projet'!$B$10,Paramètres!$A$1:$I$89,5,0)</f>
        <v>290.93999999999994</v>
      </c>
      <c r="AK57" s="14">
        <f t="shared" si="35"/>
        <v>69.27376302085473</v>
      </c>
      <c r="AL57" s="22">
        <f t="shared" si="4"/>
        <v>627.37230392798858</v>
      </c>
      <c r="AM57" s="62">
        <f t="shared" si="5"/>
        <v>920.70563726132195</v>
      </c>
      <c r="AN57" s="62">
        <f ca="1">AVERAGE(OFFSET($AM$3,0,0,'Données projet'!$E$10+1,1))-AVERAGE(OFFSET($H$3,0,0,'Données projet'!$E$10+1,1))</f>
        <v>213.5791415320935</v>
      </c>
      <c r="AO57" s="62">
        <f t="shared" si="36"/>
        <v>167.49607245443497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6.7030404496385332</v>
      </c>
      <c r="AW57" s="23">
        <f>EXP(-LN(2)/2)*AW56+(1-EXP(-LN(2)/2))/(LN(2)/2)*AQ57*AT57*VLOOKUP('Données projet'!$B$10,Paramètres!$A$1:$I$89,3,0)*0.475*44/12</f>
        <v>3.5675580909191305E-3</v>
      </c>
      <c r="AX57" s="23">
        <f t="shared" si="6"/>
        <v>6.7066080077294519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25.74</v>
      </c>
      <c r="D58" s="12">
        <f t="shared" si="32"/>
        <v>8.1276645919917723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261.43460386800666</v>
      </c>
      <c r="H58" s="70">
        <f t="shared" si="1"/>
        <v>352.31951583105229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139</v>
      </c>
      <c r="L58" s="13">
        <f>VLOOKUP(A58,'Données projet'!$A$35:$I$55,9,0)</f>
        <v>4.4000000000000004</v>
      </c>
      <c r="M58" s="13">
        <f t="array" ref="M58">INDEX(L:L,MIN(IF(ISNUMBER(L58:L254),ROW(L58:L254),"")))</f>
        <v>4.4000000000000004</v>
      </c>
      <c r="N58" s="14">
        <f>IF('Données projet'!$A$36&gt;35,N57+M58-V57,IF(A58&lt;'Données projet'!$A$36,$K$205^A58,IF(A58='Données projet'!$A$36,'Données projet'!$B$36,N57+M58-V57)))</f>
        <v>138.99999999999991</v>
      </c>
      <c r="O58" s="14">
        <f>N58*VLOOKUP('Données projet'!$B$9,Paramètres!$A$1:$I$89,3,0)*VLOOKUP('Données projet'!$B$9,Paramètres!$A$1:$I$89,5,0)</f>
        <v>112.75679999999994</v>
      </c>
      <c r="P58" s="14">
        <f t="shared" si="33"/>
        <v>29.979569481474449</v>
      </c>
      <c r="Q58" s="22">
        <f t="shared" si="53"/>
        <v>248.5991768469012</v>
      </c>
      <c r="R58" s="62">
        <f t="shared" si="0"/>
        <v>541.93251018023454</v>
      </c>
      <c r="S58" s="62">
        <f ca="1">AVERAGE(OFFSET($R$3,0,0,'Données projet'!$E$9+1,1))-AVERAGE(OFFSET($H$3,0,0,'Données projet'!$E$9+1,1))</f>
        <v>135.99759935190264</v>
      </c>
      <c r="T58" s="62">
        <f t="shared" si="34"/>
        <v>103.49526616376608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11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0.69135746241392515</v>
      </c>
      <c r="AB58" s="23">
        <f>EXP(-LN(2)/2)*AB57+(1-EXP(-LN(2)/2))/(LN(2)/2)*V58*Y58*VLOOKUP('Données projet'!$B$9,Paramètres!$A$1:$I$89,3,0)*0.475*44/12</f>
        <v>9.3753623854688991E-4</v>
      </c>
      <c r="AC58" s="24">
        <f t="shared" si="3"/>
        <v>0.69229499865247202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20.166666666666668</v>
      </c>
      <c r="AI58" s="14">
        <f>IF('Données projet'!$A$62&gt;35,AI57+AH58-AQ57,IF(A58&lt;'Données projet'!$A$62,$AF$205^A58,IF(A58='Données projet'!$A$62,'Données projet'!$B$62,AI57+AH58-AQ57)))</f>
        <v>641.83333333333314</v>
      </c>
      <c r="AJ58" s="14">
        <f>AI58*VLOOKUP('Données projet'!$B$10,Paramètres!$A$1:$I$89,3,0)*VLOOKUP('Données projet'!$B$10,Paramètres!$A$1:$I$89,5,0)</f>
        <v>300.37799999999993</v>
      </c>
      <c r="AK58" s="14">
        <f t="shared" si="35"/>
        <v>71.255700986480306</v>
      </c>
      <c r="AL58" s="22">
        <f t="shared" si="4"/>
        <v>647.26202921811966</v>
      </c>
      <c r="AM58" s="62">
        <f t="shared" si="5"/>
        <v>940.59536255145304</v>
      </c>
      <c r="AN58" s="62">
        <f ca="1">AVERAGE(OFFSET($AM$3,0,0,'Données projet'!$E$10+1,1))-AVERAGE(OFFSET($H$3,0,0,'Données projet'!$E$10+1,1))</f>
        <v>213.5791415320935</v>
      </c>
      <c r="AO58" s="62">
        <f t="shared" si="36"/>
        <v>167.49607245443497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6.5197454560455901</v>
      </c>
      <c r="AW58" s="23">
        <f>EXP(-LN(2)/2)*AW57+(1-EXP(-LN(2)/2))/(LN(2)/2)*AQ58*AT58*VLOOKUP('Données projet'!$B$10,Paramètres!$A$1:$I$89,3,0)*0.475*44/12</f>
        <v>2.5226445183658508E-3</v>
      </c>
      <c r="AX58" s="23">
        <f t="shared" si="6"/>
        <v>6.5222681005639558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26.207999999999998</v>
      </c>
      <c r="D59" s="12">
        <f t="shared" si="32"/>
        <v>8.2581019723450986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266.05412048827799</v>
      </c>
      <c r="H59" s="70">
        <f t="shared" si="1"/>
        <v>353.361794268501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4.2</v>
      </c>
      <c r="N59" s="14">
        <f>IF('Données projet'!$A$36&gt;35,N58+M59-V58,IF(A59&lt;'Données projet'!$A$36,$K$205^A59,IF(A59='Données projet'!$A$36,'Données projet'!$B$36,N58+M59-V58)))</f>
        <v>132.1999999999999</v>
      </c>
      <c r="O59" s="14">
        <f>N59*VLOOKUP('Données projet'!$B$9,Paramètres!$A$1:$I$89,3,0)*VLOOKUP('Données projet'!$B$9,Paramètres!$A$1:$I$89,5,0)</f>
        <v>107.24063999999994</v>
      </c>
      <c r="P59" s="14">
        <f t="shared" si="33"/>
        <v>28.679899700503576</v>
      </c>
      <c r="Q59" s="22">
        <f t="shared" si="53"/>
        <v>236.7282733117103</v>
      </c>
      <c r="R59" s="62">
        <f t="shared" si="0"/>
        <v>530.06160664504364</v>
      </c>
      <c r="S59" s="62">
        <f ca="1">AVERAGE(OFFSET($R$3,0,0,'Données projet'!$E$9+1,1))-AVERAGE(OFFSET($H$3,0,0,'Données projet'!$E$9+1,1))</f>
        <v>135.99759935190264</v>
      </c>
      <c r="T59" s="62">
        <f t="shared" si="34"/>
        <v>103.49526616376608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0.67245225624730753</v>
      </c>
      <c r="AB59" s="23">
        <f>EXP(-LN(2)/2)*AB58+(1-EXP(-LN(2)/2))/(LN(2)/2)*V59*Y59*VLOOKUP('Données projet'!$B$9,Paramètres!$A$1:$I$89,3,0)*0.475*44/12</f>
        <v>6.629382318846345E-4</v>
      </c>
      <c r="AC59" s="24">
        <f t="shared" si="3"/>
        <v>0.67311519447919221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662</v>
      </c>
      <c r="AG59" s="13">
        <f>VLOOKUP(A59,'Données projet'!$A$61:$I$81,9,0)</f>
        <v>20.166666666666668</v>
      </c>
      <c r="AH59" s="13">
        <f t="array" ref="AH59">INDEX(AG:AG,MIN(IF(ISNUMBER(AG59:AG255),ROW(AG59:AG255),"")))</f>
        <v>20.166666666666668</v>
      </c>
      <c r="AI59" s="14">
        <f>IF('Données projet'!$A$62&gt;35,AI58+AH59-AQ58,IF(A59&lt;'Données projet'!$A$62,$AF$205^A59,IF(A59='Données projet'!$A$62,'Données projet'!$B$62,AI58+AH59-AQ58)))</f>
        <v>661.99999999999977</v>
      </c>
      <c r="AJ59" s="14">
        <f>AI59*VLOOKUP('Données projet'!$B$10,Paramètres!$A$1:$I$89,3,0)*VLOOKUP('Données projet'!$B$10,Paramètres!$A$1:$I$89,5,0)</f>
        <v>309.81599999999992</v>
      </c>
      <c r="AK59" s="14">
        <f t="shared" si="35"/>
        <v>73.230402320660119</v>
      </c>
      <c r="AL59" s="22">
        <f t="shared" si="4"/>
        <v>667.13915070848282</v>
      </c>
      <c r="AM59" s="62">
        <f t="shared" si="5"/>
        <v>960.47248404181619</v>
      </c>
      <c r="AN59" s="62">
        <f ca="1">AVERAGE(OFFSET($AM$3,0,0,'Données projet'!$E$10+1,1))-AVERAGE(OFFSET($H$3,0,0,'Données projet'!$E$10+1,1))</f>
        <v>213.5791415320935</v>
      </c>
      <c r="AO59" s="62">
        <f t="shared" si="36"/>
        <v>167.49607245443497</v>
      </c>
      <c r="AP59" s="16">
        <f>IF(ISNA(VLOOKUP(A59,'Données projet'!$A$61:$I$81,3,0)),0,VLOOKUP(A59,'Données projet'!$A$61:$I$81,3,0))</f>
        <v>7</v>
      </c>
      <c r="AQ59" s="16">
        <f>IF(ISNA(VLOOKUP(A59,'Données projet'!$A$61:$I$81,4,0)),0,VLOOKUP(A59,'Données projet'!$A$61:$I$81,4,0))</f>
        <v>662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6.3414626736915114</v>
      </c>
      <c r="AW59" s="23">
        <f>EXP(-LN(2)/2)*AW58+(1-EXP(-LN(2)/2))/(LN(2)/2)*AQ59*AT59*VLOOKUP('Données projet'!$B$10,Paramètres!$A$1:$I$89,3,0)*0.475*44/12</f>
        <v>1.7837790454595652E-3</v>
      </c>
      <c r="AX59" s="23">
        <f t="shared" si="6"/>
        <v>6.3432464527369712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26.675999999999998</v>
      </c>
      <c r="D60" s="12">
        <f t="shared" si="32"/>
        <v>8.388268495647786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270.67154628219339</v>
      </c>
      <c r="H60" s="70">
        <f t="shared" si="1"/>
        <v>354.40360096325321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4.2</v>
      </c>
      <c r="N60" s="14">
        <f>IF('Données projet'!$A$36&gt;35,N59+M60-V59,IF(A60&lt;'Données projet'!$A$36,$K$205^A60,IF(A60='Données projet'!$A$36,'Données projet'!$B$36,N59+M60-V59)))</f>
        <v>136.39999999999989</v>
      </c>
      <c r="O60" s="14">
        <f>N60*VLOOKUP('Données projet'!$B$9,Paramètres!$A$1:$I$89,3,0)*VLOOKUP('Données projet'!$B$9,Paramètres!$A$1:$I$89,5,0)</f>
        <v>110.64767999999991</v>
      </c>
      <c r="P60" s="14">
        <f t="shared" si="33"/>
        <v>29.483530853816045</v>
      </c>
      <c r="Q60" s="22">
        <f t="shared" si="53"/>
        <v>244.06185890372944</v>
      </c>
      <c r="R60" s="62">
        <f t="shared" si="0"/>
        <v>537.3951922370627</v>
      </c>
      <c r="S60" s="62">
        <f ca="1">AVERAGE(OFFSET($R$3,0,0,'Données projet'!$E$9+1,1))-AVERAGE(OFFSET($H$3,0,0,'Données projet'!$E$9+1,1))</f>
        <v>135.99759935190264</v>
      </c>
      <c r="T60" s="62">
        <f t="shared" si="34"/>
        <v>103.49526616376608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0.65406401393749769</v>
      </c>
      <c r="AB60" s="23">
        <f>EXP(-LN(2)/2)*AB59+(1-EXP(-LN(2)/2))/(LN(2)/2)*V60*Y60*VLOOKUP('Données projet'!$B$9,Paramètres!$A$1:$I$89,3,0)*0.475*44/12</f>
        <v>4.6876811927344496E-4</v>
      </c>
      <c r="AC60" s="24">
        <f t="shared" si="3"/>
        <v>0.65453278205677112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-2.2737367544323206E-13</v>
      </c>
      <c r="AJ60" s="14">
        <f>AI60*VLOOKUP('Données projet'!$B$10,Paramètres!$A$1:$I$89,3,0)*VLOOKUP('Données projet'!$B$10,Paramètres!$A$1:$I$89,5,0)</f>
        <v>-1.064108801074326E-13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213.5791415320935</v>
      </c>
      <c r="AO60" s="62">
        <f t="shared" si="36"/>
        <v>167.49607245443497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6.1680550433963885</v>
      </c>
      <c r="AW60" s="23">
        <f>EXP(-LN(2)/2)*AW59+(1-EXP(-LN(2)/2))/(LN(2)/2)*AQ60*AT60*VLOOKUP('Données projet'!$B$10,Paramètres!$A$1:$I$89,3,0)*0.475*44/12</f>
        <v>1.2613222591829254E-3</v>
      </c>
      <c r="AX60" s="23">
        <f t="shared" si="6"/>
        <v>6.1693163656555718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27.143999999999998</v>
      </c>
      <c r="D61" s="12">
        <f t="shared" si="32"/>
        <v>8.5181694620316346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275.2869221630512</v>
      </c>
      <c r="H61" s="70">
        <f t="shared" si="1"/>
        <v>355.44494514637177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4.2</v>
      </c>
      <c r="N61" s="14">
        <f>IF('Données projet'!$A$36&gt;35,N60+M61-V60,IF(A61&lt;'Données projet'!$A$36,$K$205^A61,IF(A61='Données projet'!$A$36,'Données projet'!$B$36,N60+M61-V60)))</f>
        <v>140.59999999999988</v>
      </c>
      <c r="O61" s="14">
        <f>N61*VLOOKUP('Données projet'!$B$9,Paramètres!$A$1:$I$89,3,0)*VLOOKUP('Données projet'!$B$9,Paramètres!$A$1:$I$89,5,0)</f>
        <v>114.0547199999999</v>
      </c>
      <c r="P61" s="14">
        <f t="shared" si="33"/>
        <v>30.284286336638967</v>
      </c>
      <c r="Q61" s="22">
        <f t="shared" si="53"/>
        <v>251.39043603631271</v>
      </c>
      <c r="R61" s="62">
        <f t="shared" si="0"/>
        <v>544.72376936964599</v>
      </c>
      <c r="S61" s="62">
        <f ca="1">AVERAGE(OFFSET($R$3,0,0,'Données projet'!$E$9+1,1))-AVERAGE(OFFSET($H$3,0,0,'Données projet'!$E$9+1,1))</f>
        <v>135.99759935190264</v>
      </c>
      <c r="T61" s="62">
        <f t="shared" si="34"/>
        <v>103.49526616376608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0.63617859908064522</v>
      </c>
      <c r="AB61" s="23">
        <f>EXP(-LN(2)/2)*AB60+(1-EXP(-LN(2)/2))/(LN(2)/2)*V61*Y61*VLOOKUP('Données projet'!$B$9,Paramètres!$A$1:$I$89,3,0)*0.475*44/12</f>
        <v>3.3146911594231725E-4</v>
      </c>
      <c r="AC61" s="24">
        <f t="shared" si="3"/>
        <v>0.63651006819658751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-2.2737367544323206E-13</v>
      </c>
      <c r="AJ61" s="14">
        <f>AI61*VLOOKUP('Données projet'!$B$10,Paramètres!$A$1:$I$89,3,0)*VLOOKUP('Données projet'!$B$10,Paramètres!$A$1:$I$89,5,0)</f>
        <v>-1.064108801074326E-13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213.5791415320935</v>
      </c>
      <c r="AO61" s="62">
        <f t="shared" si="36"/>
        <v>167.49607245443497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5.9993892538707971</v>
      </c>
      <c r="AW61" s="23">
        <f>EXP(-LN(2)/2)*AW60+(1-EXP(-LN(2)/2))/(LN(2)/2)*AQ61*AT61*VLOOKUP('Données projet'!$B$10,Paramètres!$A$1:$I$89,3,0)*0.475*44/12</f>
        <v>8.9188952272978262E-4</v>
      </c>
      <c r="AX61" s="23">
        <f t="shared" si="6"/>
        <v>6.0002811433935266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27.611999999999998</v>
      </c>
      <c r="D62" s="12">
        <f t="shared" si="32"/>
        <v>8.6478099783937541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279.90028755251325</v>
      </c>
      <c r="H62" s="70">
        <f t="shared" si="1"/>
        <v>356.48583571236912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4.2</v>
      </c>
      <c r="N62" s="14">
        <f>IF('Données projet'!$A$36&gt;35,N61+M62-V61,IF(A62&lt;'Données projet'!$A$36,$K$205^A62,IF(A62='Données projet'!$A$36,'Données projet'!$B$36,N61+M62-V61)))</f>
        <v>144.79999999999987</v>
      </c>
      <c r="O62" s="14">
        <f>N62*VLOOKUP('Données projet'!$B$9,Paramètres!$A$1:$I$89,3,0)*VLOOKUP('Données projet'!$B$9,Paramètres!$A$1:$I$89,5,0)</f>
        <v>117.4617599999999</v>
      </c>
      <c r="P62" s="14">
        <f t="shared" si="33"/>
        <v>31.082261912268322</v>
      </c>
      <c r="Q62" s="22">
        <f t="shared" si="53"/>
        <v>258.71417149720048</v>
      </c>
      <c r="R62" s="62">
        <f t="shared" si="0"/>
        <v>552.04750483053385</v>
      </c>
      <c r="S62" s="62">
        <f ca="1">AVERAGE(OFFSET($R$3,0,0,'Données projet'!$E$9+1,1))-AVERAGE(OFFSET($H$3,0,0,'Données projet'!$E$9+1,1))</f>
        <v>135.99759935190264</v>
      </c>
      <c r="T62" s="62">
        <f t="shared" si="34"/>
        <v>103.49526616376608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0.61878226183360641</v>
      </c>
      <c r="AB62" s="23">
        <f>EXP(-LN(2)/2)*AB61+(1-EXP(-LN(2)/2))/(LN(2)/2)*V62*Y62*VLOOKUP('Données projet'!$B$9,Paramètres!$A$1:$I$89,3,0)*0.475*44/12</f>
        <v>2.3438405963672248E-4</v>
      </c>
      <c r="AC62" s="24">
        <f t="shared" si="3"/>
        <v>0.61901664589324312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-2.2737367544323206E-13</v>
      </c>
      <c r="AJ62" s="14">
        <f>AI62*VLOOKUP('Données projet'!$B$10,Paramètres!$A$1:$I$89,3,0)*VLOOKUP('Données projet'!$B$10,Paramètres!$A$1:$I$89,5,0)</f>
        <v>-1.064108801074326E-13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213.5791415320935</v>
      </c>
      <c r="AO62" s="62">
        <f t="shared" si="36"/>
        <v>167.49607245443497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5.8353356392295312</v>
      </c>
      <c r="AW62" s="23">
        <f>EXP(-LN(2)/2)*AW61+(1-EXP(-LN(2)/2))/(LN(2)/2)*AQ62*AT62*VLOOKUP('Données projet'!$B$10,Paramètres!$A$1:$I$89,3,0)*0.475*44/12</f>
        <v>6.3066112959146269E-4</v>
      </c>
      <c r="AX62" s="23">
        <f t="shared" si="6"/>
        <v>5.8359663003591224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28.08</v>
      </c>
      <c r="D63" s="12">
        <f t="shared" si="32"/>
        <v>8.7771949685951878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284.51168045933133</v>
      </c>
      <c r="H63" s="70">
        <f t="shared" si="1"/>
        <v>357.52628123696991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149</v>
      </c>
      <c r="L63" s="13">
        <f>VLOOKUP(A63,'Données projet'!$A$35:$I$55,9,0)</f>
        <v>4.2</v>
      </c>
      <c r="M63" s="13">
        <f t="array" ref="M63">INDEX(L:L,MIN(IF(ISNUMBER(L63:L259),ROW(L63:L259),"")))</f>
        <v>4.2</v>
      </c>
      <c r="N63" s="14">
        <f>IF('Données projet'!$A$36&gt;35,N62+M63-V62,IF(A63&lt;'Données projet'!$A$36,$K$205^A63,IF(A63='Données projet'!$A$36,'Données projet'!$B$36,N62+M63-V62)))</f>
        <v>148.99999999999986</v>
      </c>
      <c r="O63" s="14">
        <f>N63*VLOOKUP('Données projet'!$B$9,Paramètres!$A$1:$I$89,3,0)*VLOOKUP('Données projet'!$B$9,Paramètres!$A$1:$I$89,5,0)</f>
        <v>120.86879999999989</v>
      </c>
      <c r="P63" s="14">
        <f t="shared" si="33"/>
        <v>31.877547472771241</v>
      </c>
      <c r="Q63" s="22">
        <f t="shared" si="53"/>
        <v>266.03322184840971</v>
      </c>
      <c r="R63" s="62">
        <f t="shared" si="0"/>
        <v>559.36655518174302</v>
      </c>
      <c r="S63" s="62">
        <f ca="1">AVERAGE(OFFSET($R$3,0,0,'Données projet'!$E$9+1,1))-AVERAGE(OFFSET($H$3,0,0,'Données projet'!$E$9+1,1))</f>
        <v>135.99759935190264</v>
      </c>
      <c r="T63" s="62">
        <f t="shared" si="34"/>
        <v>103.49526616376608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11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0.6018616283434215</v>
      </c>
      <c r="AB63" s="23">
        <f>EXP(-LN(2)/2)*AB62+(1-EXP(-LN(2)/2))/(LN(2)/2)*V63*Y63*VLOOKUP('Données projet'!$B$9,Paramètres!$A$1:$I$89,3,0)*0.475*44/12</f>
        <v>1.6573455797115863E-4</v>
      </c>
      <c r="AC63" s="24">
        <f t="shared" si="3"/>
        <v>0.60202736290139269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-2.2737367544323206E-13</v>
      </c>
      <c r="AJ63" s="14">
        <f>AI63*VLOOKUP('Données projet'!$B$10,Paramètres!$A$1:$I$89,3,0)*VLOOKUP('Données projet'!$B$10,Paramètres!$A$1:$I$89,5,0)</f>
        <v>-1.064108801074326E-13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213.5791415320935</v>
      </c>
      <c r="AO63" s="62">
        <f t="shared" si="36"/>
        <v>167.49607245443497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5.6757680793078356</v>
      </c>
      <c r="AW63" s="23">
        <f>EXP(-LN(2)/2)*AW62+(1-EXP(-LN(2)/2))/(LN(2)/2)*AQ63*AT63*VLOOKUP('Données projet'!$B$10,Paramètres!$A$1:$I$89,3,0)*0.475*44/12</f>
        <v>4.4594476136489131E-4</v>
      </c>
      <c r="AX63" s="23">
        <f t="shared" si="6"/>
        <v>5.6762140240692007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28.547999999999998</v>
      </c>
      <c r="D64" s="12">
        <f t="shared" si="32"/>
        <v>8.9063291829603237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289.1211375526762</v>
      </c>
      <c r="H64" s="70">
        <f t="shared" si="1"/>
        <v>358.56628999365586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4</v>
      </c>
      <c r="N64" s="14">
        <f>IF('Données projet'!$A$36&gt;35,N63+M64-V63,IF(A64&lt;'Données projet'!$A$36,$K$205^A64,IF(A64='Données projet'!$A$36,'Données projet'!$B$36,N63+M64-V63)))</f>
        <v>141.99999999999986</v>
      </c>
      <c r="O64" s="14">
        <f>N64*VLOOKUP('Données projet'!$B$9,Paramètres!$A$1:$I$89,3,0)*VLOOKUP('Données projet'!$B$9,Paramètres!$A$1:$I$89,5,0)</f>
        <v>115.1903999999999</v>
      </c>
      <c r="P64" s="14">
        <f t="shared" si="33"/>
        <v>30.550582519051918</v>
      </c>
      <c r="Q64" s="22">
        <f t="shared" si="53"/>
        <v>253.8322112206819</v>
      </c>
      <c r="R64" s="62">
        <f t="shared" si="0"/>
        <v>547.16554455401524</v>
      </c>
      <c r="S64" s="62">
        <f ca="1">AVERAGE(OFFSET($R$3,0,0,'Données projet'!$E$9+1,1))-AVERAGE(OFFSET($H$3,0,0,'Données projet'!$E$9+1,1))</f>
        <v>135.99759935190264</v>
      </c>
      <c r="T64" s="62">
        <f t="shared" si="34"/>
        <v>103.49526616376608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0.58540369046584317</v>
      </c>
      <c r="AB64" s="23">
        <f>EXP(-LN(2)/2)*AB63+(1-EXP(-LN(2)/2))/(LN(2)/2)*V64*Y64*VLOOKUP('Données projet'!$B$9,Paramètres!$A$1:$I$89,3,0)*0.475*44/12</f>
        <v>1.1719202981836124E-4</v>
      </c>
      <c r="AC64" s="24">
        <f t="shared" si="3"/>
        <v>0.58552088249566159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-2.2737367544323206E-13</v>
      </c>
      <c r="AJ64" s="14">
        <f>AI64*VLOOKUP('Données projet'!$B$10,Paramètres!$A$1:$I$89,3,0)*VLOOKUP('Données projet'!$B$10,Paramètres!$A$1:$I$89,5,0)</f>
        <v>-1.064108801074326E-13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213.5791415320935</v>
      </c>
      <c r="AO64" s="62">
        <f t="shared" si="36"/>
        <v>167.49607245443497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5.5205639027034916</v>
      </c>
      <c r="AW64" s="23">
        <f>EXP(-LN(2)/2)*AW63+(1-EXP(-LN(2)/2))/(LN(2)/2)*AQ64*AT64*VLOOKUP('Données projet'!$B$10,Paramètres!$A$1:$I$89,3,0)*0.475*44/12</f>
        <v>3.1533056479573135E-4</v>
      </c>
      <c r="AX64" s="23">
        <f t="shared" si="6"/>
        <v>5.5208792332682872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29.015999999999998</v>
      </c>
      <c r="D65" s="12">
        <f t="shared" si="32"/>
        <v>9.0352172071357693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293.72869423052168</v>
      </c>
      <c r="H65" s="70">
        <f t="shared" si="1"/>
        <v>359.60586996909478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4</v>
      </c>
      <c r="N65" s="14">
        <f>IF('Données projet'!$A$36&gt;35,N64+M65-V64,IF(A65&lt;'Données projet'!$A$36,$K$205^A65,IF(A65='Données projet'!$A$36,'Données projet'!$B$36,N64+M65-V64)))</f>
        <v>145.99999999999986</v>
      </c>
      <c r="O65" s="14">
        <f>N65*VLOOKUP('Données projet'!$B$9,Paramètres!$A$1:$I$89,3,0)*VLOOKUP('Données projet'!$B$9,Paramètres!$A$1:$I$89,5,0)</f>
        <v>118.4351999999999</v>
      </c>
      <c r="P65" s="14">
        <f t="shared" si="33"/>
        <v>31.309757056296938</v>
      </c>
      <c r="Q65" s="22">
        <f t="shared" si="53"/>
        <v>260.80580020638365</v>
      </c>
      <c r="R65" s="62">
        <f t="shared" si="0"/>
        <v>554.13913353971702</v>
      </c>
      <c r="S65" s="62">
        <f ca="1">AVERAGE(OFFSET($R$3,0,0,'Données projet'!$E$9+1,1))-AVERAGE(OFFSET($H$3,0,0,'Données projet'!$E$9+1,1))</f>
        <v>135.99759935190264</v>
      </c>
      <c r="T65" s="62">
        <f t="shared" si="34"/>
        <v>103.49526616376608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0.56939579576501254</v>
      </c>
      <c r="AB65" s="23">
        <f>EXP(-LN(2)/2)*AB64+(1-EXP(-LN(2)/2))/(LN(2)/2)*V65*Y65*VLOOKUP('Données projet'!$B$9,Paramètres!$A$1:$I$89,3,0)*0.475*44/12</f>
        <v>8.2867278985579313E-5</v>
      </c>
      <c r="AC65" s="24">
        <f t="shared" si="3"/>
        <v>0.56947866304399808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-2.2737367544323206E-13</v>
      </c>
      <c r="AJ65" s="14">
        <f>AI65*VLOOKUP('Données projet'!$B$10,Paramètres!$A$1:$I$89,3,0)*VLOOKUP('Données projet'!$B$10,Paramètres!$A$1:$I$89,5,0)</f>
        <v>-1.064108801074326E-13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213.5791415320935</v>
      </c>
      <c r="AO65" s="62">
        <f t="shared" si="36"/>
        <v>167.49607245443497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5.369603792470226</v>
      </c>
      <c r="AW65" s="23">
        <f>EXP(-LN(2)/2)*AW64+(1-EXP(-LN(2)/2))/(LN(2)/2)*AQ65*AT65*VLOOKUP('Données projet'!$B$10,Paramètres!$A$1:$I$89,3,0)*0.475*44/12</f>
        <v>2.2297238068244566E-4</v>
      </c>
      <c r="AX65" s="23">
        <f t="shared" si="6"/>
        <v>5.3698267648509086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29.483999999999998</v>
      </c>
      <c r="D66" s="12">
        <f t="shared" si="32"/>
        <v>9.1638634703614379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298.33438468349181</v>
      </c>
      <c r="H66" s="70">
        <f t="shared" si="1"/>
        <v>360.64502887754617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4</v>
      </c>
      <c r="N66" s="14">
        <f>IF('Données projet'!$A$36&gt;35,N65+M66-V65,IF(A66&lt;'Données projet'!$A$36,$K$205^A66,IF(A66='Données projet'!$A$36,'Données projet'!$B$36,N65+M66-V65)))</f>
        <v>149.99999999999986</v>
      </c>
      <c r="O66" s="14">
        <f>N66*VLOOKUP('Données projet'!$B$9,Paramètres!$A$1:$I$89,3,0)*VLOOKUP('Données projet'!$B$9,Paramètres!$A$1:$I$89,5,0)</f>
        <v>121.67999999999989</v>
      </c>
      <c r="P66" s="14">
        <f t="shared" si="33"/>
        <v>32.066514091456227</v>
      </c>
      <c r="Q66" s="22">
        <f t="shared" si="53"/>
        <v>267.77517870928608</v>
      </c>
      <c r="R66" s="62">
        <f t="shared" si="0"/>
        <v>561.1085120426194</v>
      </c>
      <c r="S66" s="62">
        <f ca="1">AVERAGE(OFFSET($R$3,0,0,'Données projet'!$E$9+1,1))-AVERAGE(OFFSET($H$3,0,0,'Données projet'!$E$9+1,1))</f>
        <v>135.99759935190264</v>
      </c>
      <c r="T66" s="62">
        <f t="shared" si="34"/>
        <v>103.49526616376608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0.55382563778659477</v>
      </c>
      <c r="AB66" s="23">
        <f>EXP(-LN(2)/2)*AB65+(1-EXP(-LN(2)/2))/(LN(2)/2)*V66*Y66*VLOOKUP('Données projet'!$B$9,Paramètres!$A$1:$I$89,3,0)*0.475*44/12</f>
        <v>5.859601490918062E-5</v>
      </c>
      <c r="AC66" s="24">
        <f t="shared" si="3"/>
        <v>0.55388423380150398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-2.2737367544323206E-13</v>
      </c>
      <c r="AJ66" s="14">
        <f>AI66*VLOOKUP('Données projet'!$B$10,Paramètres!$A$1:$I$89,3,0)*VLOOKUP('Données projet'!$B$10,Paramètres!$A$1:$I$89,5,0)</f>
        <v>-1.064108801074326E-13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213.5791415320935</v>
      </c>
      <c r="AO66" s="62">
        <f t="shared" si="36"/>
        <v>167.49607245443497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5.2227716943899365</v>
      </c>
      <c r="AW66" s="23">
        <f>EXP(-LN(2)/2)*AW65+(1-EXP(-LN(2)/2))/(LN(2)/2)*AQ66*AT66*VLOOKUP('Données projet'!$B$10,Paramètres!$A$1:$I$89,3,0)*0.475*44/12</f>
        <v>1.5766528239786567E-4</v>
      </c>
      <c r="AX66" s="23">
        <f t="shared" si="6"/>
        <v>5.2229293596723343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29.951999999999998</v>
      </c>
      <c r="D67" s="12">
        <f t="shared" si="32"/>
        <v>9.2922722532016273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302.93824195453891</v>
      </c>
      <c r="H67" s="70">
        <f t="shared" si="1"/>
        <v>361.68377417432612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4</v>
      </c>
      <c r="N67" s="14">
        <f>IF('Données projet'!$A$36&gt;35,N66+M67-V66,IF(A67&lt;'Données projet'!$A$36,$K$205^A67,IF(A67='Données projet'!$A$36,'Données projet'!$B$36,N66+M67-V66)))</f>
        <v>153.99999999999986</v>
      </c>
      <c r="O67" s="14">
        <f>N67*VLOOKUP('Données projet'!$B$9,Paramètres!$A$1:$I$89,3,0)*VLOOKUP('Données projet'!$B$9,Paramètres!$A$1:$I$89,5,0)</f>
        <v>124.92479999999989</v>
      </c>
      <c r="P67" s="14">
        <f t="shared" si="33"/>
        <v>32.820925500842712</v>
      </c>
      <c r="Q67" s="22">
        <f t="shared" ref="Q67:Q98" si="54">(O67+P67)*0.475*44/12</f>
        <v>274.74047191396755</v>
      </c>
      <c r="R67" s="62">
        <f t="shared" ref="R67:R130" si="55">Q67+(I67+J67)*44/12</f>
        <v>568.07380524730092</v>
      </c>
      <c r="S67" s="62">
        <f ca="1">AVERAGE(OFFSET($R$3,0,0,'Données projet'!$E$9+1,1))-AVERAGE(OFFSET($H$3,0,0,'Données projet'!$E$9+1,1))</f>
        <v>135.99759935190264</v>
      </c>
      <c r="T67" s="62">
        <f t="shared" si="34"/>
        <v>103.49526616376608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0.53868124659689587</v>
      </c>
      <c r="AB67" s="23">
        <f>EXP(-LN(2)/2)*AB66+(1-EXP(-LN(2)/2))/(LN(2)/2)*V67*Y67*VLOOKUP('Données projet'!$B$9,Paramètres!$A$1:$I$89,3,0)*0.475*44/12</f>
        <v>4.1433639492789656E-5</v>
      </c>
      <c r="AC67" s="24">
        <f t="shared" si="3"/>
        <v>0.5387226802363887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-2.2737367544323206E-13</v>
      </c>
      <c r="AJ67" s="14">
        <f>AI67*VLOOKUP('Données projet'!$B$10,Paramètres!$A$1:$I$89,3,0)*VLOOKUP('Données projet'!$B$10,Paramètres!$A$1:$I$89,5,0)</f>
        <v>-1.064108801074326E-13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213.5791415320935</v>
      </c>
      <c r="AO67" s="62">
        <f t="shared" si="36"/>
        <v>167.49607245443497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5.0799547277532167</v>
      </c>
      <c r="AW67" s="23">
        <f>EXP(-LN(2)/2)*AW66+(1-EXP(-LN(2)/2))/(LN(2)/2)*AQ67*AT67*VLOOKUP('Données projet'!$B$10,Paramètres!$A$1:$I$89,3,0)*0.475*44/12</f>
        <v>1.1148619034122283E-4</v>
      </c>
      <c r="AX67" s="23">
        <f t="shared" si="6"/>
        <v>5.0800662139435575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30.419999999999998</v>
      </c>
      <c r="D68" s="12">
        <f t="shared" si="32"/>
        <v>9.4204476947792024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307.54029799478684</v>
      </c>
      <c r="H68" s="70">
        <f t="shared" ref="H68:H131" si="56">(B68+E68+F68)*44/12+(C68+D68)*0.475*44/12</f>
        <v>362.72211306840711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158</v>
      </c>
      <c r="L68" s="13">
        <f>VLOOKUP(A68,'Données projet'!$A$35:$I$55,9,0)</f>
        <v>4</v>
      </c>
      <c r="M68" s="13">
        <f t="array" ref="M68">INDEX(L:L,MIN(IF(ISNUMBER(L68:L264),ROW(L68:L264),"")))</f>
        <v>4</v>
      </c>
      <c r="N68" s="14">
        <f>IF('Données projet'!$A$36&gt;35,N67+M68-V67,IF(A68&lt;'Données projet'!$A$36,$K$205^A68,IF(A68='Données projet'!$A$36,'Données projet'!$B$36,N67+M68-V67)))</f>
        <v>157.99999999999986</v>
      </c>
      <c r="O68" s="14">
        <f>N68*VLOOKUP('Données projet'!$B$9,Paramètres!$A$1:$I$89,3,0)*VLOOKUP('Données projet'!$B$9,Paramètres!$A$1:$I$89,5,0)</f>
        <v>128.16959999999989</v>
      </c>
      <c r="P68" s="14">
        <f t="shared" si="33"/>
        <v>33.573059214253441</v>
      </c>
      <c r="Q68" s="22">
        <f t="shared" si="54"/>
        <v>281.70179813149122</v>
      </c>
      <c r="R68" s="62">
        <f t="shared" si="55"/>
        <v>575.03513146482453</v>
      </c>
      <c r="S68" s="62">
        <f ca="1">AVERAGE(OFFSET($R$3,0,0,'Données projet'!$E$9+1,1))-AVERAGE(OFFSET($H$3,0,0,'Données projet'!$E$9+1,1))</f>
        <v>135.99759935190264</v>
      </c>
      <c r="T68" s="62">
        <f t="shared" si="34"/>
        <v>103.49526616376608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11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0.52395097958068815</v>
      </c>
      <c r="AB68" s="23">
        <f>EXP(-LN(2)/2)*AB67+(1-EXP(-LN(2)/2))/(LN(2)/2)*V68*Y68*VLOOKUP('Données projet'!$B$9,Paramètres!$A$1:$I$89,3,0)*0.475*44/12</f>
        <v>2.929800745459031E-5</v>
      </c>
      <c r="AC68" s="24">
        <f t="shared" ref="AC68:AC131" si="57">SUM(Z68:AB68)</f>
        <v>0.5239802775881427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-2.2737367544323206E-13</v>
      </c>
      <c r="AJ68" s="14">
        <f>AI68*VLOOKUP('Données projet'!$B$10,Paramètres!$A$1:$I$89,3,0)*VLOOKUP('Données projet'!$B$10,Paramètres!$A$1:$I$89,5,0)</f>
        <v>-1.064108801074326E-13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213.5791415320935</v>
      </c>
      <c r="AO68" s="62">
        <f t="shared" si="36"/>
        <v>167.49607245443497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4.9410430985795966</v>
      </c>
      <c r="AW68" s="23">
        <f>EXP(-LN(2)/2)*AW67+(1-EXP(-LN(2)/2))/(LN(2)/2)*AQ68*AT68*VLOOKUP('Données projet'!$B$10,Paramètres!$A$1:$I$89,3,0)*0.475*44/12</f>
        <v>7.8832641198932837E-5</v>
      </c>
      <c r="AX68" s="23">
        <f t="shared" ref="AX68:AX131" si="60">SUM(AU68:AW68)</f>
        <v>4.9411219312207955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30.887999999999998</v>
      </c>
      <c r="D69" s="12">
        <f t="shared" ref="D69:D132" si="86">IFERROR(EXP(-1.0587+0.8836*LN(C69)+0.284),0)</f>
        <v>9.5483937995519046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312.14058371583923</v>
      </c>
      <c r="H69" s="70">
        <f t="shared" si="56"/>
        <v>363.76005253421954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4</v>
      </c>
      <c r="N69" s="14">
        <f>IF('Données projet'!$A$36&gt;35,N68+M69-V68,IF(A69&lt;'Données projet'!$A$36,$K$205^A69,IF(A69='Données projet'!$A$36,'Données projet'!$B$36,N68+M69-V68)))</f>
        <v>150.99999999999986</v>
      </c>
      <c r="O69" s="14">
        <f>N69*VLOOKUP('Données projet'!$B$9,Paramètres!$A$1:$I$89,3,0)*VLOOKUP('Données projet'!$B$9,Paramètres!$A$1:$I$89,5,0)</f>
        <v>122.49119999999989</v>
      </c>
      <c r="P69" s="14">
        <f t="shared" ref="P69:P132" si="87">EXP(-1.0587+0.8836*LN(O69)+0.284)</f>
        <v>32.255334127777417</v>
      </c>
      <c r="Q69" s="22">
        <f t="shared" si="54"/>
        <v>269.51688027254545</v>
      </c>
      <c r="R69" s="62">
        <f t="shared" si="55"/>
        <v>562.85021360587871</v>
      </c>
      <c r="S69" s="62">
        <f ca="1">AVERAGE(OFFSET($R$3,0,0,'Données projet'!$E$9+1,1))-AVERAGE(OFFSET($H$3,0,0,'Données projet'!$E$9+1,1))</f>
        <v>135.99759935190264</v>
      </c>
      <c r="T69" s="62">
        <f t="shared" ref="T69:T132" si="88">$T$3</f>
        <v>103.49526616376608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0.50962351249066973</v>
      </c>
      <c r="AB69" s="23">
        <f>EXP(-LN(2)/2)*AB68+(1-EXP(-LN(2)/2))/(LN(2)/2)*V69*Y69*VLOOKUP('Données projet'!$B$9,Paramètres!$A$1:$I$89,3,0)*0.475*44/12</f>
        <v>2.0716819746394828E-5</v>
      </c>
      <c r="AC69" s="24">
        <f t="shared" si="57"/>
        <v>0.50964422931041609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-2.2737367544323206E-13</v>
      </c>
      <c r="AJ69" s="14">
        <f>AI69*VLOOKUP('Données projet'!$B$10,Paramètres!$A$1:$I$89,3,0)*VLOOKUP('Données projet'!$B$10,Paramètres!$A$1:$I$89,5,0)</f>
        <v>-1.064108801074326E-13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213.5791415320935</v>
      </c>
      <c r="AO69" s="62">
        <f t="shared" ref="AO69:AO132" si="90">$AO$3</f>
        <v>167.49607245443497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4.805930015210774</v>
      </c>
      <c r="AW69" s="23">
        <f>EXP(-LN(2)/2)*AW68+(1-EXP(-LN(2)/2))/(LN(2)/2)*AQ69*AT69*VLOOKUP('Données projet'!$B$10,Paramètres!$A$1:$I$89,3,0)*0.475*44/12</f>
        <v>5.5743095170611414E-5</v>
      </c>
      <c r="AX69" s="23">
        <f t="shared" si="60"/>
        <v>4.8059857583059449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31.355999999999998</v>
      </c>
      <c r="D70" s="12">
        <f t="shared" si="86"/>
        <v>9.6761144436663837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316.73912903882825</v>
      </c>
      <c r="H70" s="70">
        <f t="shared" si="56"/>
        <v>364.79759932271895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4</v>
      </c>
      <c r="N70" s="14">
        <f>IF('Données projet'!$A$36&gt;35,N69+M70-V69,IF(A70&lt;'Données projet'!$A$36,$K$205^A70,IF(A70='Données projet'!$A$36,'Données projet'!$B$36,N69+M70-V69)))</f>
        <v>154.99999999999986</v>
      </c>
      <c r="O70" s="14">
        <f>N70*VLOOKUP('Données projet'!$B$9,Paramètres!$A$1:$I$89,3,0)*VLOOKUP('Données projet'!$B$9,Paramètres!$A$1:$I$89,5,0)</f>
        <v>125.73599999999989</v>
      </c>
      <c r="P70" s="14">
        <f t="shared" si="87"/>
        <v>33.009169891820072</v>
      </c>
      <c r="Q70" s="22">
        <f t="shared" si="54"/>
        <v>276.48117089491979</v>
      </c>
      <c r="R70" s="62">
        <f t="shared" si="55"/>
        <v>569.8145042282531</v>
      </c>
      <c r="S70" s="62">
        <f ca="1">AVERAGE(OFFSET($R$3,0,0,'Données projet'!$E$9+1,1))-AVERAGE(OFFSET($H$3,0,0,'Données projet'!$E$9+1,1))</f>
        <v>135.99759935190264</v>
      </c>
      <c r="T70" s="62">
        <f t="shared" si="88"/>
        <v>103.49526616376608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0.4956878307416766</v>
      </c>
      <c r="AB70" s="23">
        <f>EXP(-LN(2)/2)*AB69+(1-EXP(-LN(2)/2))/(LN(2)/2)*V70*Y70*VLOOKUP('Données projet'!$B$9,Paramètres!$A$1:$I$89,3,0)*0.475*44/12</f>
        <v>1.4649003727295155E-5</v>
      </c>
      <c r="AC70" s="24">
        <f t="shared" si="57"/>
        <v>0.49570247974540388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-2.2737367544323206E-13</v>
      </c>
      <c r="AJ70" s="14">
        <f>AI70*VLOOKUP('Données projet'!$B$10,Paramètres!$A$1:$I$89,3,0)*VLOOKUP('Données projet'!$B$10,Paramètres!$A$1:$I$89,5,0)</f>
        <v>-1.064108801074326E-13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213.5791415320935</v>
      </c>
      <c r="AO70" s="62">
        <f t="shared" si="90"/>
        <v>167.49607245443497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4.6745116062119596</v>
      </c>
      <c r="AW70" s="23">
        <f>EXP(-LN(2)/2)*AW69+(1-EXP(-LN(2)/2))/(LN(2)/2)*AQ70*AT70*VLOOKUP('Données projet'!$B$10,Paramètres!$A$1:$I$89,3,0)*0.475*44/12</f>
        <v>3.9416320599466418E-5</v>
      </c>
      <c r="AX70" s="23">
        <f t="shared" si="60"/>
        <v>4.6745510225325591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31.823999999999998</v>
      </c>
      <c r="D71" s="12">
        <f t="shared" si="86"/>
        <v>9.8036133809220889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321.33596294045122</v>
      </c>
      <c r="H71" s="70">
        <f t="shared" si="56"/>
        <v>365.8347599717726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4</v>
      </c>
      <c r="N71" s="14">
        <f>IF('Données projet'!$A$36&gt;35,N70+M71-V70,IF(A71&lt;'Données projet'!$A$36,$K$205^A71,IF(A71='Données projet'!$A$36,'Données projet'!$B$36,N70+M71-V70)))</f>
        <v>158.99999999999986</v>
      </c>
      <c r="O71" s="14">
        <f>N71*VLOOKUP('Données projet'!$B$9,Paramètres!$A$1:$I$89,3,0)*VLOOKUP('Données projet'!$B$9,Paramètres!$A$1:$I$89,5,0)</f>
        <v>128.9807999999999</v>
      </c>
      <c r="P71" s="14">
        <f t="shared" si="87"/>
        <v>33.760744362869382</v>
      </c>
      <c r="Q71" s="22">
        <f t="shared" si="54"/>
        <v>283.44152309866399</v>
      </c>
      <c r="R71" s="62">
        <f t="shared" si="55"/>
        <v>576.77485643199725</v>
      </c>
      <c r="S71" s="62">
        <f ca="1">AVERAGE(OFFSET($R$3,0,0,'Données projet'!$E$9+1,1))-AVERAGE(OFFSET($H$3,0,0,'Données projet'!$E$9+1,1))</f>
        <v>135.99759935190264</v>
      </c>
      <c r="T71" s="62">
        <f t="shared" si="88"/>
        <v>103.49526616376608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0.48213322094295535</v>
      </c>
      <c r="AB71" s="23">
        <f>EXP(-LN(2)/2)*AB70+(1-EXP(-LN(2)/2))/(LN(2)/2)*V71*Y71*VLOOKUP('Données projet'!$B$9,Paramètres!$A$1:$I$89,3,0)*0.475*44/12</f>
        <v>1.0358409873197414E-5</v>
      </c>
      <c r="AC71" s="24">
        <f t="shared" si="57"/>
        <v>0.48214357935282853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-2.2737367544323206E-13</v>
      </c>
      <c r="AJ71" s="14">
        <f>AI71*VLOOKUP('Données projet'!$B$10,Paramètres!$A$1:$I$89,3,0)*VLOOKUP('Données projet'!$B$10,Paramètres!$A$1:$I$89,5,0)</f>
        <v>-1.064108801074326E-13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213.5791415320935</v>
      </c>
      <c r="AO71" s="62">
        <f t="shared" si="90"/>
        <v>167.49607245443497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4.5466868405182117</v>
      </c>
      <c r="AW71" s="23">
        <f>EXP(-LN(2)/2)*AW70+(1-EXP(-LN(2)/2))/(LN(2)/2)*AQ71*AT71*VLOOKUP('Données projet'!$B$10,Paramètres!$A$1:$I$89,3,0)*0.475*44/12</f>
        <v>2.7871547585305707E-5</v>
      </c>
      <c r="AX71" s="23">
        <f t="shared" si="60"/>
        <v>4.5467147120657971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32.292000000000002</v>
      </c>
      <c r="D72" s="12">
        <f t="shared" si="86"/>
        <v>9.9308942483743401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325.93111349622302</v>
      </c>
      <c r="H72" s="70">
        <f t="shared" si="56"/>
        <v>366.87154081591865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4</v>
      </c>
      <c r="N72" s="14">
        <f>IF('Données projet'!$A$36&gt;35,N71+M72-V71,IF(A72&lt;'Données projet'!$A$36,$K$205^A72,IF(A72='Données projet'!$A$36,'Données projet'!$B$36,N71+M72-V71)))</f>
        <v>162.99999999999986</v>
      </c>
      <c r="O72" s="14">
        <f>N72*VLOOKUP('Données projet'!$B$9,Paramètres!$A$1:$I$89,3,0)*VLOOKUP('Données projet'!$B$9,Paramètres!$A$1:$I$89,5,0)</f>
        <v>132.2255999999999</v>
      </c>
      <c r="P72" s="14">
        <f t="shared" si="87"/>
        <v>34.510120971187362</v>
      </c>
      <c r="Q72" s="22">
        <f t="shared" si="54"/>
        <v>290.39804735815119</v>
      </c>
      <c r="R72" s="62">
        <f t="shared" si="55"/>
        <v>583.73138069148445</v>
      </c>
      <c r="S72" s="62">
        <f ca="1">AVERAGE(OFFSET($R$3,0,0,'Données projet'!$E$9+1,1))-AVERAGE(OFFSET($H$3,0,0,'Données projet'!$E$9+1,1))</f>
        <v>135.99759935190264</v>
      </c>
      <c r="T72" s="62">
        <f t="shared" si="88"/>
        <v>103.49526616376608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0.46894926266198605</v>
      </c>
      <c r="AB72" s="23">
        <f>EXP(-LN(2)/2)*AB71+(1-EXP(-LN(2)/2))/(LN(2)/2)*V72*Y72*VLOOKUP('Données projet'!$B$9,Paramètres!$A$1:$I$89,3,0)*0.475*44/12</f>
        <v>7.3245018636475775E-6</v>
      </c>
      <c r="AC72" s="24">
        <f t="shared" si="57"/>
        <v>0.46895658716384969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-2.2737367544323206E-13</v>
      </c>
      <c r="AJ72" s="14">
        <f>AI72*VLOOKUP('Données projet'!$B$10,Paramètres!$A$1:$I$89,3,0)*VLOOKUP('Données projet'!$B$10,Paramètres!$A$1:$I$89,5,0)</f>
        <v>-1.064108801074326E-13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213.5791415320935</v>
      </c>
      <c r="AO72" s="62">
        <f t="shared" si="90"/>
        <v>167.49607245443497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4.4223574497643723</v>
      </c>
      <c r="AW72" s="23">
        <f>EXP(-LN(2)/2)*AW71+(1-EXP(-LN(2)/2))/(LN(2)/2)*AQ72*AT72*VLOOKUP('Données projet'!$B$10,Paramètres!$A$1:$I$89,3,0)*0.475*44/12</f>
        <v>1.9708160299733209E-5</v>
      </c>
      <c r="AX72" s="23">
        <f t="shared" si="60"/>
        <v>4.4223771579246725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32.760000000000005</v>
      </c>
      <c r="D73" s="12">
        <f t="shared" si="86"/>
        <v>10.057960571603429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330.52460792114931</v>
      </c>
      <c r="H73" s="70">
        <f t="shared" si="56"/>
        <v>367.9079479955426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167</v>
      </c>
      <c r="L73" s="13">
        <f>VLOOKUP(A73,'Données projet'!$A$35:$I$55,9,0)</f>
        <v>4</v>
      </c>
      <c r="M73" s="13">
        <f t="array" ref="M73">INDEX(L:L,MIN(IF(ISNUMBER(L73:L269),ROW(L73:L269),"")))</f>
        <v>4</v>
      </c>
      <c r="N73" s="14">
        <f>IF('Données projet'!$A$36&gt;35,N72+M73-V72,IF(A73&lt;'Données projet'!$A$36,$K$205^A73,IF(A73='Données projet'!$A$36,'Données projet'!$B$36,N72+M73-V72)))</f>
        <v>166.99999999999986</v>
      </c>
      <c r="O73" s="14">
        <f>N73*VLOOKUP('Données projet'!$B$9,Paramètres!$A$1:$I$89,3,0)*VLOOKUP('Données projet'!$B$9,Paramètres!$A$1:$I$89,5,0)</f>
        <v>135.4703999999999</v>
      </c>
      <c r="P73" s="14">
        <f t="shared" si="87"/>
        <v>35.25735985641483</v>
      </c>
      <c r="Q73" s="22">
        <f t="shared" si="54"/>
        <v>297.35084841658897</v>
      </c>
      <c r="R73" s="62">
        <f t="shared" si="55"/>
        <v>590.68418174992235</v>
      </c>
      <c r="S73" s="62">
        <f ca="1">AVERAGE(OFFSET($R$3,0,0,'Données projet'!$E$9+1,1))-AVERAGE(OFFSET($H$3,0,0,'Données projet'!$E$9+1,1))</f>
        <v>135.99759935190264</v>
      </c>
      <c r="T73" s="62">
        <f t="shared" si="88"/>
        <v>103.49526616376608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11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0.45612582041352412</v>
      </c>
      <c r="AB73" s="23">
        <f>EXP(-LN(2)/2)*AB72+(1-EXP(-LN(2)/2))/(LN(2)/2)*V73*Y73*VLOOKUP('Données projet'!$B$9,Paramètres!$A$1:$I$89,3,0)*0.475*44/12</f>
        <v>5.179204936598707E-6</v>
      </c>
      <c r="AC73" s="24">
        <f t="shared" si="57"/>
        <v>0.45613099961846071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-2.2737367544323206E-13</v>
      </c>
      <c r="AJ73" s="14">
        <f>AI73*VLOOKUP('Données projet'!$B$10,Paramètres!$A$1:$I$89,3,0)*VLOOKUP('Données projet'!$B$10,Paramètres!$A$1:$I$89,5,0)</f>
        <v>-1.064108801074326E-13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213.5791415320935</v>
      </c>
      <c r="AO73" s="62">
        <f t="shared" si="90"/>
        <v>167.49607245443497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4.3014278527388949</v>
      </c>
      <c r="AW73" s="23">
        <f>EXP(-LN(2)/2)*AW72+(1-EXP(-LN(2)/2))/(LN(2)/2)*AQ73*AT73*VLOOKUP('Données projet'!$B$10,Paramètres!$A$1:$I$89,3,0)*0.475*44/12</f>
        <v>1.3935773792652853E-5</v>
      </c>
      <c r="AX73" s="23">
        <f t="shared" si="60"/>
        <v>4.3014417885126877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33.228000000000009</v>
      </c>
      <c r="D74" s="12">
        <f t="shared" si="86"/>
        <v>10.184815769674017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335.11647260801004</v>
      </c>
      <c r="H74" s="70">
        <f t="shared" si="56"/>
        <v>368.94398746551559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3.6</v>
      </c>
      <c r="N74" s="14">
        <f>IF('Données projet'!$A$36&gt;35,N73+M74-V73,IF(A74&lt;'Données projet'!$A$36,$K$205^A74,IF(A74='Données projet'!$A$36,'Données projet'!$B$36,N73+M74-V73)))</f>
        <v>159.59999999999985</v>
      </c>
      <c r="O74" s="14">
        <f>N74*VLOOKUP('Données projet'!$B$9,Paramètres!$A$1:$I$89,3,0)*VLOOKUP('Données projet'!$B$9,Paramètres!$A$1:$I$89,5,0)</f>
        <v>129.46751999999987</v>
      </c>
      <c r="P74" s="14">
        <f t="shared" si="87"/>
        <v>33.873289462262882</v>
      </c>
      <c r="Q74" s="22">
        <f t="shared" si="54"/>
        <v>284.48524314677428</v>
      </c>
      <c r="R74" s="62">
        <f t="shared" si="55"/>
        <v>577.81857648010759</v>
      </c>
      <c r="S74" s="62">
        <f ca="1">AVERAGE(OFFSET($R$3,0,0,'Données projet'!$E$9+1,1))-AVERAGE(OFFSET($H$3,0,0,'Données projet'!$E$9+1,1))</f>
        <v>135.99759935190264</v>
      </c>
      <c r="T74" s="62">
        <f t="shared" si="88"/>
        <v>103.49526616376608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0.44365303586770188</v>
      </c>
      <c r="AB74" s="23">
        <f>EXP(-LN(2)/2)*AB73+(1-EXP(-LN(2)/2))/(LN(2)/2)*V74*Y74*VLOOKUP('Données projet'!$B$9,Paramètres!$A$1:$I$89,3,0)*0.475*44/12</f>
        <v>3.6622509318237887E-6</v>
      </c>
      <c r="AC74" s="24">
        <f t="shared" si="57"/>
        <v>0.44365669811863373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-2.2737367544323206E-13</v>
      </c>
      <c r="AJ74" s="14">
        <f>AI74*VLOOKUP('Données projet'!$B$10,Paramètres!$A$1:$I$89,3,0)*VLOOKUP('Données projet'!$B$10,Paramètres!$A$1:$I$89,5,0)</f>
        <v>-1.064108801074326E-13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213.5791415320935</v>
      </c>
      <c r="AO74" s="62">
        <f t="shared" si="90"/>
        <v>167.49607245443497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4.1838050819034898</v>
      </c>
      <c r="AW74" s="23">
        <f>EXP(-LN(2)/2)*AW73+(1-EXP(-LN(2)/2))/(LN(2)/2)*AQ74*AT74*VLOOKUP('Données projet'!$B$10,Paramètres!$A$1:$I$89,3,0)*0.475*44/12</f>
        <v>9.8540801498666046E-6</v>
      </c>
      <c r="AX74" s="23">
        <f t="shared" si="60"/>
        <v>4.1838149359836398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33.696000000000012</v>
      </c>
      <c r="D75" s="12">
        <f t="shared" si="86"/>
        <v>10.311463159807191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339.70673316342402</v>
      </c>
      <c r="H75" s="70">
        <f t="shared" si="56"/>
        <v>369.97966500333087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3.6</v>
      </c>
      <c r="N75" s="14">
        <f>IF('Données projet'!$A$36&gt;35,N74+M75-V74,IF(A75&lt;'Données projet'!$A$36,$K$205^A75,IF(A75='Données projet'!$A$36,'Données projet'!$B$36,N74+M75-V74)))</f>
        <v>163.19999999999985</v>
      </c>
      <c r="O75" s="14">
        <f>N75*VLOOKUP('Données projet'!$B$9,Paramètres!$A$1:$I$89,3,0)*VLOOKUP('Données projet'!$B$9,Paramètres!$A$1:$I$89,5,0)</f>
        <v>132.38783999999987</v>
      </c>
      <c r="P75" s="14">
        <f t="shared" si="87"/>
        <v>34.547533199821267</v>
      </c>
      <c r="Q75" s="22">
        <f t="shared" si="54"/>
        <v>290.74577498968847</v>
      </c>
      <c r="R75" s="62">
        <f t="shared" si="55"/>
        <v>584.07910832302173</v>
      </c>
      <c r="S75" s="62">
        <f ca="1">AVERAGE(OFFSET($R$3,0,0,'Données projet'!$E$9+1,1))-AVERAGE(OFFSET($H$3,0,0,'Données projet'!$E$9+1,1))</f>
        <v>135.99759935190264</v>
      </c>
      <c r="T75" s="62">
        <f t="shared" si="88"/>
        <v>103.49526616376608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0.43152132027120038</v>
      </c>
      <c r="AB75" s="23">
        <f>EXP(-LN(2)/2)*AB74+(1-EXP(-LN(2)/2))/(LN(2)/2)*V75*Y75*VLOOKUP('Données projet'!$B$9,Paramètres!$A$1:$I$89,3,0)*0.475*44/12</f>
        <v>2.5896024682993535E-6</v>
      </c>
      <c r="AC75" s="24">
        <f t="shared" si="57"/>
        <v>0.43152390987366868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-2.2737367544323206E-13</v>
      </c>
      <c r="AJ75" s="14">
        <f>AI75*VLOOKUP('Données projet'!$B$10,Paramètres!$A$1:$I$89,3,0)*VLOOKUP('Données projet'!$B$10,Paramètres!$A$1:$I$89,5,0)</f>
        <v>-1.064108801074326E-13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213.5791415320935</v>
      </c>
      <c r="AO75" s="62">
        <f t="shared" si="90"/>
        <v>167.49607245443497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4.0693987119220916</v>
      </c>
      <c r="AW75" s="23">
        <f>EXP(-LN(2)/2)*AW74+(1-EXP(-LN(2)/2))/(LN(2)/2)*AQ75*AT75*VLOOKUP('Données projet'!$B$10,Paramètres!$A$1:$I$89,3,0)*0.475*44/12</f>
        <v>6.9678868963264267E-6</v>
      </c>
      <c r="AX75" s="23">
        <f t="shared" si="60"/>
        <v>4.0694056798089875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34.164000000000016</v>
      </c>
      <c r="D76" s="12">
        <f t="shared" si="86"/>
        <v>10.437905961785614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344.29541444185406</v>
      </c>
      <c r="H76" s="70">
        <f t="shared" si="56"/>
        <v>371.01498621677661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3.6</v>
      </c>
      <c r="N76" s="14">
        <f>IF('Données projet'!$A$36&gt;35,N75+M76-V75,IF(A76&lt;'Données projet'!$A$36,$K$205^A76,IF(A76='Données projet'!$A$36,'Données projet'!$B$36,N75+M76-V75)))</f>
        <v>166.79999999999984</v>
      </c>
      <c r="O76" s="14">
        <f>N76*VLOOKUP('Données projet'!$B$9,Paramètres!$A$1:$I$89,3,0)*VLOOKUP('Données projet'!$B$9,Paramètres!$A$1:$I$89,5,0)</f>
        <v>135.30815999999987</v>
      </c>
      <c r="P76" s="14">
        <f t="shared" si="87"/>
        <v>35.220047789889875</v>
      </c>
      <c r="Q76" s="22">
        <f t="shared" si="54"/>
        <v>297.00329523405793</v>
      </c>
      <c r="R76" s="62">
        <f t="shared" si="55"/>
        <v>590.33662856739124</v>
      </c>
      <c r="S76" s="62">
        <f ca="1">AVERAGE(OFFSET($R$3,0,0,'Données projet'!$E$9+1,1))-AVERAGE(OFFSET($H$3,0,0,'Données projet'!$E$9+1,1))</f>
        <v>135.99759935190264</v>
      </c>
      <c r="T76" s="62">
        <f t="shared" si="88"/>
        <v>103.49526616376608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0.41972134707566444</v>
      </c>
      <c r="AB76" s="23">
        <f>EXP(-LN(2)/2)*AB75+(1-EXP(-LN(2)/2))/(LN(2)/2)*V76*Y76*VLOOKUP('Données projet'!$B$9,Paramètres!$A$1:$I$89,3,0)*0.475*44/12</f>
        <v>1.8311254659118944E-6</v>
      </c>
      <c r="AC76" s="24">
        <f t="shared" si="57"/>
        <v>0.41972317820113036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-2.2737367544323206E-13</v>
      </c>
      <c r="AJ76" s="14">
        <f>AI76*VLOOKUP('Données projet'!$B$10,Paramètres!$A$1:$I$89,3,0)*VLOOKUP('Données projet'!$B$10,Paramètres!$A$1:$I$89,5,0)</f>
        <v>-1.064108801074326E-13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213.5791415320935</v>
      </c>
      <c r="AO76" s="62">
        <f t="shared" si="90"/>
        <v>167.49607245443497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3.9581207901442044</v>
      </c>
      <c r="AW76" s="23">
        <f>EXP(-LN(2)/2)*AW75+(1-EXP(-LN(2)/2))/(LN(2)/2)*AQ76*AT76*VLOOKUP('Données projet'!$B$10,Paramètres!$A$1:$I$89,3,0)*0.475*44/12</f>
        <v>4.9270400749333023E-6</v>
      </c>
      <c r="AX76" s="23">
        <f t="shared" si="60"/>
        <v>3.9581257171842794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77" s="12">
        <f t="shared" si="86"/>
        <v>10.564147302110397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348.88254057769444</v>
      </c>
      <c r="H77" s="70">
        <f t="shared" si="56"/>
        <v>372.04995655117563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3.6</v>
      </c>
      <c r="N77" s="14">
        <f>IF('Données projet'!$A$36&gt;35,N76+M77-V76,IF(A77&lt;'Données projet'!$A$36,$K$205^A77,IF(A77='Données projet'!$A$36,'Données projet'!$B$36,N76+M77-V76)))</f>
        <v>170.39999999999984</v>
      </c>
      <c r="O77" s="14">
        <f>N77*VLOOKUP('Données projet'!$B$9,Paramètres!$A$1:$I$89,3,0)*VLOOKUP('Données projet'!$B$9,Paramètres!$A$1:$I$89,5,0)</f>
        <v>138.22847999999988</v>
      </c>
      <c r="P77" s="14">
        <f t="shared" si="87"/>
        <v>35.890874850450473</v>
      </c>
      <c r="Q77" s="22">
        <f t="shared" si="54"/>
        <v>303.25787636453435</v>
      </c>
      <c r="R77" s="62">
        <f t="shared" si="55"/>
        <v>596.59120969786773</v>
      </c>
      <c r="S77" s="62">
        <f ca="1">AVERAGE(OFFSET($R$3,0,0,'Données projet'!$E$9+1,1))-AVERAGE(OFFSET($H$3,0,0,'Données projet'!$E$9+1,1))</f>
        <v>135.99759935190264</v>
      </c>
      <c r="T77" s="62">
        <f t="shared" si="88"/>
        <v>103.49526616376608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0.40824404476769405</v>
      </c>
      <c r="AB77" s="23">
        <f>EXP(-LN(2)/2)*AB76+(1-EXP(-LN(2)/2))/(LN(2)/2)*V77*Y77*VLOOKUP('Données projet'!$B$9,Paramètres!$A$1:$I$89,3,0)*0.475*44/12</f>
        <v>1.2948012341496768E-6</v>
      </c>
      <c r="AC77" s="24">
        <f t="shared" si="57"/>
        <v>0.40824533956892822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-2.2737367544323206E-13</v>
      </c>
      <c r="AJ77" s="14">
        <f>AI77*VLOOKUP('Données projet'!$B$10,Paramètres!$A$1:$I$89,3,0)*VLOOKUP('Données projet'!$B$10,Paramètres!$A$1:$I$89,5,0)</f>
        <v>-1.064108801074326E-13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213.5791415320935</v>
      </c>
      <c r="AO77" s="62">
        <f t="shared" si="90"/>
        <v>167.49607245443497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3.8498857689891852</v>
      </c>
      <c r="AW77" s="23">
        <f>EXP(-LN(2)/2)*AW76+(1-EXP(-LN(2)/2))/(LN(2)/2)*AQ77*AT77*VLOOKUP('Données projet'!$B$10,Paramètres!$A$1:$I$89,3,0)*0.475*44/12</f>
        <v>3.4839434481632134E-6</v>
      </c>
      <c r="AX77" s="23">
        <f t="shared" si="60"/>
        <v>3.8498892529326332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35.100000000000023</v>
      </c>
      <c r="D78" s="12">
        <f t="shared" si="86"/>
        <v>10.690190217926903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353.46813501557631</v>
      </c>
      <c r="H78" s="70">
        <f t="shared" si="56"/>
        <v>373.08458129622272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174</v>
      </c>
      <c r="L78" s="13">
        <f>VLOOKUP(A78,'Données projet'!$A$35:$I$55,9,0)</f>
        <v>3.6</v>
      </c>
      <c r="M78" s="13">
        <f t="array" ref="M78">INDEX(L:L,MIN(IF(ISNUMBER(L78:L274),ROW(L78:L274),"")))</f>
        <v>3.6</v>
      </c>
      <c r="N78" s="14">
        <f>IF('Données projet'!$A$36&gt;35,N77+M78-V77,IF(A78&lt;'Données projet'!$A$36,$K$205^A78,IF(A78='Données projet'!$A$36,'Données projet'!$B$36,N77+M78-V77)))</f>
        <v>173.99999999999983</v>
      </c>
      <c r="O78" s="14">
        <f>N78*VLOOKUP('Données projet'!$B$9,Paramètres!$A$1:$I$89,3,0)*VLOOKUP('Données projet'!$B$9,Paramètres!$A$1:$I$89,5,0)</f>
        <v>141.14879999999988</v>
      </c>
      <c r="P78" s="14">
        <f t="shared" si="87"/>
        <v>36.560054140504448</v>
      </c>
      <c r="Q78" s="22">
        <f t="shared" si="54"/>
        <v>309.50958762804504</v>
      </c>
      <c r="R78" s="62">
        <f t="shared" si="55"/>
        <v>602.84292096137835</v>
      </c>
      <c r="S78" s="62">
        <f ca="1">AVERAGE(OFFSET($R$3,0,0,'Données projet'!$E$9+1,1))-AVERAGE(OFFSET($H$3,0,0,'Données projet'!$E$9+1,1))</f>
        <v>135.99759935190264</v>
      </c>
      <c r="T78" s="62">
        <f t="shared" si="88"/>
        <v>103.49526616376608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11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0.39708058989490019</v>
      </c>
      <c r="AB78" s="23">
        <f>EXP(-LN(2)/2)*AB77+(1-EXP(-LN(2)/2))/(LN(2)/2)*V78*Y78*VLOOKUP('Données projet'!$B$9,Paramètres!$A$1:$I$89,3,0)*0.475*44/12</f>
        <v>9.1556273295594718E-7</v>
      </c>
      <c r="AC78" s="24">
        <f t="shared" si="57"/>
        <v>0.39708150545763315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-2.2737367544323206E-13</v>
      </c>
      <c r="AJ78" s="14">
        <f>AI78*VLOOKUP('Données projet'!$B$10,Paramètres!$A$1:$I$89,3,0)*VLOOKUP('Données projet'!$B$10,Paramètres!$A$1:$I$89,5,0)</f>
        <v>-1.064108801074326E-13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213.5791415320935</v>
      </c>
      <c r="AO78" s="62">
        <f t="shared" si="90"/>
        <v>167.49607245443497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3.7446104401794824</v>
      </c>
      <c r="AW78" s="23">
        <f>EXP(-LN(2)/2)*AW77+(1-EXP(-LN(2)/2))/(LN(2)/2)*AQ78*AT78*VLOOKUP('Données projet'!$B$10,Paramètres!$A$1:$I$89,3,0)*0.475*44/12</f>
        <v>2.4635200374666512E-6</v>
      </c>
      <c r="AX78" s="23">
        <f t="shared" si="60"/>
        <v>3.7446129036995197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35.568000000000026</v>
      </c>
      <c r="D79" s="12">
        <f t="shared" si="86"/>
        <v>10.816037660735214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358.05222053900889</v>
      </c>
      <c r="H79" s="70">
        <f t="shared" si="56"/>
        <v>374.11886559244721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3.6</v>
      </c>
      <c r="N79" s="14">
        <f>IF('Données projet'!$A$36&gt;35,N78+M79-V78,IF(A79&lt;'Données projet'!$A$36,$K$205^A79,IF(A79='Données projet'!$A$36,'Données projet'!$B$36,N78+M79-V78)))</f>
        <v>166.59999999999982</v>
      </c>
      <c r="O79" s="14">
        <f>N79*VLOOKUP('Données projet'!$B$9,Paramètres!$A$1:$I$89,3,0)*VLOOKUP('Données projet'!$B$9,Paramètres!$A$1:$I$89,5,0)</f>
        <v>135.14591999999985</v>
      </c>
      <c r="P79" s="14">
        <f t="shared" si="87"/>
        <v>35.182730515416814</v>
      </c>
      <c r="Q79" s="22">
        <f t="shared" si="54"/>
        <v>296.65573298101731</v>
      </c>
      <c r="R79" s="62">
        <f t="shared" si="55"/>
        <v>589.98906631435057</v>
      </c>
      <c r="S79" s="62">
        <f ca="1">AVERAGE(OFFSET($R$3,0,0,'Données projet'!$E$9+1,1))-AVERAGE(OFFSET($H$3,0,0,'Données projet'!$E$9+1,1))</f>
        <v>135.99759935190264</v>
      </c>
      <c r="T79" s="62">
        <f t="shared" si="88"/>
        <v>103.49526616376608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0.38622240028266347</v>
      </c>
      <c r="AB79" s="23">
        <f>EXP(-LN(2)/2)*AB78+(1-EXP(-LN(2)/2))/(LN(2)/2)*V79*Y79*VLOOKUP('Données projet'!$B$9,Paramètres!$A$1:$I$89,3,0)*0.475*44/12</f>
        <v>6.4740061707483838E-7</v>
      </c>
      <c r="AC79" s="24">
        <f t="shared" si="57"/>
        <v>0.38622304768328053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-2.2737367544323206E-13</v>
      </c>
      <c r="AJ79" s="14">
        <f>AI79*VLOOKUP('Données projet'!$B$10,Paramètres!$A$1:$I$89,3,0)*VLOOKUP('Données projet'!$B$10,Paramètres!$A$1:$I$89,5,0)</f>
        <v>-1.064108801074326E-13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213.5791415320935</v>
      </c>
      <c r="AO79" s="62">
        <f t="shared" si="90"/>
        <v>167.49607245443497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3.6422138707722698</v>
      </c>
      <c r="AW79" s="23">
        <f>EXP(-LN(2)/2)*AW78+(1-EXP(-LN(2)/2))/(LN(2)/2)*AQ79*AT79*VLOOKUP('Données projet'!$B$10,Paramètres!$A$1:$I$89,3,0)*0.475*44/12</f>
        <v>1.7419717240816067E-6</v>
      </c>
      <c r="AX79" s="23">
        <f t="shared" si="60"/>
        <v>3.642215612743994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36.03600000000003</v>
      </c>
      <c r="D80" s="12">
        <f t="shared" si="86"/>
        <v>10.941692499899752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362.63481929747201</v>
      </c>
      <c r="H80" s="70">
        <f t="shared" si="56"/>
        <v>375.15281443732545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3.6</v>
      </c>
      <c r="N80" s="14">
        <f>IF('Données projet'!$A$36&gt;35,N79+M80-V79,IF(A80&lt;'Données projet'!$A$36,$K$205^A80,IF(A80='Données projet'!$A$36,'Données projet'!$B$36,N79+M80-V79)))</f>
        <v>170.19999999999982</v>
      </c>
      <c r="O80" s="14">
        <f>N80*VLOOKUP('Données projet'!$B$9,Paramètres!$A$1:$I$89,3,0)*VLOOKUP('Données projet'!$B$9,Paramètres!$A$1:$I$89,5,0)</f>
        <v>138.06623999999985</v>
      </c>
      <c r="P80" s="14">
        <f t="shared" si="87"/>
        <v>35.853650267953661</v>
      </c>
      <c r="Q80" s="22">
        <f t="shared" si="54"/>
        <v>302.91047555001904</v>
      </c>
      <c r="R80" s="62">
        <f t="shared" si="55"/>
        <v>596.24380888335236</v>
      </c>
      <c r="S80" s="62">
        <f ca="1">AVERAGE(OFFSET($R$3,0,0,'Données projet'!$E$9+1,1))-AVERAGE(OFFSET($H$3,0,0,'Données projet'!$E$9+1,1))</f>
        <v>135.99759935190264</v>
      </c>
      <c r="T80" s="62">
        <f t="shared" si="88"/>
        <v>103.49526616376608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0.37566112843638072</v>
      </c>
      <c r="AB80" s="23">
        <f>EXP(-LN(2)/2)*AB79+(1-EXP(-LN(2)/2))/(LN(2)/2)*V80*Y80*VLOOKUP('Données projet'!$B$9,Paramètres!$A$1:$I$89,3,0)*0.475*44/12</f>
        <v>4.5778136647797359E-7</v>
      </c>
      <c r="AC80" s="24">
        <f t="shared" si="57"/>
        <v>0.3756615862177472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-2.2737367544323206E-13</v>
      </c>
      <c r="AJ80" s="14">
        <f>AI80*VLOOKUP('Données projet'!$B$10,Paramètres!$A$1:$I$89,3,0)*VLOOKUP('Données projet'!$B$10,Paramètres!$A$1:$I$89,5,0)</f>
        <v>-1.064108801074326E-13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213.5791415320935</v>
      </c>
      <c r="AO80" s="62">
        <f t="shared" si="90"/>
        <v>167.49607245443497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3.542617340940299</v>
      </c>
      <c r="AW80" s="23">
        <f>EXP(-LN(2)/2)*AW79+(1-EXP(-LN(2)/2))/(LN(2)/2)*AQ80*AT80*VLOOKUP('Données projet'!$B$10,Paramètres!$A$1:$I$89,3,0)*0.475*44/12</f>
        <v>1.2317600187333256E-6</v>
      </c>
      <c r="AX80" s="23">
        <f t="shared" si="60"/>
        <v>3.5426185727003179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36.504000000000033</v>
      </c>
      <c r="D81" s="12">
        <f t="shared" si="86"/>
        <v>11.067157525971385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367.21595283206005</v>
      </c>
      <c r="H81" s="70">
        <f t="shared" si="56"/>
        <v>376.18643269106684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3.6</v>
      </c>
      <c r="N81" s="14">
        <f>IF('Données projet'!$A$36&gt;35,N80+M81-V80,IF(A81&lt;'Données projet'!$A$36,$K$205^A81,IF(A81='Données projet'!$A$36,'Données projet'!$B$36,N80+M81-V80)))</f>
        <v>173.79999999999981</v>
      </c>
      <c r="O81" s="14">
        <f>N81*VLOOKUP('Données projet'!$B$9,Paramètres!$A$1:$I$89,3,0)*VLOOKUP('Données projet'!$B$9,Paramètres!$A$1:$I$89,5,0)</f>
        <v>140.98655999999986</v>
      </c>
      <c r="P81" s="14">
        <f t="shared" si="87"/>
        <v>36.522920087836944</v>
      </c>
      <c r="Q81" s="22">
        <f t="shared" si="54"/>
        <v>309.1623444863157</v>
      </c>
      <c r="R81" s="62">
        <f t="shared" si="55"/>
        <v>602.49567781964902</v>
      </c>
      <c r="S81" s="62">
        <f ca="1">AVERAGE(OFFSET($R$3,0,0,'Données projet'!$E$9+1,1))-AVERAGE(OFFSET($H$3,0,0,'Données projet'!$E$9+1,1))</f>
        <v>135.99759935190264</v>
      </c>
      <c r="T81" s="62">
        <f t="shared" si="88"/>
        <v>103.49526616376608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0.36538865512412771</v>
      </c>
      <c r="AB81" s="23">
        <f>EXP(-LN(2)/2)*AB80+(1-EXP(-LN(2)/2))/(LN(2)/2)*V81*Y81*VLOOKUP('Données projet'!$B$9,Paramètres!$A$1:$I$89,3,0)*0.475*44/12</f>
        <v>3.2370030853741919E-7</v>
      </c>
      <c r="AC81" s="24">
        <f t="shared" si="57"/>
        <v>0.36538897882443627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-2.2737367544323206E-13</v>
      </c>
      <c r="AJ81" s="14">
        <f>AI81*VLOOKUP('Données projet'!$B$10,Paramètres!$A$1:$I$89,3,0)*VLOOKUP('Données projet'!$B$10,Paramètres!$A$1:$I$89,5,0)</f>
        <v>-1.064108801074326E-13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213.5791415320935</v>
      </c>
      <c r="AO81" s="62">
        <f t="shared" si="90"/>
        <v>167.49607245443497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3.4457442834541374</v>
      </c>
      <c r="AW81" s="23">
        <f>EXP(-LN(2)/2)*AW80+(1-EXP(-LN(2)/2))/(LN(2)/2)*AQ81*AT81*VLOOKUP('Données projet'!$B$10,Paramètres!$A$1:$I$89,3,0)*0.475*44/12</f>
        <v>8.7098586204080334E-7</v>
      </c>
      <c r="AX81" s="23">
        <f t="shared" si="60"/>
        <v>3.4457451544399995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36.972000000000037</v>
      </c>
      <c r="D82" s="12">
        <f t="shared" si="86"/>
        <v>11.192435453834337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371.79564209977411</v>
      </c>
      <c r="H82" s="70">
        <f t="shared" si="56"/>
        <v>377.21972508209484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3.6</v>
      </c>
      <c r="N82" s="14">
        <f>IF('Données projet'!$A$36&gt;35,N81+M82-V81,IF(A82&lt;'Données projet'!$A$36,$K$205^A82,IF(A82='Données projet'!$A$36,'Données projet'!$B$36,N81+M82-V81)))</f>
        <v>177.39999999999981</v>
      </c>
      <c r="O82" s="14">
        <f>N82*VLOOKUP('Données projet'!$B$9,Paramètres!$A$1:$I$89,3,0)*VLOOKUP('Données projet'!$B$9,Paramètres!$A$1:$I$89,5,0)</f>
        <v>143.90687999999986</v>
      </c>
      <c r="P82" s="14">
        <f t="shared" si="87"/>
        <v>37.190578088496352</v>
      </c>
      <c r="Q82" s="22">
        <f t="shared" si="54"/>
        <v>315.41140617079753</v>
      </c>
      <c r="R82" s="62">
        <f t="shared" si="55"/>
        <v>608.74473950413085</v>
      </c>
      <c r="S82" s="62">
        <f ca="1">AVERAGE(OFFSET($R$3,0,0,'Données projet'!$E$9+1,1))-AVERAGE(OFFSET($H$3,0,0,'Données projet'!$E$9+1,1))</f>
        <v>135.99759935190264</v>
      </c>
      <c r="T82" s="62">
        <f t="shared" si="88"/>
        <v>103.49526616376608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0.35539708313480417</v>
      </c>
      <c r="AB82" s="23">
        <f>EXP(-LN(2)/2)*AB81+(1-EXP(-LN(2)/2))/(LN(2)/2)*V82*Y82*VLOOKUP('Données projet'!$B$9,Paramètres!$A$1:$I$89,3,0)*0.475*44/12</f>
        <v>2.288906832389868E-7</v>
      </c>
      <c r="AC82" s="24">
        <f t="shared" si="57"/>
        <v>0.35539731202548741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-2.2737367544323206E-13</v>
      </c>
      <c r="AJ82" s="14">
        <f>AI82*VLOOKUP('Données projet'!$B$10,Paramètres!$A$1:$I$89,3,0)*VLOOKUP('Données projet'!$B$10,Paramètres!$A$1:$I$89,5,0)</f>
        <v>-1.064108801074326E-13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213.5791415320935</v>
      </c>
      <c r="AO82" s="62">
        <f t="shared" si="90"/>
        <v>167.49607245443497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3.3515202248192675</v>
      </c>
      <c r="AW82" s="23">
        <f>EXP(-LN(2)/2)*AW81+(1-EXP(-LN(2)/2))/(LN(2)/2)*AQ82*AT82*VLOOKUP('Données projet'!$B$10,Paramètres!$A$1:$I$89,3,0)*0.475*44/12</f>
        <v>6.1588000936666279E-7</v>
      </c>
      <c r="AX82" s="23">
        <f t="shared" si="60"/>
        <v>3.3515208406992767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37.44000000000004</v>
      </c>
      <c r="D83" s="12">
        <f t="shared" si="86"/>
        <v>11.317528925689196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376.37390749654855</v>
      </c>
      <c r="H83" s="70">
        <f t="shared" si="56"/>
        <v>378.25269621224209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181</v>
      </c>
      <c r="L83" s="13">
        <f>VLOOKUP(A83,'Données projet'!$A$35:$I$55,9,0)</f>
        <v>3.6</v>
      </c>
      <c r="M83" s="13">
        <f t="array" ref="M83">INDEX(L:L,MIN(IF(ISNUMBER(L83:L279),ROW(L83:L279),"")))</f>
        <v>3.6</v>
      </c>
      <c r="N83" s="14">
        <f>IF('Données projet'!$A$36&gt;35,N82+M83-V82,IF(A83&lt;'Données projet'!$A$36,$K$205^A83,IF(A83='Données projet'!$A$36,'Données projet'!$B$36,N82+M83-V82)))</f>
        <v>180.9999999999998</v>
      </c>
      <c r="O83" s="14">
        <f>N83*VLOOKUP('Données projet'!$B$9,Paramètres!$A$1:$I$89,3,0)*VLOOKUP('Données projet'!$B$9,Paramètres!$A$1:$I$89,5,0)</f>
        <v>146.82719999999986</v>
      </c>
      <c r="P83" s="14">
        <f t="shared" si="87"/>
        <v>37.856660748046949</v>
      </c>
      <c r="Q83" s="22">
        <f t="shared" si="54"/>
        <v>321.65772413618151</v>
      </c>
      <c r="R83" s="62">
        <f t="shared" si="55"/>
        <v>614.99105746951477</v>
      </c>
      <c r="S83" s="62">
        <f ca="1">AVERAGE(OFFSET($R$3,0,0,'Données projet'!$E$9+1,1))-AVERAGE(OFFSET($H$3,0,0,'Données projet'!$E$9+1,1))</f>
        <v>135.99759935190264</v>
      </c>
      <c r="T83" s="62">
        <f t="shared" si="88"/>
        <v>103.49526616376608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11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0.34567873120696263</v>
      </c>
      <c r="AB83" s="23">
        <f>EXP(-LN(2)/2)*AB82+(1-EXP(-LN(2)/2))/(LN(2)/2)*V83*Y83*VLOOKUP('Données projet'!$B$9,Paramètres!$A$1:$I$89,3,0)*0.475*44/12</f>
        <v>1.618501542687096E-7</v>
      </c>
      <c r="AC83" s="24">
        <f t="shared" si="57"/>
        <v>0.34567889305711691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-2.2737367544323206E-13</v>
      </c>
      <c r="AJ83" s="14">
        <f>AI83*VLOOKUP('Données projet'!$B$10,Paramètres!$A$1:$I$89,3,0)*VLOOKUP('Données projet'!$B$10,Paramètres!$A$1:$I$89,5,0)</f>
        <v>-1.064108801074326E-13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213.5791415320935</v>
      </c>
      <c r="AO83" s="62">
        <f t="shared" si="90"/>
        <v>167.49607245443497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3.2598727280227959</v>
      </c>
      <c r="AW83" s="23">
        <f>EXP(-LN(2)/2)*AW82+(1-EXP(-LN(2)/2))/(LN(2)/2)*AQ83*AT83*VLOOKUP('Données projet'!$B$10,Paramètres!$A$1:$I$89,3,0)*0.475*44/12</f>
        <v>4.3549293102040167E-7</v>
      </c>
      <c r="AX83" s="23">
        <f t="shared" si="60"/>
        <v>3.259873163515727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37.908000000000044</v>
      </c>
      <c r="D84" s="12">
        <f t="shared" si="86"/>
        <v>11.442440513882541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380.95076887909363</v>
      </c>
      <c r="H84" s="70">
        <f t="shared" si="56"/>
        <v>379.2853505616788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3.4</v>
      </c>
      <c r="N84" s="14">
        <f>IF('Données projet'!$A$36&gt;35,N83+M84-V83,IF(A84&lt;'Données projet'!$A$36,$K$205^A84,IF(A84='Données projet'!$A$36,'Données projet'!$B$36,N83+M84-V83)))</f>
        <v>173.39999999999981</v>
      </c>
      <c r="O84" s="14">
        <f>N84*VLOOKUP('Données projet'!$B$9,Paramètres!$A$1:$I$89,3,0)*VLOOKUP('Données projet'!$B$9,Paramètres!$A$1:$I$89,5,0)</f>
        <v>140.66207999999986</v>
      </c>
      <c r="P84" s="14">
        <f t="shared" si="87"/>
        <v>36.448637053108591</v>
      </c>
      <c r="Q84" s="22">
        <f t="shared" si="54"/>
        <v>308.46783220083051</v>
      </c>
      <c r="R84" s="62">
        <f t="shared" si="55"/>
        <v>601.80116553416383</v>
      </c>
      <c r="S84" s="62">
        <f ca="1">AVERAGE(OFFSET($R$3,0,0,'Données projet'!$E$9+1,1))-AVERAGE(OFFSET($H$3,0,0,'Données projet'!$E$9+1,1))</f>
        <v>135.99759935190264</v>
      </c>
      <c r="T84" s="62">
        <f t="shared" si="88"/>
        <v>103.49526616376608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0.33622612812365382</v>
      </c>
      <c r="AB84" s="23">
        <f>EXP(-LN(2)/2)*AB83+(1-EXP(-LN(2)/2))/(LN(2)/2)*V84*Y84*VLOOKUP('Données projet'!$B$9,Paramètres!$A$1:$I$89,3,0)*0.475*44/12</f>
        <v>1.144453416194934E-7</v>
      </c>
      <c r="AC84" s="24">
        <f t="shared" si="57"/>
        <v>0.33622624256899541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-2.2737367544323206E-13</v>
      </c>
      <c r="AJ84" s="14">
        <f>AI84*VLOOKUP('Données projet'!$B$10,Paramètres!$A$1:$I$89,3,0)*VLOOKUP('Données projet'!$B$10,Paramètres!$A$1:$I$89,5,0)</f>
        <v>-1.064108801074326E-13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213.5791415320935</v>
      </c>
      <c r="AO84" s="62">
        <f t="shared" si="90"/>
        <v>167.49607245443497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3.1707313368457561</v>
      </c>
      <c r="AW84" s="23">
        <f>EXP(-LN(2)/2)*AW83+(1-EXP(-LN(2)/2))/(LN(2)/2)*AQ84*AT84*VLOOKUP('Données projet'!$B$10,Paramètres!$A$1:$I$89,3,0)*0.475*44/12</f>
        <v>3.0794000468333139E-7</v>
      </c>
      <c r="AX84" s="23">
        <f t="shared" si="60"/>
        <v>3.1707316447857607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38.376000000000047</v>
      </c>
      <c r="D85" s="12">
        <f t="shared" si="86"/>
        <v>11.567172723592876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385.52624558562957</v>
      </c>
      <c r="H85" s="70">
        <f t="shared" si="56"/>
        <v>380.31769249359098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3.4</v>
      </c>
      <c r="N85" s="14">
        <f>IF('Données projet'!$A$36&gt;35,N84+M85-V84,IF(A85&lt;'Données projet'!$A$36,$K$205^A85,IF(A85='Données projet'!$A$36,'Données projet'!$B$36,N84+M85-V84)))</f>
        <v>176.79999999999981</v>
      </c>
      <c r="O85" s="14">
        <f>N85*VLOOKUP('Données projet'!$B$9,Paramètres!$A$1:$I$89,3,0)*VLOOKUP('Données projet'!$B$9,Paramètres!$A$1:$I$89,5,0)</f>
        <v>143.42015999999987</v>
      </c>
      <c r="P85" s="14">
        <f t="shared" si="87"/>
        <v>37.079412119365749</v>
      </c>
      <c r="Q85" s="22">
        <f t="shared" si="54"/>
        <v>314.37008810789507</v>
      </c>
      <c r="R85" s="62">
        <f t="shared" si="55"/>
        <v>607.70342144122833</v>
      </c>
      <c r="S85" s="62">
        <f ca="1">AVERAGE(OFFSET($R$3,0,0,'Données projet'!$E$9+1,1))-AVERAGE(OFFSET($H$3,0,0,'Données projet'!$E$9+1,1))</f>
        <v>135.99759935190264</v>
      </c>
      <c r="T85" s="62">
        <f t="shared" si="88"/>
        <v>103.49526616376608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0.3270320069687489</v>
      </c>
      <c r="AB85" s="23">
        <f>EXP(-LN(2)/2)*AB84+(1-EXP(-LN(2)/2))/(LN(2)/2)*V85*Y85*VLOOKUP('Données projet'!$B$9,Paramètres!$A$1:$I$89,3,0)*0.475*44/12</f>
        <v>8.0925077134354798E-8</v>
      </c>
      <c r="AC85" s="24">
        <f t="shared" si="57"/>
        <v>0.32703208789382604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-2.2737367544323206E-13</v>
      </c>
      <c r="AJ85" s="14">
        <f>AI85*VLOOKUP('Données projet'!$B$10,Paramètres!$A$1:$I$89,3,0)*VLOOKUP('Données projet'!$B$10,Paramètres!$A$1:$I$89,5,0)</f>
        <v>-1.064108801074326E-13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213.5791415320935</v>
      </c>
      <c r="AO85" s="62">
        <f t="shared" si="90"/>
        <v>167.49607245443497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3.0840275216981947</v>
      </c>
      <c r="AW85" s="23">
        <f>EXP(-LN(2)/2)*AW84+(1-EXP(-LN(2)/2))/(LN(2)/2)*AQ85*AT85*VLOOKUP('Données projet'!$B$10,Paramètres!$A$1:$I$89,3,0)*0.475*44/12</f>
        <v>2.1774646551020084E-7</v>
      </c>
      <c r="AX85" s="23">
        <f t="shared" si="60"/>
        <v>3.08402773944466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38.844000000000051</v>
      </c>
      <c r="D86" s="12">
        <f t="shared" si="86"/>
        <v>11.691727995381735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390.10035645557872</v>
      </c>
      <c r="H86" s="70">
        <f t="shared" si="56"/>
        <v>381.34972625862326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3.4</v>
      </c>
      <c r="N86" s="14">
        <f>IF('Données projet'!$A$36&gt;35,N85+M86-V85,IF(A86&lt;'Données projet'!$A$36,$K$205^A86,IF(A86='Données projet'!$A$36,'Données projet'!$B$36,N85+M86-V85)))</f>
        <v>180.19999999999982</v>
      </c>
      <c r="O86" s="14">
        <f>N86*VLOOKUP('Données projet'!$B$9,Paramètres!$A$1:$I$89,3,0)*VLOOKUP('Données projet'!$B$9,Paramètres!$A$1:$I$89,5,0)</f>
        <v>146.17823999999987</v>
      </c>
      <c r="P86" s="14">
        <f t="shared" si="87"/>
        <v>37.708776707131769</v>
      </c>
      <c r="Q86" s="22">
        <f t="shared" si="54"/>
        <v>320.26988743158756</v>
      </c>
      <c r="R86" s="62">
        <f t="shared" si="55"/>
        <v>613.60322076492093</v>
      </c>
      <c r="S86" s="62">
        <f ca="1">AVERAGE(OFFSET($R$3,0,0,'Données projet'!$E$9+1,1))-AVERAGE(OFFSET($H$3,0,0,'Données projet'!$E$9+1,1))</f>
        <v>135.99759935190264</v>
      </c>
      <c r="T86" s="62">
        <f t="shared" si="88"/>
        <v>103.49526616376608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0.31808929954032267</v>
      </c>
      <c r="AB86" s="23">
        <f>EXP(-LN(2)/2)*AB85+(1-EXP(-LN(2)/2))/(LN(2)/2)*V86*Y86*VLOOKUP('Données projet'!$B$9,Paramètres!$A$1:$I$89,3,0)*0.475*44/12</f>
        <v>5.7222670809746699E-8</v>
      </c>
      <c r="AC86" s="24">
        <f t="shared" si="57"/>
        <v>0.31808935676299349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-2.2737367544323206E-13</v>
      </c>
      <c r="AJ86" s="14">
        <f>AI86*VLOOKUP('Données projet'!$B$10,Paramètres!$A$1:$I$89,3,0)*VLOOKUP('Données projet'!$B$10,Paramètres!$A$1:$I$89,5,0)</f>
        <v>-1.064108801074326E-13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213.5791415320935</v>
      </c>
      <c r="AO86" s="62">
        <f t="shared" si="90"/>
        <v>167.49607245443497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2.999694626935399</v>
      </c>
      <c r="AW86" s="23">
        <f>EXP(-LN(2)/2)*AW85+(1-EXP(-LN(2)/2))/(LN(2)/2)*AQ86*AT86*VLOOKUP('Données projet'!$B$10,Paramètres!$A$1:$I$89,3,0)*0.475*44/12</f>
        <v>1.539700023416657E-7</v>
      </c>
      <c r="AX86" s="23">
        <f t="shared" si="60"/>
        <v>2.9996947809054015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39.312000000000054</v>
      </c>
      <c r="D87" s="12">
        <f t="shared" si="86"/>
        <v>11.816108707618415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394.67311984828297</v>
      </c>
      <c r="H87" s="70">
        <f t="shared" si="56"/>
        <v>382.38145599910212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3.4</v>
      </c>
      <c r="N87" s="14">
        <f>IF('Données projet'!$A$36&gt;35,N86+M87-V86,IF(A87&lt;'Données projet'!$A$36,$K$205^A87,IF(A87='Données projet'!$A$36,'Données projet'!$B$36,N86+M87-V86)))</f>
        <v>183.59999999999982</v>
      </c>
      <c r="O87" s="14">
        <f>N87*VLOOKUP('Données projet'!$B$9,Paramètres!$A$1:$I$89,3,0)*VLOOKUP('Données projet'!$B$9,Paramètres!$A$1:$I$89,5,0)</f>
        <v>148.93631999999985</v>
      </c>
      <c r="P87" s="14">
        <f t="shared" si="87"/>
        <v>38.336760497889287</v>
      </c>
      <c r="Q87" s="22">
        <f t="shared" si="54"/>
        <v>326.16728186715693</v>
      </c>
      <c r="R87" s="62">
        <f t="shared" si="55"/>
        <v>619.5006152004903</v>
      </c>
      <c r="S87" s="62">
        <f ca="1">AVERAGE(OFFSET($R$3,0,0,'Données projet'!$E$9+1,1))-AVERAGE(OFFSET($H$3,0,0,'Données projet'!$E$9+1,1))</f>
        <v>135.99759935190264</v>
      </c>
      <c r="T87" s="62">
        <f t="shared" si="88"/>
        <v>103.49526616376608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0.30939113091680326</v>
      </c>
      <c r="AB87" s="23">
        <f>EXP(-LN(2)/2)*AB86+(1-EXP(-LN(2)/2))/(LN(2)/2)*V87*Y87*VLOOKUP('Données projet'!$B$9,Paramètres!$A$1:$I$89,3,0)*0.475*44/12</f>
        <v>4.0462538567177399E-8</v>
      </c>
      <c r="AC87" s="24">
        <f t="shared" si="57"/>
        <v>0.3093911713793418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-2.2737367544323206E-13</v>
      </c>
      <c r="AJ87" s="14">
        <f>AI87*VLOOKUP('Données projet'!$B$10,Paramètres!$A$1:$I$89,3,0)*VLOOKUP('Données projet'!$B$10,Paramètres!$A$1:$I$89,5,0)</f>
        <v>-1.064108801074326E-13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213.5791415320935</v>
      </c>
      <c r="AO87" s="62">
        <f t="shared" si="90"/>
        <v>167.49607245443497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2.9176678196147661</v>
      </c>
      <c r="AW87" s="23">
        <f>EXP(-LN(2)/2)*AW86+(1-EXP(-LN(2)/2))/(LN(2)/2)*AQ87*AT87*VLOOKUP('Données projet'!$B$10,Paramètres!$A$1:$I$89,3,0)*0.475*44/12</f>
        <v>1.0887323275510042E-7</v>
      </c>
      <c r="AX87" s="23">
        <f t="shared" si="60"/>
        <v>2.9176679284879987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39.780000000000058</v>
      </c>
      <c r="D88" s="12">
        <f t="shared" si="86"/>
        <v>11.940317178785941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399.24455366080423</v>
      </c>
      <c r="H88" s="70">
        <f t="shared" si="56"/>
        <v>383.41288575305225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187</v>
      </c>
      <c r="L88" s="13">
        <f>VLOOKUP(A88,'Données projet'!$A$35:$I$55,9,0)</f>
        <v>3.4</v>
      </c>
      <c r="M88" s="13">
        <f t="array" ref="M88">INDEX(L:L,MIN(IF(ISNUMBER(L88:L284),ROW(L88:L284),"")))</f>
        <v>3.4</v>
      </c>
      <c r="N88" s="14">
        <f>IF('Données projet'!$A$36&gt;35,N87+M88-V87,IF(A88&lt;'Données projet'!$A$36,$K$205^A88,IF(A88='Données projet'!$A$36,'Données projet'!$B$36,N87+M88-V87)))</f>
        <v>186.99999999999983</v>
      </c>
      <c r="O88" s="14">
        <f>N88*VLOOKUP('Données projet'!$B$9,Paramètres!$A$1:$I$89,3,0)*VLOOKUP('Données projet'!$B$9,Paramètres!$A$1:$I$89,5,0)</f>
        <v>151.69439999999986</v>
      </c>
      <c r="P88" s="14">
        <f t="shared" si="87"/>
        <v>38.963392010880618</v>
      </c>
      <c r="Q88" s="22">
        <f t="shared" si="54"/>
        <v>332.06232108561682</v>
      </c>
      <c r="R88" s="62">
        <f t="shared" si="55"/>
        <v>625.39565441895013</v>
      </c>
      <c r="S88" s="62">
        <f ca="1">AVERAGE(OFFSET($R$3,0,0,'Données projet'!$E$9+1,1))-AVERAGE(OFFSET($H$3,0,0,'Données projet'!$E$9+1,1))</f>
        <v>135.99759935190264</v>
      </c>
      <c r="T88" s="62">
        <f t="shared" si="88"/>
        <v>103.49526616376608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10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0.3009308141717108</v>
      </c>
      <c r="AB88" s="23">
        <f>EXP(-LN(2)/2)*AB87+(1-EXP(-LN(2)/2))/(LN(2)/2)*V88*Y88*VLOOKUP('Données projet'!$B$9,Paramètres!$A$1:$I$89,3,0)*0.475*44/12</f>
        <v>2.8611335404873349E-8</v>
      </c>
      <c r="AC88" s="24">
        <f t="shared" si="57"/>
        <v>0.30093084278304622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-2.2737367544323206E-13</v>
      </c>
      <c r="AJ88" s="14">
        <f>AI88*VLOOKUP('Données projet'!$B$10,Paramètres!$A$1:$I$89,3,0)*VLOOKUP('Données projet'!$B$10,Paramètres!$A$1:$I$89,5,0)</f>
        <v>-1.064108801074326E-13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213.5791415320935</v>
      </c>
      <c r="AO88" s="62">
        <f t="shared" si="90"/>
        <v>167.49607245443497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2.8378840396539182</v>
      </c>
      <c r="AW88" s="23">
        <f>EXP(-LN(2)/2)*AW87+(1-EXP(-LN(2)/2))/(LN(2)/2)*AQ88*AT88*VLOOKUP('Données projet'!$B$10,Paramètres!$A$1:$I$89,3,0)*0.475*44/12</f>
        <v>7.6985001170832848E-8</v>
      </c>
      <c r="AX88" s="23">
        <f t="shared" si="60"/>
        <v>2.8378841166389193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40.248000000000062</v>
      </c>
      <c r="D89" s="12">
        <f t="shared" si="86"/>
        <v>12.064355669675374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403.81467534486302</v>
      </c>
      <c r="H89" s="70">
        <f t="shared" si="56"/>
        <v>384.44401945801803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</v>
      </c>
      <c r="N89" s="14">
        <f>IF('Données projet'!$A$36&gt;35,N88+M89-V88,IF(A89&lt;'Données projet'!$A$36,$K$205^A89,IF(A89='Données projet'!$A$36,'Données projet'!$B$36,N88+M89-V88)))</f>
        <v>179.99999999999983</v>
      </c>
      <c r="O89" s="14">
        <f>N89*VLOOKUP('Données projet'!$B$9,Paramètres!$A$1:$I$89,3,0)*VLOOKUP('Données projet'!$B$9,Paramètres!$A$1:$I$89,5,0)</f>
        <v>146.01599999999985</v>
      </c>
      <c r="P89" s="14">
        <f t="shared" si="87"/>
        <v>37.671793767891067</v>
      </c>
      <c r="Q89" s="22">
        <f t="shared" si="54"/>
        <v>319.92290747907668</v>
      </c>
      <c r="R89" s="62">
        <f t="shared" si="55"/>
        <v>613.25624081240994</v>
      </c>
      <c r="S89" s="62">
        <f ca="1">AVERAGE(OFFSET($R$3,0,0,'Données projet'!$E$9+1,1))-AVERAGE(OFFSET($H$3,0,0,'Données projet'!$E$9+1,1))</f>
        <v>135.99759935190264</v>
      </c>
      <c r="T89" s="62">
        <f t="shared" si="88"/>
        <v>103.49526616376608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0.29270184523292164</v>
      </c>
      <c r="AB89" s="23">
        <f>EXP(-LN(2)/2)*AB88+(1-EXP(-LN(2)/2))/(LN(2)/2)*V89*Y89*VLOOKUP('Données projet'!$B$9,Paramètres!$A$1:$I$89,3,0)*0.475*44/12</f>
        <v>2.0231269283588699E-8</v>
      </c>
      <c r="AC89" s="24">
        <f t="shared" si="57"/>
        <v>0.29270186546419091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-2.2737367544323206E-13</v>
      </c>
      <c r="AJ89" s="14">
        <f>AI89*VLOOKUP('Données projet'!$B$10,Paramètres!$A$1:$I$89,3,0)*VLOOKUP('Données projet'!$B$10,Paramètres!$A$1:$I$89,5,0)</f>
        <v>-1.064108801074326E-13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213.5791415320935</v>
      </c>
      <c r="AO89" s="62">
        <f t="shared" si="90"/>
        <v>167.49607245443497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2.7602819513517463</v>
      </c>
      <c r="AW89" s="23">
        <f>EXP(-LN(2)/2)*AW88+(1-EXP(-LN(2)/2))/(LN(2)/2)*AQ89*AT89*VLOOKUP('Données projet'!$B$10,Paramètres!$A$1:$I$89,3,0)*0.475*44/12</f>
        <v>5.4436616377550209E-8</v>
      </c>
      <c r="AX89" s="23">
        <f t="shared" si="60"/>
        <v>2.7602820057883628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40.716000000000065</v>
      </c>
      <c r="D90" s="12">
        <f t="shared" si="86"/>
        <v>12.188226385475193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408.38350192296684</v>
      </c>
      <c r="H90" s="70">
        <f t="shared" si="56"/>
        <v>385.47486095470271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</v>
      </c>
      <c r="N90" s="14">
        <f>IF('Données projet'!$A$36&gt;35,N89+M90-V89,IF(A90&lt;'Données projet'!$A$36,$K$205^A90,IF(A90='Données projet'!$A$36,'Données projet'!$B$36,N89+M90-V89)))</f>
        <v>182.99999999999983</v>
      </c>
      <c r="O90" s="14">
        <f>N90*VLOOKUP('Données projet'!$B$9,Paramètres!$A$1:$I$89,3,0)*VLOOKUP('Données projet'!$B$9,Paramètres!$A$1:$I$89,5,0)</f>
        <v>148.44959999999986</v>
      </c>
      <c r="P90" s="14">
        <f t="shared" si="87"/>
        <v>38.226038889407462</v>
      </c>
      <c r="Q90" s="22">
        <f t="shared" si="54"/>
        <v>325.12673773238441</v>
      </c>
      <c r="R90" s="62">
        <f t="shared" si="55"/>
        <v>618.46007106571778</v>
      </c>
      <c r="S90" s="62">
        <f ca="1">AVERAGE(OFFSET($R$3,0,0,'Données projet'!$E$9+1,1))-AVERAGE(OFFSET($H$3,0,0,'Données projet'!$E$9+1,1))</f>
        <v>135.99759935190264</v>
      </c>
      <c r="T90" s="62">
        <f t="shared" si="88"/>
        <v>103.49526616376608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0.28469789788250632</v>
      </c>
      <c r="AB90" s="23">
        <f>EXP(-LN(2)/2)*AB89+(1-EXP(-LN(2)/2))/(LN(2)/2)*V90*Y90*VLOOKUP('Données projet'!$B$9,Paramètres!$A$1:$I$89,3,0)*0.475*44/12</f>
        <v>1.4305667702436675E-8</v>
      </c>
      <c r="AC90" s="24">
        <f t="shared" si="57"/>
        <v>0.28469791218817403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-2.2737367544323206E-13</v>
      </c>
      <c r="AJ90" s="14">
        <f>AI90*VLOOKUP('Données projet'!$B$10,Paramètres!$A$1:$I$89,3,0)*VLOOKUP('Données projet'!$B$10,Paramètres!$A$1:$I$89,5,0)</f>
        <v>-1.064108801074326E-13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213.5791415320935</v>
      </c>
      <c r="AO90" s="62">
        <f t="shared" si="90"/>
        <v>167.49607245443497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2.6848018962351134</v>
      </c>
      <c r="AW90" s="23">
        <f>EXP(-LN(2)/2)*AW89+(1-EXP(-LN(2)/2))/(LN(2)/2)*AQ90*AT90*VLOOKUP('Données projet'!$B$10,Paramètres!$A$1:$I$89,3,0)*0.475*44/12</f>
        <v>3.8492500585416424E-8</v>
      </c>
      <c r="AX90" s="23">
        <f t="shared" si="60"/>
        <v>2.6848019347276142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41.184000000000069</v>
      </c>
      <c r="D91" s="12">
        <f t="shared" si="86"/>
        <v>12.311931477761863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412.95105000377634</v>
      </c>
      <c r="H91" s="70">
        <f t="shared" si="56"/>
        <v>386.50541399043533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</v>
      </c>
      <c r="N91" s="14">
        <f>IF('Données projet'!$A$36&gt;35,N90+M91-V90,IF(A91&lt;'Données projet'!$A$36,$K$205^A91,IF(A91='Données projet'!$A$36,'Données projet'!$B$36,N90+M91-V90)))</f>
        <v>185.99999999999983</v>
      </c>
      <c r="O91" s="14">
        <f>N91*VLOOKUP('Données projet'!$B$9,Paramètres!$A$1:$I$89,3,0)*VLOOKUP('Données projet'!$B$9,Paramètres!$A$1:$I$89,5,0)</f>
        <v>150.88319999999987</v>
      </c>
      <c r="P91" s="14">
        <f t="shared" si="87"/>
        <v>38.779227360583164</v>
      </c>
      <c r="Q91" s="22">
        <f t="shared" si="54"/>
        <v>330.32872765301545</v>
      </c>
      <c r="R91" s="62">
        <f t="shared" si="55"/>
        <v>623.66206098634871</v>
      </c>
      <c r="S91" s="62">
        <f ca="1">AVERAGE(OFFSET($R$3,0,0,'Données projet'!$E$9+1,1))-AVERAGE(OFFSET($H$3,0,0,'Données projet'!$E$9+1,1))</f>
        <v>135.99759935190264</v>
      </c>
      <c r="T91" s="62">
        <f t="shared" si="88"/>
        <v>103.49526616376608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0.27691281889329744</v>
      </c>
      <c r="AB91" s="23">
        <f>EXP(-LN(2)/2)*AB90+(1-EXP(-LN(2)/2))/(LN(2)/2)*V91*Y91*VLOOKUP('Données projet'!$B$9,Paramètres!$A$1:$I$89,3,0)*0.475*44/12</f>
        <v>1.011563464179435E-8</v>
      </c>
      <c r="AC91" s="24">
        <f t="shared" si="57"/>
        <v>0.2769128290089321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-2.2737367544323206E-13</v>
      </c>
      <c r="AJ91" s="14">
        <f>AI91*VLOOKUP('Données projet'!$B$10,Paramètres!$A$1:$I$89,3,0)*VLOOKUP('Données projet'!$B$10,Paramètres!$A$1:$I$89,5,0)</f>
        <v>-1.064108801074326E-13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213.5791415320935</v>
      </c>
      <c r="AO91" s="62">
        <f t="shared" si="90"/>
        <v>167.49607245443497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2.6113858471949687</v>
      </c>
      <c r="AW91" s="23">
        <f>EXP(-LN(2)/2)*AW90+(1-EXP(-LN(2)/2))/(LN(2)/2)*AQ91*AT91*VLOOKUP('Données projet'!$B$10,Paramètres!$A$1:$I$89,3,0)*0.475*44/12</f>
        <v>2.7218308188775104E-8</v>
      </c>
      <c r="AX91" s="23">
        <f t="shared" si="60"/>
        <v>2.6113858744132767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41.652000000000072</v>
      </c>
      <c r="D92" s="12">
        <f t="shared" si="86"/>
        <v>12.435473046397316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417.51733579675187</v>
      </c>
      <c r="H92" s="70">
        <f t="shared" si="56"/>
        <v>387.53568222247543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</v>
      </c>
      <c r="N92" s="14">
        <f>IF('Données projet'!$A$36&gt;35,N91+M92-V91,IF(A92&lt;'Données projet'!$A$36,$K$205^A92,IF(A92='Données projet'!$A$36,'Données projet'!$B$36,N91+M92-V91)))</f>
        <v>188.99999999999983</v>
      </c>
      <c r="O92" s="14">
        <f>N92*VLOOKUP('Données projet'!$B$9,Paramètres!$A$1:$I$89,3,0)*VLOOKUP('Données projet'!$B$9,Paramètres!$A$1:$I$89,5,0)</f>
        <v>153.31679999999989</v>
      </c>
      <c r="P92" s="14">
        <f t="shared" si="87"/>
        <v>39.331378191752719</v>
      </c>
      <c r="Q92" s="22">
        <f t="shared" si="54"/>
        <v>335.52891035063578</v>
      </c>
      <c r="R92" s="62">
        <f t="shared" si="55"/>
        <v>628.86224368396915</v>
      </c>
      <c r="S92" s="62">
        <f ca="1">AVERAGE(OFFSET($R$3,0,0,'Données projet'!$E$9+1,1))-AVERAGE(OFFSET($H$3,0,0,'Données projet'!$E$9+1,1))</f>
        <v>135.99759935190264</v>
      </c>
      <c r="T92" s="62">
        <f t="shared" si="88"/>
        <v>103.49526616376608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0.26934062329844799</v>
      </c>
      <c r="AB92" s="23">
        <f>EXP(-LN(2)/2)*AB91+(1-EXP(-LN(2)/2))/(LN(2)/2)*V92*Y92*VLOOKUP('Données projet'!$B$9,Paramètres!$A$1:$I$89,3,0)*0.475*44/12</f>
        <v>7.1528338512183374E-9</v>
      </c>
      <c r="AC92" s="24">
        <f t="shared" si="57"/>
        <v>0.26934063045128182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-2.2737367544323206E-13</v>
      </c>
      <c r="AJ92" s="14">
        <f>AI92*VLOOKUP('Données projet'!$B$10,Paramètres!$A$1:$I$89,3,0)*VLOOKUP('Données projet'!$B$10,Paramètres!$A$1:$I$89,5,0)</f>
        <v>-1.064108801074326E-13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213.5791415320935</v>
      </c>
      <c r="AO92" s="62">
        <f t="shared" si="90"/>
        <v>167.49607245443497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2.5399773638766088</v>
      </c>
      <c r="AW92" s="23">
        <f>EXP(-LN(2)/2)*AW91+(1-EXP(-LN(2)/2))/(LN(2)/2)*AQ92*AT92*VLOOKUP('Données projet'!$B$10,Paramètres!$A$1:$I$89,3,0)*0.475*44/12</f>
        <v>1.9246250292708212E-8</v>
      </c>
      <c r="AX92" s="23">
        <f t="shared" si="60"/>
        <v>2.5399773831228591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42.120000000000076</v>
      </c>
      <c r="D93" s="12">
        <f t="shared" si="86"/>
        <v>12.558853141338776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422.08237512612442</v>
      </c>
      <c r="H93" s="70">
        <f t="shared" si="56"/>
        <v>388.56566922116514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192</v>
      </c>
      <c r="L93" s="13">
        <f>VLOOKUP(A93,'Données projet'!$A$35:$I$55,9,0)</f>
        <v>3</v>
      </c>
      <c r="M93" s="13">
        <f t="array" ref="M93">INDEX(L:L,MIN(IF(ISNUMBER(L93:L289),ROW(L93:L289),"")))</f>
        <v>3</v>
      </c>
      <c r="N93" s="14">
        <f>IF('Données projet'!$A$36&gt;35,N92+M93-V92,IF(A93&lt;'Données projet'!$A$36,$K$205^A93,IF(A93='Données projet'!$A$36,'Données projet'!$B$36,N92+M93-V92)))</f>
        <v>191.99999999999983</v>
      </c>
      <c r="O93" s="14">
        <f>N93*VLOOKUP('Données projet'!$B$9,Paramètres!$A$1:$I$89,3,0)*VLOOKUP('Données projet'!$B$9,Paramètres!$A$1:$I$89,5,0)</f>
        <v>155.75039999999987</v>
      </c>
      <c r="P93" s="14">
        <f t="shared" si="87"/>
        <v>39.882509755133718</v>
      </c>
      <c r="Q93" s="22">
        <f t="shared" si="54"/>
        <v>340.72731782352434</v>
      </c>
      <c r="R93" s="62">
        <f t="shared" si="55"/>
        <v>634.0606511568576</v>
      </c>
      <c r="S93" s="62">
        <f ca="1">AVERAGE(OFFSET($R$3,0,0,'Données projet'!$E$9+1,1))-AVERAGE(OFFSET($H$3,0,0,'Données projet'!$E$9+1,1))</f>
        <v>135.99759935190264</v>
      </c>
      <c r="T93" s="62">
        <f t="shared" si="88"/>
        <v>103.49526616376608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192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0.26197548979034413</v>
      </c>
      <c r="AB93" s="23">
        <f>EXP(-LN(2)/2)*AB92+(1-EXP(-LN(2)/2))/(LN(2)/2)*V93*Y93*VLOOKUP('Données projet'!$B$9,Paramètres!$A$1:$I$89,3,0)*0.475*44/12</f>
        <v>5.0578173208971748E-9</v>
      </c>
      <c r="AC93" s="24">
        <f t="shared" si="57"/>
        <v>0.26197549484816146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-2.2737367544323206E-13</v>
      </c>
      <c r="AJ93" s="14">
        <f>AI93*VLOOKUP('Données projet'!$B$10,Paramètres!$A$1:$I$89,3,0)*VLOOKUP('Données projet'!$B$10,Paramètres!$A$1:$I$89,5,0)</f>
        <v>-1.064108801074326E-13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213.5791415320935</v>
      </c>
      <c r="AO93" s="62">
        <f t="shared" si="90"/>
        <v>167.49607245443497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2.4705215492897987</v>
      </c>
      <c r="AW93" s="23">
        <f>EXP(-LN(2)/2)*AW92+(1-EXP(-LN(2)/2))/(LN(2)/2)*AQ93*AT93*VLOOKUP('Données projet'!$B$10,Paramètres!$A$1:$I$89,3,0)*0.475*44/12</f>
        <v>1.3609154094387552E-8</v>
      </c>
      <c r="AX93" s="23">
        <f t="shared" si="60"/>
        <v>2.470521562898953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42.588000000000079</v>
      </c>
      <c r="D94" s="12">
        <f t="shared" si="86"/>
        <v>12.682073764365786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426.64618344422774</v>
      </c>
      <c r="H94" s="70">
        <f t="shared" si="56"/>
        <v>389.59537847293717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-1.7053025658242404E-13</v>
      </c>
      <c r="O94" s="14">
        <f>N94*VLOOKUP('Données projet'!$B$9,Paramètres!$A$1:$I$89,3,0)*VLOOKUP('Données projet'!$B$9,Paramètres!$A$1:$I$89,5,0)</f>
        <v>-1.383341441396624E-13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135.99759935190264</v>
      </c>
      <c r="T94" s="62">
        <f t="shared" si="88"/>
        <v>103.49526616376608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0.25481175624533492</v>
      </c>
      <c r="AB94" s="23">
        <f>EXP(-LN(2)/2)*AB93+(1-EXP(-LN(2)/2))/(LN(2)/2)*V94*Y94*VLOOKUP('Données projet'!$B$9,Paramètres!$A$1:$I$89,3,0)*0.475*44/12</f>
        <v>3.5764169256091687E-9</v>
      </c>
      <c r="AC94" s="24">
        <f t="shared" si="57"/>
        <v>0.25481175982175186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-2.2737367544323206E-13</v>
      </c>
      <c r="AJ94" s="14">
        <f>AI94*VLOOKUP('Données projet'!$B$10,Paramètres!$A$1:$I$89,3,0)*VLOOKUP('Données projet'!$B$10,Paramètres!$A$1:$I$89,5,0)</f>
        <v>-1.064108801074326E-13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213.5791415320935</v>
      </c>
      <c r="AO94" s="62">
        <f t="shared" si="90"/>
        <v>167.49607245443497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2.4029650076053874</v>
      </c>
      <c r="AW94" s="23">
        <f>EXP(-LN(2)/2)*AW93+(1-EXP(-LN(2)/2))/(LN(2)/2)*AQ94*AT94*VLOOKUP('Données projet'!$B$10,Paramètres!$A$1:$I$89,3,0)*0.475*44/12</f>
        <v>9.6231251463541061E-9</v>
      </c>
      <c r="AX94" s="23">
        <f t="shared" si="60"/>
        <v>2.4029650172285124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43.056000000000083</v>
      </c>
      <c r="D95" s="12">
        <f t="shared" si="86"/>
        <v>12.805136870729203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431.20877584422607</v>
      </c>
      <c r="H95" s="70">
        <f t="shared" si="56"/>
        <v>390.62481338318679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-1.7053025658242404E-13</v>
      </c>
      <c r="O95" s="14">
        <f>N95*VLOOKUP('Données projet'!$B$9,Paramètres!$A$1:$I$89,3,0)*VLOOKUP('Données projet'!$B$9,Paramètres!$A$1:$I$89,5,0)</f>
        <v>-1.383341441396624E-13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135.99759935190264</v>
      </c>
      <c r="T95" s="62">
        <f t="shared" si="88"/>
        <v>103.49526616376608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0.24784391537083836</v>
      </c>
      <c r="AB95" s="23">
        <f>EXP(-LN(2)/2)*AB94+(1-EXP(-LN(2)/2))/(LN(2)/2)*V95*Y95*VLOOKUP('Données projet'!$B$9,Paramètres!$A$1:$I$89,3,0)*0.475*44/12</f>
        <v>2.5289086604485874E-9</v>
      </c>
      <c r="AC95" s="24">
        <f t="shared" si="57"/>
        <v>0.24784391789974702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-2.2737367544323206E-13</v>
      </c>
      <c r="AJ95" s="14">
        <f>AI95*VLOOKUP('Données projet'!$B$10,Paramètres!$A$1:$I$89,3,0)*VLOOKUP('Données projet'!$B$10,Paramètres!$A$1:$I$89,5,0)</f>
        <v>-1.064108801074326E-13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213.5791415320935</v>
      </c>
      <c r="AO95" s="62">
        <f t="shared" si="90"/>
        <v>167.49607245443497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2.3372558031059802</v>
      </c>
      <c r="AW95" s="23">
        <f>EXP(-LN(2)/2)*AW94+(1-EXP(-LN(2)/2))/(LN(2)/2)*AQ95*AT95*VLOOKUP('Données projet'!$B$10,Paramètres!$A$1:$I$89,3,0)*0.475*44/12</f>
        <v>6.8045770471937761E-9</v>
      </c>
      <c r="AX95" s="23">
        <f t="shared" si="60"/>
        <v>2.3372558099105571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43.524000000000086</v>
      </c>
      <c r="D96" s="12">
        <f t="shared" si="86"/>
        <v>12.928044370726413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435.77016707227472</v>
      </c>
      <c r="H96" s="70">
        <f t="shared" si="56"/>
        <v>391.65397727901529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-1.7053025658242404E-13</v>
      </c>
      <c r="O96" s="14">
        <f>N96*VLOOKUP('Données projet'!$B$9,Paramètres!$A$1:$I$89,3,0)*VLOOKUP('Données projet'!$B$9,Paramètres!$A$1:$I$89,5,0)</f>
        <v>-1.383341441396624E-13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135.99759935190264</v>
      </c>
      <c r="T96" s="62">
        <f t="shared" si="88"/>
        <v>103.49526616376608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0.24106661047147773</v>
      </c>
      <c r="AB96" s="23">
        <f>EXP(-LN(2)/2)*AB95+(1-EXP(-LN(2)/2))/(LN(2)/2)*V96*Y96*VLOOKUP('Données projet'!$B$9,Paramètres!$A$1:$I$89,3,0)*0.475*44/12</f>
        <v>1.7882084628045843E-9</v>
      </c>
      <c r="AC96" s="24">
        <f t="shared" si="57"/>
        <v>0.2410666122596862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-2.2737367544323206E-13</v>
      </c>
      <c r="AJ96" s="14">
        <f>AI96*VLOOKUP('Données projet'!$B$10,Paramètres!$A$1:$I$89,3,0)*VLOOKUP('Données projet'!$B$10,Paramètres!$A$1:$I$89,5,0)</f>
        <v>-1.064108801074326E-13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213.5791415320935</v>
      </c>
      <c r="AO96" s="62">
        <f t="shared" si="90"/>
        <v>167.49607245443497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2.2733434202591063</v>
      </c>
      <c r="AW96" s="23">
        <f>EXP(-LN(2)/2)*AW95+(1-EXP(-LN(2)/2))/(LN(2)/2)*AQ96*AT96*VLOOKUP('Données projet'!$B$10,Paramètres!$A$1:$I$89,3,0)*0.475*44/12</f>
        <v>4.811562573177053E-9</v>
      </c>
      <c r="AX96" s="23">
        <f t="shared" si="60"/>
        <v>2.273343425070669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43.99200000000009</v>
      </c>
      <c r="D97" s="12">
        <f t="shared" si="86"/>
        <v>13.050798131206898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440.33037153914165</v>
      </c>
      <c r="H97" s="70">
        <f t="shared" si="56"/>
        <v>392.68287341185214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-1.7053025658242404E-13</v>
      </c>
      <c r="O97" s="14">
        <f>N97*VLOOKUP('Données projet'!$B$9,Paramètres!$A$1:$I$89,3,0)*VLOOKUP('Données projet'!$B$9,Paramètres!$A$1:$I$89,5,0)</f>
        <v>-1.383341441396624E-13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135.99759935190264</v>
      </c>
      <c r="T97" s="62">
        <f t="shared" si="88"/>
        <v>103.49526616376608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0.23447463133099308</v>
      </c>
      <c r="AB97" s="23">
        <f>EXP(-LN(2)/2)*AB96+(1-EXP(-LN(2)/2))/(LN(2)/2)*V97*Y97*VLOOKUP('Données projet'!$B$9,Paramètres!$A$1:$I$89,3,0)*0.475*44/12</f>
        <v>1.2644543302242937E-9</v>
      </c>
      <c r="AC97" s="24">
        <f t="shared" si="57"/>
        <v>0.2344746325954474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-2.2737367544323206E-13</v>
      </c>
      <c r="AJ97" s="14">
        <f>AI97*VLOOKUP('Données projet'!$B$10,Paramètres!$A$1:$I$89,3,0)*VLOOKUP('Données projet'!$B$10,Paramètres!$A$1:$I$89,5,0)</f>
        <v>-1.064108801074326E-13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213.5791415320935</v>
      </c>
      <c r="AO97" s="62">
        <f t="shared" si="90"/>
        <v>167.49607245443497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2.2111787248821861</v>
      </c>
      <c r="AW97" s="23">
        <f>EXP(-LN(2)/2)*AW96+(1-EXP(-LN(2)/2))/(LN(2)/2)*AQ97*AT97*VLOOKUP('Données projet'!$B$10,Paramètres!$A$1:$I$89,3,0)*0.475*44/12</f>
        <v>3.4022885235968881E-9</v>
      </c>
      <c r="AX97" s="23">
        <f t="shared" si="60"/>
        <v>2.2111787282844748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44.460000000000093</v>
      </c>
      <c r="D98" s="12">
        <f t="shared" si="86"/>
        <v>13.173399977011883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444.88940333132058</v>
      </c>
      <c r="H98" s="70">
        <f t="shared" si="56"/>
        <v>393.7115049599625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-1.7053025658242404E-13</v>
      </c>
      <c r="O98" s="14">
        <f>N98*VLOOKUP('Données projet'!$B$9,Paramètres!$A$1:$I$89,3,0)*VLOOKUP('Données projet'!$B$9,Paramètres!$A$1:$I$89,5,0)</f>
        <v>-1.383341441396624E-13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135.99759935190264</v>
      </c>
      <c r="T98" s="62">
        <f t="shared" si="88"/>
        <v>103.49526616376608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0.22806291020676212</v>
      </c>
      <c r="AB98" s="23">
        <f>EXP(-LN(2)/2)*AB97+(1-EXP(-LN(2)/2))/(LN(2)/2)*V98*Y98*VLOOKUP('Données projet'!$B$9,Paramètres!$A$1:$I$89,3,0)*0.475*44/12</f>
        <v>8.9410423140229217E-10</v>
      </c>
      <c r="AC98" s="24">
        <f t="shared" si="57"/>
        <v>0.22806291110086635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-2.2737367544323206E-13</v>
      </c>
      <c r="AJ98" s="14">
        <f>AI98*VLOOKUP('Données projet'!$B$10,Paramètres!$A$1:$I$89,3,0)*VLOOKUP('Données projet'!$B$10,Paramètres!$A$1:$I$89,5,0)</f>
        <v>-1.064108801074326E-13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213.5791415320935</v>
      </c>
      <c r="AO98" s="62">
        <f t="shared" si="90"/>
        <v>167.49607245443497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2.1507139263694475</v>
      </c>
      <c r="AW98" s="23">
        <f>EXP(-LN(2)/2)*AW97+(1-EXP(-LN(2)/2))/(LN(2)/2)*AQ98*AT98*VLOOKUP('Données projet'!$B$10,Paramètres!$A$1:$I$89,3,0)*0.475*44/12</f>
        <v>2.4057812865885265E-9</v>
      </c>
      <c r="AX98" s="23">
        <f t="shared" si="60"/>
        <v>2.1507139287752288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44.928000000000097</v>
      </c>
      <c r="D99" s="12">
        <f t="shared" si="86"/>
        <v>13.295851692351626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449.44727622166243</v>
      </c>
      <c r="H99" s="70">
        <f t="shared" si="56"/>
        <v>394.73987503084589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-1.7053025658242404E-13</v>
      </c>
      <c r="O99" s="14">
        <f>N99*VLOOKUP('Données projet'!$B$9,Paramètres!$A$1:$I$89,3,0)*VLOOKUP('Données projet'!$B$9,Paramètres!$A$1:$I$89,5,0)</f>
        <v>-1.383341441396624E-13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135.99759935190264</v>
      </c>
      <c r="T99" s="62">
        <f t="shared" si="88"/>
        <v>103.49526616376608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0.221826517933851</v>
      </c>
      <c r="AB99" s="23">
        <f>EXP(-LN(2)/2)*AB98+(1-EXP(-LN(2)/2))/(LN(2)/2)*V99*Y99*VLOOKUP('Données projet'!$B$9,Paramètres!$A$1:$I$89,3,0)*0.475*44/12</f>
        <v>6.3222716511214686E-10</v>
      </c>
      <c r="AC99" s="24">
        <f t="shared" si="57"/>
        <v>0.22182651856607816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-2.2737367544323206E-13</v>
      </c>
      <c r="AJ99" s="14">
        <f>AI99*VLOOKUP('Données projet'!$B$10,Paramètres!$A$1:$I$89,3,0)*VLOOKUP('Données projet'!$B$10,Paramètres!$A$1:$I$89,5,0)</f>
        <v>-1.064108801074326E-13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213.5791415320935</v>
      </c>
      <c r="AO99" s="62">
        <f t="shared" si="90"/>
        <v>167.49607245443497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2.0919025409517449</v>
      </c>
      <c r="AW99" s="23">
        <f>EXP(-LN(2)/2)*AW98+(1-EXP(-LN(2)/2))/(LN(2)/2)*AQ99*AT99*VLOOKUP('Données projet'!$B$10,Paramètres!$A$1:$I$89,3,0)*0.475*44/12</f>
        <v>1.701144261798444E-9</v>
      </c>
      <c r="AX99" s="23">
        <f t="shared" si="60"/>
        <v>2.091902542652889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45.3960000000001</v>
      </c>
      <c r="D100" s="12">
        <f t="shared" si="86"/>
        <v>13.418155022123713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454.00400367955223</v>
      </c>
      <c r="H100" s="70">
        <f t="shared" si="56"/>
        <v>395.76798666353227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-1.7053025658242404E-13</v>
      </c>
      <c r="O100" s="14">
        <f>N100*VLOOKUP('Données projet'!$B$9,Paramètres!$A$1:$I$89,3,0)*VLOOKUP('Données projet'!$B$9,Paramètres!$A$1:$I$89,5,0)</f>
        <v>-1.383341441396624E-13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135.99759935190264</v>
      </c>
      <c r="T100" s="62">
        <f t="shared" si="88"/>
        <v>103.49526616376608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0.21576066013560025</v>
      </c>
      <c r="AB100" s="23">
        <f>EXP(-LN(2)/2)*AB99+(1-EXP(-LN(2)/2))/(LN(2)/2)*V100*Y100*VLOOKUP('Données projet'!$B$9,Paramètres!$A$1:$I$89,3,0)*0.475*44/12</f>
        <v>4.4705211570114608E-10</v>
      </c>
      <c r="AC100" s="24">
        <f t="shared" si="57"/>
        <v>0.21576066058265236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-2.2737367544323206E-13</v>
      </c>
      <c r="AJ100" s="14">
        <f>AI100*VLOOKUP('Données projet'!$B$10,Paramètres!$A$1:$I$89,3,0)*VLOOKUP('Données projet'!$B$10,Paramètres!$A$1:$I$89,5,0)</f>
        <v>-1.064108801074326E-13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213.5791415320935</v>
      </c>
      <c r="AO100" s="62">
        <f t="shared" si="90"/>
        <v>167.49607245443497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2.0346993559610458</v>
      </c>
      <c r="AW100" s="23">
        <f>EXP(-LN(2)/2)*AW99+(1-EXP(-LN(2)/2))/(LN(2)/2)*AQ100*AT100*VLOOKUP('Données projet'!$B$10,Paramètres!$A$1:$I$89,3,0)*0.475*44/12</f>
        <v>1.2028906432942633E-9</v>
      </c>
      <c r="AX100" s="23">
        <f t="shared" si="60"/>
        <v>2.0346993571639365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45.864000000000104</v>
      </c>
      <c r="D101" s="12">
        <f t="shared" si="86"/>
        <v>13.540311673175431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458.55959888065331</v>
      </c>
      <c r="H101" s="70">
        <f t="shared" si="56"/>
        <v>396.79584283078071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-1.7053025658242404E-13</v>
      </c>
      <c r="O101" s="14">
        <f>N101*VLOOKUP('Données projet'!$B$9,Paramètres!$A$1:$I$89,3,0)*VLOOKUP('Données projet'!$B$9,Paramètres!$A$1:$I$89,5,0)</f>
        <v>-1.383341441396624E-13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135.99759935190264</v>
      </c>
      <c r="T101" s="62">
        <f t="shared" si="88"/>
        <v>103.49526616376608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0.20986067353783228</v>
      </c>
      <c r="AB101" s="23">
        <f>EXP(-LN(2)/2)*AB100+(1-EXP(-LN(2)/2))/(LN(2)/2)*V101*Y101*VLOOKUP('Données projet'!$B$9,Paramètres!$A$1:$I$89,3,0)*0.475*44/12</f>
        <v>3.1611358255607343E-10</v>
      </c>
      <c r="AC101" s="24">
        <f t="shared" si="57"/>
        <v>0.20986067385394586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-2.2737367544323206E-13</v>
      </c>
      <c r="AJ101" s="14">
        <f>AI101*VLOOKUP('Données projet'!$B$10,Paramètres!$A$1:$I$89,3,0)*VLOOKUP('Données projet'!$B$10,Paramètres!$A$1:$I$89,5,0)</f>
        <v>-1.064108801074326E-13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213.5791415320935</v>
      </c>
      <c r="AO101" s="62">
        <f t="shared" si="90"/>
        <v>167.49607245443497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1.9790603950721022</v>
      </c>
      <c r="AW101" s="23">
        <f>EXP(-LN(2)/2)*AW100+(1-EXP(-LN(2)/2))/(LN(2)/2)*AQ101*AT101*VLOOKUP('Données projet'!$B$10,Paramètres!$A$1:$I$89,3,0)*0.475*44/12</f>
        <v>8.5057213089922201E-10</v>
      </c>
      <c r="AX101" s="23">
        <f t="shared" si="60"/>
        <v>1.9790603959226742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46.332000000000107</v>
      </c>
      <c r="D102" s="12">
        <f t="shared" si="86"/>
        <v>13.662323315513085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463.11407471624216</v>
      </c>
      <c r="H102" s="70">
        <f t="shared" si="56"/>
        <v>397.82344644118547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-1.7053025658242404E-13</v>
      </c>
      <c r="O102" s="14">
        <f>N102*VLOOKUP('Données projet'!$B$9,Paramètres!$A$1:$I$89,3,0)*VLOOKUP('Données projet'!$B$9,Paramètres!$A$1:$I$89,5,0)</f>
        <v>-1.383341441396624E-13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135.99759935190264</v>
      </c>
      <c r="T102" s="62">
        <f t="shared" si="88"/>
        <v>103.49526616376608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0.20412202238384708</v>
      </c>
      <c r="AB102" s="23">
        <f>EXP(-LN(2)/2)*AB101+(1-EXP(-LN(2)/2))/(LN(2)/2)*V102*Y102*VLOOKUP('Données projet'!$B$9,Paramètres!$A$1:$I$89,3,0)*0.475*44/12</f>
        <v>2.2352605785057304E-10</v>
      </c>
      <c r="AC102" s="24">
        <f t="shared" si="57"/>
        <v>0.20412202260737314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-2.2737367544323206E-13</v>
      </c>
      <c r="AJ102" s="14">
        <f>AI102*VLOOKUP('Données projet'!$B$10,Paramètres!$A$1:$I$89,3,0)*VLOOKUP('Données projet'!$B$10,Paramètres!$A$1:$I$89,5,0)</f>
        <v>-1.064108801074326E-13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213.5791415320935</v>
      </c>
      <c r="AO102" s="62">
        <f t="shared" si="90"/>
        <v>167.49607245443497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1.9249428844945926</v>
      </c>
      <c r="AW102" s="23">
        <f>EXP(-LN(2)/2)*AW101+(1-EXP(-LN(2)/2))/(LN(2)/2)*AQ102*AT102*VLOOKUP('Données projet'!$B$10,Paramètres!$A$1:$I$89,3,0)*0.475*44/12</f>
        <v>6.0144532164713163E-10</v>
      </c>
      <c r="AX102" s="23">
        <f t="shared" si="60"/>
        <v>1.9249428850960379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46.800000000000111</v>
      </c>
      <c r="D103" s="12">
        <f t="shared" si="86"/>
        <v>13.784191583461164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467.66744380215727</v>
      </c>
      <c r="H103" s="70">
        <f t="shared" si="56"/>
        <v>398.85080034119505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-1.7053025658242404E-13</v>
      </c>
      <c r="O103" s="14">
        <f>N103*VLOOKUP('Données projet'!$B$9,Paramètres!$A$1:$I$89,3,0)*VLOOKUP('Données projet'!$B$9,Paramètres!$A$1:$I$89,5,0)</f>
        <v>-1.383341441396624E-13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135.99759935190264</v>
      </c>
      <c r="T103" s="62">
        <f t="shared" si="88"/>
        <v>103.49526616376608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0.19854029494745015</v>
      </c>
      <c r="AB103" s="23">
        <f>EXP(-LN(2)/2)*AB102+(1-EXP(-LN(2)/2))/(LN(2)/2)*V103*Y103*VLOOKUP('Données projet'!$B$9,Paramètres!$A$1:$I$89,3,0)*0.475*44/12</f>
        <v>1.5805679127803671E-10</v>
      </c>
      <c r="AC103" s="24">
        <f t="shared" si="57"/>
        <v>0.19854029510550694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-2.2737367544323206E-13</v>
      </c>
      <c r="AJ103" s="14">
        <f>AI103*VLOOKUP('Données projet'!$B$10,Paramètres!$A$1:$I$89,3,0)*VLOOKUP('Données projet'!$B$10,Paramètres!$A$1:$I$89,5,0)</f>
        <v>-1.064108801074326E-13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213.5791415320935</v>
      </c>
      <c r="AO103" s="62">
        <f t="shared" si="90"/>
        <v>167.49607245443497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1.8723052200897412</v>
      </c>
      <c r="AW103" s="23">
        <f>EXP(-LN(2)/2)*AW102+(1-EXP(-LN(2)/2))/(LN(2)/2)*AQ103*AT103*VLOOKUP('Données projet'!$B$10,Paramètres!$A$1:$I$89,3,0)*0.475*44/12</f>
        <v>4.2528606544961101E-10</v>
      </c>
      <c r="AX103" s="23">
        <f t="shared" si="60"/>
        <v>1.8723052205150272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47.268000000000114</v>
      </c>
      <c r="D104" s="12">
        <f t="shared" si="86"/>
        <v>13.905918076773704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472.21971848737684</v>
      </c>
      <c r="H104" s="70">
        <f t="shared" si="56"/>
        <v>399.87790731704769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-1.7053025658242404E-13</v>
      </c>
      <c r="O104" s="14">
        <f>N104*VLOOKUP('Données projet'!$B$9,Paramètres!$A$1:$I$89,3,0)*VLOOKUP('Données projet'!$B$9,Paramètres!$A$1:$I$89,5,0)</f>
        <v>-1.383341441396624E-13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135.99759935190264</v>
      </c>
      <c r="T104" s="62">
        <f t="shared" si="88"/>
        <v>103.49526616376608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0.19311120014133179</v>
      </c>
      <c r="AB104" s="23">
        <f>EXP(-LN(2)/2)*AB103+(1-EXP(-LN(2)/2))/(LN(2)/2)*V104*Y104*VLOOKUP('Données projet'!$B$9,Paramètres!$A$1:$I$89,3,0)*0.475*44/12</f>
        <v>1.1176302892528652E-10</v>
      </c>
      <c r="AC104" s="24">
        <f t="shared" si="57"/>
        <v>0.19311120025309481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-2.2737367544323206E-13</v>
      </c>
      <c r="AJ104" s="14">
        <f>AI104*VLOOKUP('Données projet'!$B$10,Paramètres!$A$1:$I$89,3,0)*VLOOKUP('Données projet'!$B$10,Paramètres!$A$1:$I$89,5,0)</f>
        <v>-1.064108801074326E-13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213.5791415320935</v>
      </c>
      <c r="AO104" s="62">
        <f t="shared" si="90"/>
        <v>167.49607245443497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1.8211069353861349</v>
      </c>
      <c r="AW104" s="23">
        <f>EXP(-LN(2)/2)*AW103+(1-EXP(-LN(2)/2))/(LN(2)/2)*AQ104*AT104*VLOOKUP('Données projet'!$B$10,Paramètres!$A$1:$I$89,3,0)*0.475*44/12</f>
        <v>3.0072266082356581E-10</v>
      </c>
      <c r="AX104" s="23">
        <f t="shared" si="60"/>
        <v>1.8211069356868574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47.736000000000118</v>
      </c>
      <c r="D105" s="12">
        <f t="shared" si="86"/>
        <v>14.027504361700455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476.77091086225005</v>
      </c>
      <c r="H105" s="70">
        <f t="shared" si="56"/>
        <v>400.90477009662845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-1.7053025658242404E-13</v>
      </c>
      <c r="O105" s="14">
        <f>N105*VLOOKUP('Données projet'!$B$9,Paramètres!$A$1:$I$89,3,0)*VLOOKUP('Données projet'!$B$9,Paramètres!$A$1:$I$89,5,0)</f>
        <v>-1.383341441396624E-13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135.99759935190264</v>
      </c>
      <c r="T105" s="62">
        <f t="shared" si="88"/>
        <v>103.49526616376608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0.18783056421819042</v>
      </c>
      <c r="AB105" s="23">
        <f>EXP(-LN(2)/2)*AB104+(1-EXP(-LN(2)/2))/(LN(2)/2)*V105*Y105*VLOOKUP('Données projet'!$B$9,Paramètres!$A$1:$I$89,3,0)*0.475*44/12</f>
        <v>7.9028395639018357E-11</v>
      </c>
      <c r="AC105" s="24">
        <f t="shared" si="57"/>
        <v>0.18783056429721881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-2.2737367544323206E-13</v>
      </c>
      <c r="AJ105" s="14">
        <f>AI105*VLOOKUP('Données projet'!$B$10,Paramètres!$A$1:$I$89,3,0)*VLOOKUP('Données projet'!$B$10,Paramètres!$A$1:$I$89,5,0)</f>
        <v>-1.064108801074326E-13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213.5791415320935</v>
      </c>
      <c r="AO105" s="62">
        <f t="shared" si="90"/>
        <v>167.49607245443497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1.7713086704701495</v>
      </c>
      <c r="AW105" s="23">
        <f>EXP(-LN(2)/2)*AW104+(1-EXP(-LN(2)/2))/(LN(2)/2)*AQ105*AT105*VLOOKUP('Données projet'!$B$10,Paramètres!$A$1:$I$89,3,0)*0.475*44/12</f>
        <v>2.126430327248055E-10</v>
      </c>
      <c r="AX105" s="23">
        <f t="shared" si="60"/>
        <v>1.7713086706827925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48.204000000000121</v>
      </c>
      <c r="D106" s="12">
        <f t="shared" si="86"/>
        <v>14.148951972010016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481.32103276639413</v>
      </c>
      <c r="H106" s="70">
        <f t="shared" si="56"/>
        <v>401.93139135125097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-1.7053025658242404E-13</v>
      </c>
      <c r="O106" s="14">
        <f>N106*VLOOKUP('Données projet'!$B$9,Paramètres!$A$1:$I$89,3,0)*VLOOKUP('Données projet'!$B$9,Paramètres!$A$1:$I$89,5,0)</f>
        <v>-1.383341441396624E-13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135.99759935190264</v>
      </c>
      <c r="T106" s="62">
        <f t="shared" si="88"/>
        <v>103.49526616376608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0.18269432756206391</v>
      </c>
      <c r="AB106" s="23">
        <f>EXP(-LN(2)/2)*AB105+(1-EXP(-LN(2)/2))/(LN(2)/2)*V106*Y106*VLOOKUP('Données projet'!$B$9,Paramètres!$A$1:$I$89,3,0)*0.475*44/12</f>
        <v>5.5881514462643261E-11</v>
      </c>
      <c r="AC106" s="24">
        <f t="shared" si="57"/>
        <v>0.18269432761794543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-2.2737367544323206E-13</v>
      </c>
      <c r="AJ106" s="14">
        <f>AI106*VLOOKUP('Données projet'!$B$10,Paramètres!$A$1:$I$89,3,0)*VLOOKUP('Données projet'!$B$10,Paramètres!$A$1:$I$89,5,0)</f>
        <v>-1.064108801074326E-13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213.5791415320935</v>
      </c>
      <c r="AO106" s="62">
        <f t="shared" si="90"/>
        <v>167.49607245443497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1.7228721417270687</v>
      </c>
      <c r="AW106" s="23">
        <f>EXP(-LN(2)/2)*AW105+(1-EXP(-LN(2)/2))/(LN(2)/2)*AQ106*AT106*VLOOKUP('Données projet'!$B$10,Paramètres!$A$1:$I$89,3,0)*0.475*44/12</f>
        <v>1.5036133041178291E-10</v>
      </c>
      <c r="AX106" s="23">
        <f t="shared" si="60"/>
        <v>1.72287214187743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48.672000000000125</v>
      </c>
      <c r="D107" s="12">
        <f t="shared" si="86"/>
        <v>14.270262409972092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485.87009579627687</v>
      </c>
      <c r="H107" s="70">
        <f t="shared" si="56"/>
        <v>402.95777369736822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-1.7053025658242404E-13</v>
      </c>
      <c r="O107" s="14">
        <f>N107*VLOOKUP('Données projet'!$B$9,Paramètres!$A$1:$I$89,3,0)*VLOOKUP('Données projet'!$B$9,Paramètres!$A$1:$I$89,5,0)</f>
        <v>-1.383341441396624E-13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135.99759935190264</v>
      </c>
      <c r="T107" s="62">
        <f t="shared" si="88"/>
        <v>103.49526616376608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0.17769854156740214</v>
      </c>
      <c r="AB107" s="23">
        <f>EXP(-LN(2)/2)*AB106+(1-EXP(-LN(2)/2))/(LN(2)/2)*V107*Y107*VLOOKUP('Données projet'!$B$9,Paramètres!$A$1:$I$89,3,0)*0.475*44/12</f>
        <v>3.9514197819509178E-11</v>
      </c>
      <c r="AC107" s="24">
        <f t="shared" si="57"/>
        <v>0.17769854160691634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-2.2737367544323206E-13</v>
      </c>
      <c r="AJ107" s="14">
        <f>AI107*VLOOKUP('Données projet'!$B$10,Paramètres!$A$1:$I$89,3,0)*VLOOKUP('Données projet'!$B$10,Paramètres!$A$1:$I$89,5,0)</f>
        <v>-1.064108801074326E-13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213.5791415320935</v>
      </c>
      <c r="AO107" s="62">
        <f t="shared" si="90"/>
        <v>167.49607245443497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1.6757601124096337</v>
      </c>
      <c r="AW107" s="23">
        <f>EXP(-LN(2)/2)*AW106+(1-EXP(-LN(2)/2))/(LN(2)/2)*AQ107*AT107*VLOOKUP('Données projet'!$B$10,Paramètres!$A$1:$I$89,3,0)*0.475*44/12</f>
        <v>1.0632151636240275E-10</v>
      </c>
      <c r="AX107" s="23">
        <f t="shared" si="60"/>
        <v>1.6757601125159554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49.140000000000128</v>
      </c>
      <c r="D108" s="12">
        <f t="shared" si="86"/>
        <v>14.3914371473009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490.41811131249915</v>
      </c>
      <c r="H108" s="70">
        <f t="shared" si="56"/>
        <v>403.98391969821591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-1.7053025658242404E-13</v>
      </c>
      <c r="O108" s="14">
        <f>N108*VLOOKUP('Données projet'!$B$9,Paramètres!$A$1:$I$89,3,0)*VLOOKUP('Données projet'!$B$9,Paramètres!$A$1:$I$89,5,0)</f>
        <v>-1.383341441396624E-13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135.99759935190264</v>
      </c>
      <c r="T108" s="62">
        <f t="shared" si="88"/>
        <v>103.49526616376608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0.17283936560348137</v>
      </c>
      <c r="AB108" s="23">
        <f>EXP(-LN(2)/2)*AB107+(1-EXP(-LN(2)/2))/(LN(2)/2)*V108*Y108*VLOOKUP('Données projet'!$B$9,Paramètres!$A$1:$I$89,3,0)*0.475*44/12</f>
        <v>2.794075723132163E-11</v>
      </c>
      <c r="AC108" s="24">
        <f t="shared" si="57"/>
        <v>0.17283936563142213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-2.2737367544323206E-13</v>
      </c>
      <c r="AJ108" s="14">
        <f>AI108*VLOOKUP('Données projet'!$B$10,Paramètres!$A$1:$I$89,3,0)*VLOOKUP('Données projet'!$B$10,Paramètres!$A$1:$I$89,5,0)</f>
        <v>-1.064108801074326E-13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213.5791415320935</v>
      </c>
      <c r="AO108" s="62">
        <f t="shared" si="90"/>
        <v>167.49607245443497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1.629936364011398</v>
      </c>
      <c r="AW108" s="23">
        <f>EXP(-LN(2)/2)*AW107+(1-EXP(-LN(2)/2))/(LN(2)/2)*AQ108*AT108*VLOOKUP('Données projet'!$B$10,Paramètres!$A$1:$I$89,3,0)*0.475*44/12</f>
        <v>7.5180665205891454E-11</v>
      </c>
      <c r="AX108" s="23">
        <f t="shared" si="60"/>
        <v>1.6299363640865787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49.608000000000132</v>
      </c>
      <c r="D109" s="12">
        <f t="shared" si="86"/>
        <v>14.512477626061624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494.96509044679243</v>
      </c>
      <c r="H109" s="70">
        <f t="shared" si="56"/>
        <v>405.00983186539088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-1.7053025658242404E-13</v>
      </c>
      <c r="O109" s="14">
        <f>N109*VLOOKUP('Données projet'!$B$9,Paramètres!$A$1:$I$89,3,0)*VLOOKUP('Données projet'!$B$9,Paramètres!$A$1:$I$89,5,0)</f>
        <v>-1.383341441396624E-13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135.99759935190264</v>
      </c>
      <c r="T109" s="62">
        <f t="shared" si="88"/>
        <v>103.49526616376608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0.16811306406182697</v>
      </c>
      <c r="AB109" s="23">
        <f>EXP(-LN(2)/2)*AB108+(1-EXP(-LN(2)/2))/(LN(2)/2)*V109*Y109*VLOOKUP('Données projet'!$B$9,Paramètres!$A$1:$I$89,3,0)*0.475*44/12</f>
        <v>1.9757098909754589E-11</v>
      </c>
      <c r="AC109" s="24">
        <f t="shared" si="57"/>
        <v>0.16811306408158408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-2.2737367544323206E-13</v>
      </c>
      <c r="AJ109" s="14">
        <f>AI109*VLOOKUP('Données projet'!$B$10,Paramètres!$A$1:$I$89,3,0)*VLOOKUP('Données projet'!$B$10,Paramètres!$A$1:$I$89,5,0)</f>
        <v>-1.064108801074326E-13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213.5791415320935</v>
      </c>
      <c r="AO109" s="62">
        <f t="shared" si="90"/>
        <v>167.49607245443497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1.5853656684228781</v>
      </c>
      <c r="AW109" s="23">
        <f>EXP(-LN(2)/2)*AW108+(1-EXP(-LN(2)/2))/(LN(2)/2)*AQ109*AT109*VLOOKUP('Données projet'!$B$10,Paramètres!$A$1:$I$89,3,0)*0.475*44/12</f>
        <v>5.3160758181201376E-11</v>
      </c>
      <c r="AX109" s="23">
        <f t="shared" si="60"/>
        <v>1.5853656684760389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50.076000000000136</v>
      </c>
      <c r="D110" s="12">
        <f t="shared" si="86"/>
        <v>14.633385259541638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499.51104410874353</v>
      </c>
      <c r="H110" s="70">
        <f t="shared" si="56"/>
        <v>406.03551266036857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-1.7053025658242404E-13</v>
      </c>
      <c r="O110" s="14">
        <f>N110*VLOOKUP('Données projet'!$B$9,Paramètres!$A$1:$I$89,3,0)*VLOOKUP('Données projet'!$B$9,Paramètres!$A$1:$I$89,5,0)</f>
        <v>-1.383341441396624E-13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135.99759935190264</v>
      </c>
      <c r="T110" s="62">
        <f t="shared" si="88"/>
        <v>103.49526616376608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0.16351600348437451</v>
      </c>
      <c r="AB110" s="23">
        <f>EXP(-LN(2)/2)*AB109+(1-EXP(-LN(2)/2))/(LN(2)/2)*V110*Y110*VLOOKUP('Données projet'!$B$9,Paramètres!$A$1:$I$89,3,0)*0.475*44/12</f>
        <v>1.3970378615660815E-11</v>
      </c>
      <c r="AC110" s="24">
        <f t="shared" si="57"/>
        <v>0.16351600349834489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-2.2737367544323206E-13</v>
      </c>
      <c r="AJ110" s="14">
        <f>AI110*VLOOKUP('Données projet'!$B$10,Paramètres!$A$1:$I$89,3,0)*VLOOKUP('Données projet'!$B$10,Paramètres!$A$1:$I$89,5,0)</f>
        <v>-1.064108801074326E-13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213.5791415320935</v>
      </c>
      <c r="AO110" s="62">
        <f t="shared" si="90"/>
        <v>167.49607245443497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1.5420137608490974</v>
      </c>
      <c r="AW110" s="23">
        <f>EXP(-LN(2)/2)*AW109+(1-EXP(-LN(2)/2))/(LN(2)/2)*AQ110*AT110*VLOOKUP('Données projet'!$B$10,Paramètres!$A$1:$I$89,3,0)*0.475*44/12</f>
        <v>3.7590332602945727E-11</v>
      </c>
      <c r="AX110" s="23">
        <f t="shared" si="60"/>
        <v>1.5420137608866877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50.544000000000139</v>
      </c>
      <c r="D111" s="12">
        <f t="shared" si="86"/>
        <v>14.754161433088285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504.05598299226153</v>
      </c>
      <c r="H111" s="70">
        <f t="shared" si="56"/>
        <v>407.06096449596231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-1.7053025658242404E-13</v>
      </c>
      <c r="O111" s="14">
        <f>N111*VLOOKUP('Données projet'!$B$9,Paramètres!$A$1:$I$89,3,0)*VLOOKUP('Données projet'!$B$9,Paramètres!$A$1:$I$89,5,0)</f>
        <v>-1.383341441396624E-13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135.99759935190264</v>
      </c>
      <c r="T111" s="62">
        <f t="shared" si="88"/>
        <v>103.49526616376608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0.15904464977016139</v>
      </c>
      <c r="AB111" s="23">
        <f>EXP(-LN(2)/2)*AB110+(1-EXP(-LN(2)/2))/(LN(2)/2)*V111*Y111*VLOOKUP('Données projet'!$B$9,Paramètres!$A$1:$I$89,3,0)*0.475*44/12</f>
        <v>9.8785494548772946E-12</v>
      </c>
      <c r="AC111" s="24">
        <f t="shared" si="57"/>
        <v>0.15904464978003993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-2.2737367544323206E-13</v>
      </c>
      <c r="AJ111" s="14">
        <f>AI111*VLOOKUP('Données projet'!$B$10,Paramètres!$A$1:$I$89,3,0)*VLOOKUP('Données projet'!$B$10,Paramètres!$A$1:$I$89,5,0)</f>
        <v>-1.064108801074326E-13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213.5791415320935</v>
      </c>
      <c r="AO111" s="62">
        <f t="shared" si="90"/>
        <v>167.49607245443497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1.4998473134676995</v>
      </c>
      <c r="AW111" s="23">
        <f>EXP(-LN(2)/2)*AW110+(1-EXP(-LN(2)/2))/(LN(2)/2)*AQ111*AT111*VLOOKUP('Données projet'!$B$10,Paramètres!$A$1:$I$89,3,0)*0.475*44/12</f>
        <v>2.6580379090600688E-11</v>
      </c>
      <c r="AX111" s="23">
        <f t="shared" si="60"/>
        <v>1.4998473134942798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51.012000000000143</v>
      </c>
      <c r="D112" s="12">
        <f t="shared" si="86"/>
        <v>14.874807504914717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508.59991758179893</v>
      </c>
      <c r="H112" s="70">
        <f t="shared" si="56"/>
        <v>408.08618973772667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-1.7053025658242404E-13</v>
      </c>
      <c r="O112" s="14">
        <f>N112*VLOOKUP('Données projet'!$B$9,Paramètres!$A$1:$I$89,3,0)*VLOOKUP('Données projet'!$B$9,Paramètres!$A$1:$I$89,5,0)</f>
        <v>-1.383341441396624E-13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135.99759935190264</v>
      </c>
      <c r="T112" s="62">
        <f t="shared" si="88"/>
        <v>103.49526616376608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0.15469556545840168</v>
      </c>
      <c r="AB112" s="23">
        <f>EXP(-LN(2)/2)*AB111+(1-EXP(-LN(2)/2))/(LN(2)/2)*V112*Y112*VLOOKUP('Données projet'!$B$9,Paramètres!$A$1:$I$89,3,0)*0.475*44/12</f>
        <v>6.9851893078304076E-12</v>
      </c>
      <c r="AC112" s="24">
        <f t="shared" si="57"/>
        <v>0.15469556546538688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-2.2737367544323206E-13</v>
      </c>
      <c r="AJ112" s="14">
        <f>AI112*VLOOKUP('Données projet'!$B$10,Paramètres!$A$1:$I$89,3,0)*VLOOKUP('Données projet'!$B$10,Paramètres!$A$1:$I$89,5,0)</f>
        <v>-1.064108801074326E-13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213.5791415320935</v>
      </c>
      <c r="AO112" s="62">
        <f t="shared" si="90"/>
        <v>167.49607245443497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1.458833909807383</v>
      </c>
      <c r="AW112" s="23">
        <f>EXP(-LN(2)/2)*AW111+(1-EXP(-LN(2)/2))/(LN(2)/2)*AQ112*AT112*VLOOKUP('Données projet'!$B$10,Paramètres!$A$1:$I$89,3,0)*0.475*44/12</f>
        <v>1.8795166301472863E-11</v>
      </c>
      <c r="AX112" s="23">
        <f t="shared" si="60"/>
        <v>1.4588339098261782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51.480000000000146</v>
      </c>
      <c r="D113" s="12">
        <f t="shared" si="86"/>
        <v>14.995324806875265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513.14285815833648</v>
      </c>
      <c r="H113" s="70">
        <f t="shared" si="56"/>
        <v>409.11119070530799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-1.7053025658242404E-13</v>
      </c>
      <c r="O113" s="14">
        <f>N113*VLOOKUP('Données projet'!$B$9,Paramètres!$A$1:$I$89,3,0)*VLOOKUP('Données projet'!$B$9,Paramètres!$A$1:$I$89,5,0)</f>
        <v>-1.383341441396624E-13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135.99759935190264</v>
      </c>
      <c r="T113" s="62">
        <f t="shared" si="88"/>
        <v>103.49526616376608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0.15046540708585546</v>
      </c>
      <c r="AB113" s="23">
        <f>EXP(-LN(2)/2)*AB112+(1-EXP(-LN(2)/2))/(LN(2)/2)*V113*Y113*VLOOKUP('Données projet'!$B$9,Paramètres!$A$1:$I$89,3,0)*0.475*44/12</f>
        <v>4.9392747274386473E-12</v>
      </c>
      <c r="AC113" s="24">
        <f t="shared" si="57"/>
        <v>0.15046540709079473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-2.2737367544323206E-13</v>
      </c>
      <c r="AJ113" s="14">
        <f>AI113*VLOOKUP('Données projet'!$B$10,Paramètres!$A$1:$I$89,3,0)*VLOOKUP('Données projet'!$B$10,Paramètres!$A$1:$I$89,5,0)</f>
        <v>-1.064108801074326E-13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213.5791415320935</v>
      </c>
      <c r="AO113" s="62">
        <f t="shared" si="90"/>
        <v>167.49607245443497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1.4189420198269591</v>
      </c>
      <c r="AW113" s="23">
        <f>EXP(-LN(2)/2)*AW112+(1-EXP(-LN(2)/2))/(LN(2)/2)*AQ113*AT113*VLOOKUP('Données projet'!$B$10,Paramètres!$A$1:$I$89,3,0)*0.475*44/12</f>
        <v>1.3290189545300344E-11</v>
      </c>
      <c r="AX113" s="23">
        <f t="shared" si="60"/>
        <v>1.4189420198402494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51.94800000000015</v>
      </c>
      <c r="D114" s="12">
        <f t="shared" si="86"/>
        <v>15.115714645211932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517.68481480514595</v>
      </c>
      <c r="H114" s="70">
        <f t="shared" si="56"/>
        <v>410.13596967374434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-1.7053025658242404E-13</v>
      </c>
      <c r="O114" s="14">
        <f>N114*VLOOKUP('Données projet'!$B$9,Paramètres!$A$1:$I$89,3,0)*VLOOKUP('Données projet'!$B$9,Paramètres!$A$1:$I$89,5,0)</f>
        <v>-1.383341441396624E-13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135.99759935190264</v>
      </c>
      <c r="T114" s="62">
        <f t="shared" si="88"/>
        <v>103.49526616376608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0.14635092261646088</v>
      </c>
      <c r="AB114" s="23">
        <f>EXP(-LN(2)/2)*AB113+(1-EXP(-LN(2)/2))/(LN(2)/2)*V114*Y114*VLOOKUP('Données projet'!$B$9,Paramètres!$A$1:$I$89,3,0)*0.475*44/12</f>
        <v>3.4925946539152038E-12</v>
      </c>
      <c r="AC114" s="24">
        <f t="shared" si="57"/>
        <v>0.14635092261995347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-2.2737367544323206E-13</v>
      </c>
      <c r="AJ114" s="14">
        <f>AI114*VLOOKUP('Données projet'!$B$10,Paramètres!$A$1:$I$89,3,0)*VLOOKUP('Données projet'!$B$10,Paramètres!$A$1:$I$89,5,0)</f>
        <v>-1.064108801074326E-13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213.5791415320935</v>
      </c>
      <c r="AO114" s="62">
        <f t="shared" si="90"/>
        <v>167.49607245443497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1.3801409756758731</v>
      </c>
      <c r="AW114" s="23">
        <f>EXP(-LN(2)/2)*AW113+(1-EXP(-LN(2)/2))/(LN(2)/2)*AQ114*AT114*VLOOKUP('Données projet'!$B$10,Paramètres!$A$1:$I$89,3,0)*0.475*44/12</f>
        <v>9.3975831507364317E-12</v>
      </c>
      <c r="AX114" s="23">
        <f t="shared" si="60"/>
        <v>1.3801409756852707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52.416000000000153</v>
      </c>
      <c r="D115" s="12">
        <f t="shared" si="86"/>
        <v>15.23597830127307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522.22579741333709</v>
      </c>
      <c r="H115" s="70">
        <f t="shared" si="56"/>
        <v>411.1605288747175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-1.7053025658242404E-13</v>
      </c>
      <c r="O115" s="14">
        <f>N115*VLOOKUP('Données projet'!$B$9,Paramètres!$A$1:$I$89,3,0)*VLOOKUP('Données projet'!$B$9,Paramètres!$A$1:$I$89,5,0)</f>
        <v>-1.383341441396624E-13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135.99759935190264</v>
      </c>
      <c r="T115" s="62">
        <f t="shared" si="88"/>
        <v>103.49526616376608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0.14234894894125322</v>
      </c>
      <c r="AB115" s="23">
        <f>EXP(-LN(2)/2)*AB114+(1-EXP(-LN(2)/2))/(LN(2)/2)*V115*Y115*VLOOKUP('Données projet'!$B$9,Paramètres!$A$1:$I$89,3,0)*0.475*44/12</f>
        <v>2.4696373637193237E-12</v>
      </c>
      <c r="AC115" s="24">
        <f t="shared" si="57"/>
        <v>0.14234894894372285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-2.2737367544323206E-13</v>
      </c>
      <c r="AJ115" s="14">
        <f>AI115*VLOOKUP('Données projet'!$B$10,Paramètres!$A$1:$I$89,3,0)*VLOOKUP('Données projet'!$B$10,Paramètres!$A$1:$I$89,5,0)</f>
        <v>-1.064108801074326E-13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213.5791415320935</v>
      </c>
      <c r="AO115" s="62">
        <f t="shared" si="90"/>
        <v>167.49607245443497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1.3424009481175567</v>
      </c>
      <c r="AW115" s="23">
        <f>EXP(-LN(2)/2)*AW114+(1-EXP(-LN(2)/2))/(LN(2)/2)*AQ115*AT115*VLOOKUP('Données projet'!$B$10,Paramètres!$A$1:$I$89,3,0)*0.475*44/12</f>
        <v>6.645094772650172E-12</v>
      </c>
      <c r="AX115" s="23">
        <f t="shared" si="60"/>
        <v>1.3424009481242019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52.884000000000157</v>
      </c>
      <c r="D116" s="12">
        <f t="shared" si="86"/>
        <v>15.356117032205747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526.76581568720349</v>
      </c>
      <c r="H116" s="70">
        <f t="shared" si="56"/>
        <v>412.1848704977586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-1.7053025658242404E-13</v>
      </c>
      <c r="O116" s="14">
        <f>N116*VLOOKUP('Données projet'!$B$9,Paramètres!$A$1:$I$89,3,0)*VLOOKUP('Données projet'!$B$9,Paramètres!$A$1:$I$89,5,0)</f>
        <v>-1.383341441396624E-13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135.99759935190264</v>
      </c>
      <c r="T116" s="62">
        <f t="shared" si="88"/>
        <v>103.49526616376608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0.13845640944664878</v>
      </c>
      <c r="AB116" s="23">
        <f>EXP(-LN(2)/2)*AB115+(1-EXP(-LN(2)/2))/(LN(2)/2)*V116*Y116*VLOOKUP('Données projet'!$B$9,Paramètres!$A$1:$I$89,3,0)*0.475*44/12</f>
        <v>1.7462973269576019E-12</v>
      </c>
      <c r="AC116" s="24">
        <f t="shared" si="57"/>
        <v>0.13845640944839507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-2.2737367544323206E-13</v>
      </c>
      <c r="AJ116" s="14">
        <f>AI116*VLOOKUP('Données projet'!$B$10,Paramètres!$A$1:$I$89,3,0)*VLOOKUP('Données projet'!$B$10,Paramètres!$A$1:$I$89,5,0)</f>
        <v>-1.064108801074326E-13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213.5791415320935</v>
      </c>
      <c r="AO116" s="62">
        <f t="shared" si="90"/>
        <v>167.49607245443497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1.3056929235974843</v>
      </c>
      <c r="AW116" s="23">
        <f>EXP(-LN(2)/2)*AW115+(1-EXP(-LN(2)/2))/(LN(2)/2)*AQ116*AT116*VLOOKUP('Données projet'!$B$10,Paramètres!$A$1:$I$89,3,0)*0.475*44/12</f>
        <v>4.6987915753682158E-12</v>
      </c>
      <c r="AX116" s="23">
        <f t="shared" si="60"/>
        <v>1.305692923602183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53.35200000000016</v>
      </c>
      <c r="D117" s="12">
        <f t="shared" si="86"/>
        <v>15.476132071622883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531.30487914937089</v>
      </c>
      <c r="H117" s="70">
        <f t="shared" si="56"/>
        <v>413.20899669141011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-1.7053025658242404E-13</v>
      </c>
      <c r="O117" s="14">
        <f>N117*VLOOKUP('Données projet'!$B$9,Paramètres!$A$1:$I$89,3,0)*VLOOKUP('Données projet'!$B$9,Paramètres!$A$1:$I$89,5,0)</f>
        <v>-1.383341441396624E-13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135.99759935190264</v>
      </c>
      <c r="T117" s="62">
        <f t="shared" si="88"/>
        <v>103.49526616376608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0.13467031164922405</v>
      </c>
      <c r="AB117" s="23">
        <f>EXP(-LN(2)/2)*AB116+(1-EXP(-LN(2)/2))/(LN(2)/2)*V117*Y117*VLOOKUP('Données projet'!$B$9,Paramètres!$A$1:$I$89,3,0)*0.475*44/12</f>
        <v>1.2348186818596618E-12</v>
      </c>
      <c r="AC117" s="24">
        <f t="shared" si="57"/>
        <v>0.13467031165045887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-2.2737367544323206E-13</v>
      </c>
      <c r="AJ117" s="14">
        <f>AI117*VLOOKUP('Données projet'!$B$10,Paramètres!$A$1:$I$89,3,0)*VLOOKUP('Données projet'!$B$10,Paramètres!$A$1:$I$89,5,0)</f>
        <v>-1.064108801074326E-13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213.5791415320935</v>
      </c>
      <c r="AO117" s="62">
        <f t="shared" si="90"/>
        <v>167.49607245443497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1.2699886819383044</v>
      </c>
      <c r="AW117" s="23">
        <f>EXP(-LN(2)/2)*AW116+(1-EXP(-LN(2)/2))/(LN(2)/2)*AQ117*AT117*VLOOKUP('Données projet'!$B$10,Paramètres!$A$1:$I$89,3,0)*0.475*44/12</f>
        <v>3.322547386325086E-12</v>
      </c>
      <c r="AX117" s="23">
        <f t="shared" si="60"/>
        <v>1.2699886819416268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53.820000000000164</v>
      </c>
      <c r="D118" s="12">
        <f t="shared" si="86"/>
        <v>15.596024630246307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535.84299714576218</v>
      </c>
      <c r="H118" s="70">
        <f t="shared" si="56"/>
        <v>414.2329095643459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-1.7053025658242404E-13</v>
      </c>
      <c r="O118" s="14">
        <f>N118*VLOOKUP('Données projet'!$B$9,Paramètres!$A$1:$I$89,3,0)*VLOOKUP('Données projet'!$B$9,Paramètres!$A$1:$I$89,5,0)</f>
        <v>-1.383341441396624E-13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135.99759935190264</v>
      </c>
      <c r="T118" s="62">
        <f t="shared" si="88"/>
        <v>103.49526616376608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0.13098774489517212</v>
      </c>
      <c r="AB118" s="23">
        <f>EXP(-LN(2)/2)*AB117+(1-EXP(-LN(2)/2))/(LN(2)/2)*V118*Y118*VLOOKUP('Données projet'!$B$9,Paramètres!$A$1:$I$89,3,0)*0.475*44/12</f>
        <v>8.7314866347880095E-13</v>
      </c>
      <c r="AC118" s="24">
        <f t="shared" si="57"/>
        <v>0.13098774489604526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-2.2737367544323206E-13</v>
      </c>
      <c r="AJ118" s="14">
        <f>AI118*VLOOKUP('Données projet'!$B$10,Paramètres!$A$1:$I$89,3,0)*VLOOKUP('Données projet'!$B$10,Paramètres!$A$1:$I$89,5,0)</f>
        <v>-1.064108801074326E-13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213.5791415320935</v>
      </c>
      <c r="AO118" s="62">
        <f t="shared" si="90"/>
        <v>167.49607245443497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1.2352607746448994</v>
      </c>
      <c r="AW118" s="23">
        <f>EXP(-LN(2)/2)*AW117+(1-EXP(-LN(2)/2))/(LN(2)/2)*AQ118*AT118*VLOOKUP('Données projet'!$B$10,Paramètres!$A$1:$I$89,3,0)*0.475*44/12</f>
        <v>2.3493957876841079E-12</v>
      </c>
      <c r="AX118" s="23">
        <f t="shared" si="60"/>
        <v>1.2352607746472488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54.288000000000167</v>
      </c>
      <c r="D119" s="12">
        <f t="shared" si="86"/>
        <v>15.715795896526787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540.38017885038346</v>
      </c>
      <c r="H119" s="70">
        <f t="shared" si="56"/>
        <v>415.2566111864511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-1.7053025658242404E-13</v>
      </c>
      <c r="O119" s="14">
        <f>N119*VLOOKUP('Données projet'!$B$9,Paramètres!$A$1:$I$89,3,0)*VLOOKUP('Données projet'!$B$9,Paramètres!$A$1:$I$89,5,0)</f>
        <v>-1.383341441396624E-13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135.99759935190264</v>
      </c>
      <c r="T119" s="62">
        <f t="shared" si="88"/>
        <v>103.49526616376608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0.12740587812266752</v>
      </c>
      <c r="AB119" s="23">
        <f>EXP(-LN(2)/2)*AB118+(1-EXP(-LN(2)/2))/(LN(2)/2)*V119*Y119*VLOOKUP('Données projet'!$B$9,Paramètres!$A$1:$I$89,3,0)*0.475*44/12</f>
        <v>6.1740934092983091E-13</v>
      </c>
      <c r="AC119" s="24">
        <f t="shared" si="57"/>
        <v>0.12740587812328494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-2.2737367544323206E-13</v>
      </c>
      <c r="AJ119" s="14">
        <f>AI119*VLOOKUP('Données projet'!$B$10,Paramètres!$A$1:$I$89,3,0)*VLOOKUP('Données projet'!$B$10,Paramètres!$A$1:$I$89,5,0)</f>
        <v>-1.064108801074326E-13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213.5791415320935</v>
      </c>
      <c r="AO119" s="62">
        <f t="shared" si="90"/>
        <v>167.49607245443497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1.2014825038026937</v>
      </c>
      <c r="AW119" s="23">
        <f>EXP(-LN(2)/2)*AW118+(1-EXP(-LN(2)/2))/(LN(2)/2)*AQ119*AT119*VLOOKUP('Données projet'!$B$10,Paramètres!$A$1:$I$89,3,0)*0.475*44/12</f>
        <v>1.661273693162543E-12</v>
      </c>
      <c r="AX119" s="23">
        <f t="shared" si="60"/>
        <v>1.2014825038043551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54.756000000000171</v>
      </c>
      <c r="D120" s="12">
        <f t="shared" si="86"/>
        <v>15.835447037242094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544.91643326994028</v>
      </c>
      <c r="H120" s="70">
        <f t="shared" si="56"/>
        <v>416.28010358986359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-1.7053025658242404E-13</v>
      </c>
      <c r="O120" s="14">
        <f>N120*VLOOKUP('Données projet'!$B$9,Paramètres!$A$1:$I$89,3,0)*VLOOKUP('Données projet'!$B$9,Paramètres!$A$1:$I$89,5,0)</f>
        <v>-1.383341441396624E-13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135.99759935190264</v>
      </c>
      <c r="T120" s="62">
        <f t="shared" si="88"/>
        <v>103.49526616376608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0.12392195768541923</v>
      </c>
      <c r="AB120" s="23">
        <f>EXP(-LN(2)/2)*AB119+(1-EXP(-LN(2)/2))/(LN(2)/2)*V120*Y120*VLOOKUP('Données projet'!$B$9,Paramètres!$A$1:$I$89,3,0)*0.475*44/12</f>
        <v>4.3657433173940047E-13</v>
      </c>
      <c r="AC120" s="24">
        <f t="shared" si="57"/>
        <v>0.1239219576858558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-2.2737367544323206E-13</v>
      </c>
      <c r="AJ120" s="14">
        <f>AI120*VLOOKUP('Données projet'!$B$10,Paramètres!$A$1:$I$89,3,0)*VLOOKUP('Données projet'!$B$10,Paramètres!$A$1:$I$89,5,0)</f>
        <v>-1.064108801074326E-13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213.5791415320935</v>
      </c>
      <c r="AO120" s="62">
        <f t="shared" si="90"/>
        <v>167.49607245443497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1.1686279015529901</v>
      </c>
      <c r="AW120" s="23">
        <f>EXP(-LN(2)/2)*AW119+(1-EXP(-LN(2)/2))/(LN(2)/2)*AQ120*AT120*VLOOKUP('Données projet'!$B$10,Paramètres!$A$1:$I$89,3,0)*0.475*44/12</f>
        <v>1.174697893842054E-12</v>
      </c>
      <c r="AX120" s="23">
        <f t="shared" si="60"/>
        <v>1.1686279015541647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55.224000000000174</v>
      </c>
      <c r="D121" s="12">
        <f t="shared" si="86"/>
        <v>15.954979198073998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549.45176924829184</v>
      </c>
      <c r="H121" s="70">
        <f t="shared" si="56"/>
        <v>417.30338876997916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-1.7053025658242404E-13</v>
      </c>
      <c r="O121" s="14">
        <f>N121*VLOOKUP('Données projet'!$B$9,Paramètres!$A$1:$I$89,3,0)*VLOOKUP('Données projet'!$B$9,Paramètres!$A$1:$I$89,5,0)</f>
        <v>-1.383341441396624E-13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135.99759935190264</v>
      </c>
      <c r="T121" s="62">
        <f t="shared" si="88"/>
        <v>103.49526616376608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0.12053330523573892</v>
      </c>
      <c r="AB121" s="23">
        <f>EXP(-LN(2)/2)*AB120+(1-EXP(-LN(2)/2))/(LN(2)/2)*V121*Y121*VLOOKUP('Données projet'!$B$9,Paramètres!$A$1:$I$89,3,0)*0.475*44/12</f>
        <v>3.0870467046491546E-13</v>
      </c>
      <c r="AC121" s="24">
        <f t="shared" si="57"/>
        <v>0.12053330523604763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-2.2737367544323206E-13</v>
      </c>
      <c r="AJ121" s="14">
        <f>AI121*VLOOKUP('Données projet'!$B$10,Paramètres!$A$1:$I$89,3,0)*VLOOKUP('Données projet'!$B$10,Paramètres!$A$1:$I$89,5,0)</f>
        <v>-1.064108801074326E-13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213.5791415320935</v>
      </c>
      <c r="AO121" s="62">
        <f t="shared" si="90"/>
        <v>167.49607245443497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1.1366717101295531</v>
      </c>
      <c r="AW121" s="23">
        <f>EXP(-LN(2)/2)*AW120+(1-EXP(-LN(2)/2))/(LN(2)/2)*AQ121*AT121*VLOOKUP('Données projet'!$B$10,Paramètres!$A$1:$I$89,3,0)*0.475*44/12</f>
        <v>8.306368465812715E-13</v>
      </c>
      <c r="AX121" s="23">
        <f t="shared" si="60"/>
        <v>1.1366717101303838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55.692000000000178</v>
      </c>
      <c r="D122" s="12">
        <f t="shared" si="86"/>
        <v>16.074393504165254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553.98619547075066</v>
      </c>
      <c r="H122" s="70">
        <f t="shared" si="56"/>
        <v>418.32646868642144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-1.7053025658242404E-13</v>
      </c>
      <c r="O122" s="14">
        <f>N122*VLOOKUP('Données projet'!$B$9,Paramètres!$A$1:$I$89,3,0)*VLOOKUP('Données projet'!$B$9,Paramètres!$A$1:$I$89,5,0)</f>
        <v>-1.383341441396624E-13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135.99759935190264</v>
      </c>
      <c r="T122" s="62">
        <f t="shared" si="88"/>
        <v>103.49526616376608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0.1172373156654966</v>
      </c>
      <c r="AB122" s="23">
        <f>EXP(-LN(2)/2)*AB121+(1-EXP(-LN(2)/2))/(LN(2)/2)*V122*Y122*VLOOKUP('Données projet'!$B$9,Paramètres!$A$1:$I$89,3,0)*0.475*44/12</f>
        <v>2.1828716586970024E-13</v>
      </c>
      <c r="AC122" s="24">
        <f t="shared" si="57"/>
        <v>0.11723731566571488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-2.2737367544323206E-13</v>
      </c>
      <c r="AJ122" s="14">
        <f>AI122*VLOOKUP('Données projet'!$B$10,Paramètres!$A$1:$I$89,3,0)*VLOOKUP('Données projet'!$B$10,Paramètres!$A$1:$I$89,5,0)</f>
        <v>-1.064108801074326E-13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213.5791415320935</v>
      </c>
      <c r="AO122" s="62">
        <f t="shared" si="90"/>
        <v>167.49607245443497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1.1055893624410931</v>
      </c>
      <c r="AW122" s="23">
        <f>EXP(-LN(2)/2)*AW121+(1-EXP(-LN(2)/2))/(LN(2)/2)*AQ122*AT122*VLOOKUP('Données projet'!$B$10,Paramètres!$A$1:$I$89,3,0)*0.475*44/12</f>
        <v>5.8734894692102698E-13</v>
      </c>
      <c r="AX122" s="23">
        <f t="shared" si="60"/>
        <v>1.1055893624416804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56.160000000000181</v>
      </c>
      <c r="D123" s="12">
        <f t="shared" si="86"/>
        <v>16.193691060657081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558.51972046823164</v>
      </c>
      <c r="H123" s="70">
        <f t="shared" si="56"/>
        <v>419.34934526397802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-1.7053025658242404E-13</v>
      </c>
      <c r="O123" s="14">
        <f>N123*VLOOKUP('Données projet'!$B$9,Paramètres!$A$1:$I$89,3,0)*VLOOKUP('Données projet'!$B$9,Paramètres!$A$1:$I$89,5,0)</f>
        <v>-1.383341441396624E-13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135.99759935190264</v>
      </c>
      <c r="T123" s="62">
        <f t="shared" si="88"/>
        <v>103.49526616376608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0.11403145510338111</v>
      </c>
      <c r="AB123" s="23">
        <f>EXP(-LN(2)/2)*AB122+(1-EXP(-LN(2)/2))/(LN(2)/2)*V123*Y123*VLOOKUP('Données projet'!$B$9,Paramètres!$A$1:$I$89,3,0)*0.475*44/12</f>
        <v>1.5435233523245773E-13</v>
      </c>
      <c r="AC123" s="24">
        <f t="shared" si="57"/>
        <v>0.11403145510353546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-2.2737367544323206E-13</v>
      </c>
      <c r="AJ123" s="14">
        <f>AI123*VLOOKUP('Données projet'!$B$10,Paramètres!$A$1:$I$89,3,0)*VLOOKUP('Données projet'!$B$10,Paramètres!$A$1:$I$89,5,0)</f>
        <v>-1.064108801074326E-13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213.5791415320935</v>
      </c>
      <c r="AO123" s="62">
        <f t="shared" si="90"/>
        <v>167.49607245443497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1.0753569631847237</v>
      </c>
      <c r="AW123" s="23">
        <f>EXP(-LN(2)/2)*AW122+(1-EXP(-LN(2)/2))/(LN(2)/2)*AQ123*AT123*VLOOKUP('Données projet'!$B$10,Paramètres!$A$1:$I$89,3,0)*0.475*44/12</f>
        <v>4.1531842329063575E-13</v>
      </c>
      <c r="AX123" s="23">
        <f t="shared" si="60"/>
        <v>1.075356963185139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56.628000000000185</v>
      </c>
      <c r="D124" s="12">
        <f t="shared" si="86"/>
        <v>16.312872953208569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563.05235262126064</v>
      </c>
      <c r="H124" s="70">
        <f t="shared" si="56"/>
        <v>420.37202039350524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-1.7053025658242404E-13</v>
      </c>
      <c r="O124" s="14">
        <f>N124*VLOOKUP('Données projet'!$B$9,Paramètres!$A$1:$I$89,3,0)*VLOOKUP('Données projet'!$B$9,Paramètres!$A$1:$I$89,5,0)</f>
        <v>-1.383341441396624E-13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135.99759935190264</v>
      </c>
      <c r="T124" s="62">
        <f t="shared" si="88"/>
        <v>103.49526616376608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0.11091325896692555</v>
      </c>
      <c r="AB124" s="23">
        <f>EXP(-LN(2)/2)*AB123+(1-EXP(-LN(2)/2))/(LN(2)/2)*V124*Y124*VLOOKUP('Données projet'!$B$9,Paramètres!$A$1:$I$89,3,0)*0.475*44/12</f>
        <v>1.0914358293485012E-13</v>
      </c>
      <c r="AC124" s="24">
        <f t="shared" si="57"/>
        <v>0.1109132589670347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projet'!$B$10,Paramètres!$A$1:$I$89,3,0)*VLOOKUP('Données projet'!$B$10,Paramètres!$A$1:$I$89,5,0)</f>
        <v>-1.064108801074326E-13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213.5791415320935</v>
      </c>
      <c r="AO124" s="62">
        <f t="shared" si="90"/>
        <v>167.49607245443497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1.0459512704758724</v>
      </c>
      <c r="AW124" s="23">
        <f>EXP(-LN(2)/2)*AW123+(1-EXP(-LN(2)/2))/(LN(2)/2)*AQ124*AT124*VLOOKUP('Données projet'!$B$10,Paramètres!$A$1:$I$89,3,0)*0.475*44/12</f>
        <v>2.9367447346051349E-13</v>
      </c>
      <c r="AX124" s="23">
        <f t="shared" si="60"/>
        <v>1.0459512704761662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57.096000000000188</v>
      </c>
      <c r="D125" s="12">
        <f t="shared" si="86"/>
        <v>16.431940248498069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567.58410016384607</v>
      </c>
      <c r="H125" s="70">
        <f t="shared" si="56"/>
        <v>421.39449593280108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-1.7053025658242404E-13</v>
      </c>
      <c r="O125" s="14">
        <f>N125*VLOOKUP('Données projet'!$B$9,Paramètres!$A$1:$I$89,3,0)*VLOOKUP('Données projet'!$B$9,Paramètres!$A$1:$I$89,5,0)</f>
        <v>-1.383341441396624E-13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135.99759935190264</v>
      </c>
      <c r="T125" s="62">
        <f t="shared" si="88"/>
        <v>103.49526616376608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0.10788033006780018</v>
      </c>
      <c r="AB125" s="23">
        <f>EXP(-LN(2)/2)*AB124+(1-EXP(-LN(2)/2))/(LN(2)/2)*V125*Y125*VLOOKUP('Données projet'!$B$9,Paramètres!$A$1:$I$89,3,0)*0.475*44/12</f>
        <v>7.7176167616228864E-14</v>
      </c>
      <c r="AC125" s="24">
        <f t="shared" si="57"/>
        <v>0.10788033006787735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projet'!$B$10,Paramètres!$A$1:$I$89,3,0)*VLOOKUP('Données projet'!$B$10,Paramètres!$A$1:$I$89,5,0)</f>
        <v>-1.064108801074326E-13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213.5791415320935</v>
      </c>
      <c r="AO125" s="62">
        <f t="shared" si="90"/>
        <v>167.49607245443497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1.0173496779805229</v>
      </c>
      <c r="AW125" s="23">
        <f>EXP(-LN(2)/2)*AW124+(1-EXP(-LN(2)/2))/(LN(2)/2)*AQ125*AT125*VLOOKUP('Données projet'!$B$10,Paramètres!$A$1:$I$89,3,0)*0.475*44/12</f>
        <v>2.0765921164531787E-13</v>
      </c>
      <c r="AX125" s="23">
        <f t="shared" si="60"/>
        <v>1.0173496779807305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57.564000000000192</v>
      </c>
      <c r="D126" s="12">
        <f t="shared" si="86"/>
        <v>16.55089399470792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572.11497118722059</v>
      </c>
      <c r="H126" s="70">
        <f t="shared" si="56"/>
        <v>422.41677370744992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-1.7053025658242404E-13</v>
      </c>
      <c r="O126" s="14">
        <f>N126*VLOOKUP('Données projet'!$B$9,Paramètres!$A$1:$I$89,3,0)*VLOOKUP('Données projet'!$B$9,Paramètres!$A$1:$I$89,5,0)</f>
        <v>-1.383341441396624E-13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135.99759935190264</v>
      </c>
      <c r="T126" s="62">
        <f t="shared" si="88"/>
        <v>103.49526616376608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0.10493033676891619</v>
      </c>
      <c r="AB126" s="23">
        <f>EXP(-LN(2)/2)*AB125+(1-EXP(-LN(2)/2))/(LN(2)/2)*V126*Y126*VLOOKUP('Données projet'!$B$9,Paramètres!$A$1:$I$89,3,0)*0.475*44/12</f>
        <v>5.4571791467425059E-14</v>
      </c>
      <c r="AC126" s="24">
        <f t="shared" si="57"/>
        <v>0.10493033676897076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projet'!$B$10,Paramètres!$A$1:$I$89,3,0)*VLOOKUP('Données projet'!$B$10,Paramètres!$A$1:$I$89,5,0)</f>
        <v>-1.064108801074326E-13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213.5791415320935</v>
      </c>
      <c r="AO126" s="62">
        <f t="shared" si="90"/>
        <v>167.49607245443497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0.98953019753605109</v>
      </c>
      <c r="AW126" s="23">
        <f>EXP(-LN(2)/2)*AW125+(1-EXP(-LN(2)/2))/(LN(2)/2)*AQ126*AT126*VLOOKUP('Données projet'!$B$10,Paramètres!$A$1:$I$89,3,0)*0.475*44/12</f>
        <v>1.4683723673025675E-13</v>
      </c>
      <c r="AX126" s="23">
        <f t="shared" si="60"/>
        <v>0.98953019753619798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58.032000000000195</v>
      </c>
      <c r="D127" s="12">
        <f t="shared" si="86"/>
        <v>16.669735221992848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576.64497364345516</v>
      </c>
      <c r="H127" s="70">
        <f t="shared" si="56"/>
        <v>423.43885551163788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-1.7053025658242404E-13</v>
      </c>
      <c r="O127" s="14">
        <f>N127*VLOOKUP('Données projet'!$B$9,Paramètres!$A$1:$I$89,3,0)*VLOOKUP('Données projet'!$B$9,Paramètres!$A$1:$I$89,5,0)</f>
        <v>-1.383341441396624E-13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135.99759935190264</v>
      </c>
      <c r="T127" s="62">
        <f t="shared" si="88"/>
        <v>103.49526616376608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0.1020610111919236</v>
      </c>
      <c r="AB127" s="23">
        <f>EXP(-LN(2)/2)*AB126+(1-EXP(-LN(2)/2))/(LN(2)/2)*V127*Y127*VLOOKUP('Données projet'!$B$9,Paramètres!$A$1:$I$89,3,0)*0.475*44/12</f>
        <v>3.8588083808114432E-14</v>
      </c>
      <c r="AC127" s="24">
        <f t="shared" si="57"/>
        <v>0.10206101119196219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projet'!$B$10,Paramètres!$A$1:$I$89,3,0)*VLOOKUP('Données projet'!$B$10,Paramètres!$A$1:$I$89,5,0)</f>
        <v>-1.064108801074326E-13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213.5791415320935</v>
      </c>
      <c r="AO127" s="62">
        <f t="shared" si="90"/>
        <v>167.49607245443497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0.9624714422472963</v>
      </c>
      <c r="AW127" s="23">
        <f>EXP(-LN(2)/2)*AW126+(1-EXP(-LN(2)/2))/(LN(2)/2)*AQ127*AT127*VLOOKUP('Données projet'!$B$10,Paramètres!$A$1:$I$89,3,0)*0.475*44/12</f>
        <v>1.0382960582265894E-13</v>
      </c>
      <c r="AX127" s="23">
        <f t="shared" si="60"/>
        <v>0.96247144224740011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58.500000000000199</v>
      </c>
      <c r="D128" s="12">
        <f t="shared" si="86"/>
        <v>16.788464942932855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581.17411534895689</v>
      </c>
      <c r="H128" s="70">
        <f t="shared" si="56"/>
        <v>424.4607431089417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-1.7053025658242404E-13</v>
      </c>
      <c r="O128" s="14">
        <f>N128*VLOOKUP('Données projet'!$B$9,Paramètres!$A$1:$I$89,3,0)*VLOOKUP('Données projet'!$B$9,Paramètres!$A$1:$I$89,5,0)</f>
        <v>-1.383341441396624E-13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135.99759935190264</v>
      </c>
      <c r="T128" s="62">
        <f t="shared" si="88"/>
        <v>103.49526616376608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9.9270147473725132E-2</v>
      </c>
      <c r="AB128" s="23">
        <f>EXP(-LN(2)/2)*AB127+(1-EXP(-LN(2)/2))/(LN(2)/2)*V128*Y128*VLOOKUP('Données projet'!$B$9,Paramètres!$A$1:$I$89,3,0)*0.475*44/12</f>
        <v>2.728589573371253E-14</v>
      </c>
      <c r="AC128" s="24">
        <f t="shared" si="57"/>
        <v>9.9270147473752415E-2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projet'!$B$10,Paramètres!$A$1:$I$89,3,0)*VLOOKUP('Données projet'!$B$10,Paramètres!$A$1:$I$89,5,0)</f>
        <v>-1.064108801074326E-13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213.5791415320935</v>
      </c>
      <c r="AO128" s="62">
        <f t="shared" si="90"/>
        <v>167.49607245443497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0.9361526100448706</v>
      </c>
      <c r="AW128" s="23">
        <f>EXP(-LN(2)/2)*AW127+(1-EXP(-LN(2)/2))/(LN(2)/2)*AQ128*AT128*VLOOKUP('Données projet'!$B$10,Paramètres!$A$1:$I$89,3,0)*0.475*44/12</f>
        <v>7.3418618365128373E-14</v>
      </c>
      <c r="AX128" s="23">
        <f t="shared" si="60"/>
        <v>0.93615261004494399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58.968000000000202</v>
      </c>
      <c r="D129" s="12">
        <f t="shared" si="86"/>
        <v>16.907084152971169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585.70240398784915</v>
      </c>
      <c r="H129" s="70">
        <f t="shared" si="56"/>
        <v>425.48243823309178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-1.7053025658242404E-13</v>
      </c>
      <c r="O129" s="14">
        <f>N129*VLOOKUP('Données projet'!$B$9,Paramètres!$A$1:$I$89,3,0)*VLOOKUP('Données projet'!$B$9,Paramètres!$A$1:$I$89,5,0)</f>
        <v>-1.383341441396624E-13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135.99759935190264</v>
      </c>
      <c r="T129" s="62">
        <f t="shared" si="88"/>
        <v>103.49526616376608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9.6555600070665951E-2</v>
      </c>
      <c r="AB129" s="23">
        <f>EXP(-LN(2)/2)*AB128+(1-EXP(-LN(2)/2))/(LN(2)/2)*V129*Y129*VLOOKUP('Données projet'!$B$9,Paramètres!$A$1:$I$89,3,0)*0.475*44/12</f>
        <v>1.9294041904057216E-14</v>
      </c>
      <c r="AC129" s="24">
        <f t="shared" si="57"/>
        <v>9.6555600070685241E-2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projet'!$B$10,Paramètres!$A$1:$I$89,3,0)*VLOOKUP('Données projet'!$B$10,Paramètres!$A$1:$I$89,5,0)</f>
        <v>-1.064108801074326E-13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213.5791415320935</v>
      </c>
      <c r="AO129" s="62">
        <f t="shared" si="90"/>
        <v>167.49607245443497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0.91055346769306744</v>
      </c>
      <c r="AW129" s="23">
        <f>EXP(-LN(2)/2)*AW128+(1-EXP(-LN(2)/2))/(LN(2)/2)*AQ129*AT129*VLOOKUP('Données projet'!$B$10,Paramètres!$A$1:$I$89,3,0)*0.475*44/12</f>
        <v>5.1914802911329469E-14</v>
      </c>
      <c r="AX129" s="23">
        <f t="shared" si="60"/>
        <v>0.9105534676931194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59.436000000000206</v>
      </c>
      <c r="D130" s="12">
        <f t="shared" si="86"/>
        <v>17.025593830837963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590.22984711524202</v>
      </c>
      <c r="H130" s="70">
        <f t="shared" si="56"/>
        <v>426.50394258870983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-1.7053025658242404E-13</v>
      </c>
      <c r="O130" s="14">
        <f>N130*VLOOKUP('Données projet'!$B$9,Paramètres!$A$1:$I$89,3,0)*VLOOKUP('Données projet'!$B$9,Paramètres!$A$1:$I$89,5,0)</f>
        <v>-1.383341441396624E-13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135.99759935190264</v>
      </c>
      <c r="T130" s="62">
        <f t="shared" si="88"/>
        <v>103.49526616376608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9.3915282109095263E-2</v>
      </c>
      <c r="AB130" s="23">
        <f>EXP(-LN(2)/2)*AB129+(1-EXP(-LN(2)/2))/(LN(2)/2)*V130*Y130*VLOOKUP('Données projet'!$B$9,Paramètres!$A$1:$I$89,3,0)*0.475*44/12</f>
        <v>1.3642947866856265E-14</v>
      </c>
      <c r="AC130" s="24">
        <f t="shared" si="57"/>
        <v>9.3915282109108905E-2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projet'!$B$10,Paramètres!$A$1:$I$89,3,0)*VLOOKUP('Données projet'!$B$10,Paramètres!$A$1:$I$89,5,0)</f>
        <v>-1.064108801074326E-13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213.5791415320935</v>
      </c>
      <c r="AO130" s="62">
        <f t="shared" si="90"/>
        <v>167.49607245443497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0.88565433523507475</v>
      </c>
      <c r="AW130" s="23">
        <f>EXP(-LN(2)/2)*AW129+(1-EXP(-LN(2)/2))/(LN(2)/2)*AQ130*AT130*VLOOKUP('Données projet'!$B$10,Paramètres!$A$1:$I$89,3,0)*0.475*44/12</f>
        <v>3.6709309182564186E-14</v>
      </c>
      <c r="AX130" s="23">
        <f t="shared" si="60"/>
        <v>0.8856543352351115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59.90400000000021</v>
      </c>
      <c r="D131" s="12">
        <f t="shared" si="86"/>
        <v>17.143994938960237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594.75645216039641</v>
      </c>
      <c r="H131" s="70">
        <f t="shared" si="56"/>
        <v>427.52525785202272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-1.7053025658242404E-13</v>
      </c>
      <c r="O131" s="14">
        <f>N131*VLOOKUP('Données projet'!$B$9,Paramètres!$A$1:$I$89,3,0)*VLOOKUP('Données projet'!$B$9,Paramètres!$A$1:$I$89,5,0)</f>
        <v>-1.383341441396624E-13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135.99759935190264</v>
      </c>
      <c r="T131" s="62">
        <f t="shared" si="88"/>
        <v>103.49526616376608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9.1347163781032012E-2</v>
      </c>
      <c r="AB131" s="23">
        <f>EXP(-LN(2)/2)*AB130+(1-EXP(-LN(2)/2))/(LN(2)/2)*V131*Y131*VLOOKUP('Données projet'!$B$9,Paramètres!$A$1:$I$89,3,0)*0.475*44/12</f>
        <v>9.647020952028608E-15</v>
      </c>
      <c r="AC131" s="24">
        <f t="shared" si="57"/>
        <v>9.1347163781041657E-2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projet'!$B$10,Paramètres!$A$1:$I$89,3,0)*VLOOKUP('Données projet'!$B$10,Paramètres!$A$1:$I$89,5,0)</f>
        <v>-1.064108801074326E-13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213.5791415320935</v>
      </c>
      <c r="AO131" s="62">
        <f t="shared" si="90"/>
        <v>167.49607245443497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0.86143607086353435</v>
      </c>
      <c r="AW131" s="23">
        <f>EXP(-LN(2)/2)*AW130+(1-EXP(-LN(2)/2))/(LN(2)/2)*AQ131*AT131*VLOOKUP('Données projet'!$B$10,Paramètres!$A$1:$I$89,3,0)*0.475*44/12</f>
        <v>2.5957401455664734E-14</v>
      </c>
      <c r="AX131" s="23">
        <f t="shared" si="60"/>
        <v>0.86143607086356033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60.372000000000213</v>
      </c>
      <c r="D132" s="12">
        <f t="shared" si="86"/>
        <v>17.262288423858621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599.28222642978756</v>
      </c>
      <c r="H132" s="70">
        <f t="shared" ref="H132:H195" si="110">(B132+E132+F132)*44/12+(C132+D132)*0.475*44/12</f>
        <v>428.54638567155416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-1.7053025658242404E-13</v>
      </c>
      <c r="O132" s="14">
        <f>N132*VLOOKUP('Données projet'!$B$9,Paramètres!$A$1:$I$89,3,0)*VLOOKUP('Données projet'!$B$9,Paramètres!$A$1:$I$89,5,0)</f>
        <v>-1.383341441396624E-13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135.99759935190264</v>
      </c>
      <c r="T132" s="62">
        <f t="shared" si="88"/>
        <v>103.49526616376608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8.8849270783701126E-2</v>
      </c>
      <c r="AB132" s="23">
        <f>EXP(-LN(2)/2)*AB131+(1-EXP(-LN(2)/2))/(LN(2)/2)*V132*Y132*VLOOKUP('Données projet'!$B$9,Paramètres!$A$1:$I$89,3,0)*0.475*44/12</f>
        <v>6.8214739334281324E-15</v>
      </c>
      <c r="AC132" s="24">
        <f t="shared" ref="AC132:AC153" si="111">SUM(Z132:AB132)</f>
        <v>8.8849270783707954E-2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projet'!$B$10,Paramètres!$A$1:$I$89,3,0)*VLOOKUP('Données projet'!$B$10,Paramètres!$A$1:$I$89,5,0)</f>
        <v>-1.064108801074326E-13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213.5791415320935</v>
      </c>
      <c r="AO132" s="62">
        <f t="shared" si="90"/>
        <v>167.49607245443497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0.83788005620481687</v>
      </c>
      <c r="AW132" s="23">
        <f>EXP(-LN(2)/2)*AW131+(1-EXP(-LN(2)/2))/(LN(2)/2)*AQ132*AT132*VLOOKUP('Données projet'!$B$10,Paramètres!$A$1:$I$89,3,0)*0.475*44/12</f>
        <v>1.8354654591282093E-14</v>
      </c>
      <c r="AX132" s="23">
        <f t="shared" ref="AX132:AX153" si="114">SUM(AU132:AW132)</f>
        <v>0.83788005620483519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60.840000000000217</v>
      </c>
      <c r="D133" s="12">
        <f t="shared" ref="D133:D196" si="140">IFERROR(EXP(-1.0587+0.8836*LN(C133)+0.284),0)</f>
        <v>17.380475216531508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603.80717711006946</v>
      </c>
      <c r="H133" s="70">
        <f t="shared" si="110"/>
        <v>429.5673276687927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-1.7053025658242404E-13</v>
      </c>
      <c r="O133" s="14">
        <f>N133*VLOOKUP('Données projet'!$B$9,Paramètres!$A$1:$I$89,3,0)*VLOOKUP('Données projet'!$B$9,Paramètres!$A$1:$I$89,5,0)</f>
        <v>-1.383341441396624E-13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135.99759935190264</v>
      </c>
      <c r="T133" s="62">
        <f t="shared" ref="T133:T196" si="142">$T$3</f>
        <v>103.49526616376608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8.6419682801740741E-2</v>
      </c>
      <c r="AB133" s="23">
        <f>EXP(-LN(2)/2)*AB132+(1-EXP(-LN(2)/2))/(LN(2)/2)*V133*Y133*VLOOKUP('Données projet'!$B$9,Paramètres!$A$1:$I$89,3,0)*0.475*44/12</f>
        <v>4.823510476014304E-15</v>
      </c>
      <c r="AC133" s="24">
        <f t="shared" si="111"/>
        <v>8.641968280174557E-2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projet'!$B$10,Paramètres!$A$1:$I$89,3,0)*VLOOKUP('Données projet'!$B$10,Paramètres!$A$1:$I$89,5,0)</f>
        <v>-1.064108801074326E-13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213.5791415320935</v>
      </c>
      <c r="AO133" s="62">
        <f t="shared" ref="AO133:AO196" si="144">$AO$3</f>
        <v>167.49607245443497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0.81496818200569898</v>
      </c>
      <c r="AW133" s="23">
        <f>EXP(-LN(2)/2)*AW132+(1-EXP(-LN(2)/2))/(LN(2)/2)*AQ133*AT133*VLOOKUP('Données projet'!$B$10,Paramètres!$A$1:$I$89,3,0)*0.475*44/12</f>
        <v>1.2978700727832367E-14</v>
      </c>
      <c r="AX133" s="23">
        <f t="shared" si="114"/>
        <v>0.81496818200571197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61.30800000000022</v>
      </c>
      <c r="D134" s="12">
        <f t="shared" si="140"/>
        <v>17.498556232826935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608.33131127094646</v>
      </c>
      <c r="H134" s="70">
        <f t="shared" si="110"/>
        <v>430.58808543884061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-1.7053025658242404E-13</v>
      </c>
      <c r="O134" s="14">
        <f>N134*VLOOKUP('Données projet'!$B$9,Paramètres!$A$1:$I$89,3,0)*VLOOKUP('Données projet'!$B$9,Paramètres!$A$1:$I$89,5,0)</f>
        <v>-1.383341441396624E-13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135.99759935190264</v>
      </c>
      <c r="T134" s="62">
        <f t="shared" si="142"/>
        <v>103.49526616376608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8.4056532030913539E-2</v>
      </c>
      <c r="AB134" s="23">
        <f>EXP(-LN(2)/2)*AB133+(1-EXP(-LN(2)/2))/(LN(2)/2)*V134*Y134*VLOOKUP('Données projet'!$B$9,Paramètres!$A$1:$I$89,3,0)*0.475*44/12</f>
        <v>3.4107369667140662E-15</v>
      </c>
      <c r="AC134" s="24">
        <f t="shared" si="111"/>
        <v>8.4056532030916953E-2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projet'!$B$10,Paramètres!$A$1:$I$89,3,0)*VLOOKUP('Données projet'!$B$10,Paramètres!$A$1:$I$89,5,0)</f>
        <v>-1.064108801074326E-13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213.5791415320935</v>
      </c>
      <c r="AO134" s="62">
        <f t="shared" si="144"/>
        <v>167.49607245443497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0.79268283421143904</v>
      </c>
      <c r="AW134" s="23">
        <f>EXP(-LN(2)/2)*AW133+(1-EXP(-LN(2)/2))/(LN(2)/2)*AQ134*AT134*VLOOKUP('Données projet'!$B$10,Paramètres!$A$1:$I$89,3,0)*0.475*44/12</f>
        <v>9.1773272956410466E-15</v>
      </c>
      <c r="AX134" s="23">
        <f t="shared" si="114"/>
        <v>0.79268283421144825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61.776000000000224</v>
      </c>
      <c r="D135" s="12">
        <f t="shared" si="140"/>
        <v>17.616532373802929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612.85463586795424</v>
      </c>
      <c r="H135" s="70">
        <f t="shared" si="110"/>
        <v>431.60866055104043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-1.7053025658242404E-13</v>
      </c>
      <c r="O135" s="14">
        <f>N135*VLOOKUP('Données projet'!$B$9,Paramètres!$A$1:$I$89,3,0)*VLOOKUP('Données projet'!$B$9,Paramètres!$A$1:$I$89,5,0)</f>
        <v>-1.383341441396624E-13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135.99759935190264</v>
      </c>
      <c r="T135" s="62">
        <f t="shared" si="142"/>
        <v>103.49526616376608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8.1758001742187308E-2</v>
      </c>
      <c r="AB135" s="23">
        <f>EXP(-LN(2)/2)*AB134+(1-EXP(-LN(2)/2))/(LN(2)/2)*V135*Y135*VLOOKUP('Données projet'!$B$9,Paramètres!$A$1:$I$89,3,0)*0.475*44/12</f>
        <v>2.411755238007152E-15</v>
      </c>
      <c r="AC135" s="24">
        <f t="shared" si="111"/>
        <v>8.1758001742189723E-2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-1.064108801074326E-13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213.5791415320935</v>
      </c>
      <c r="AO135" s="62">
        <f t="shared" si="144"/>
        <v>167.49607245443497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0.77100688042454868</v>
      </c>
      <c r="AW135" s="23">
        <f>EXP(-LN(2)/2)*AW134+(1-EXP(-LN(2)/2))/(LN(2)/2)*AQ135*AT135*VLOOKUP('Données projet'!$B$10,Paramètres!$A$1:$I$89,3,0)*0.475*44/12</f>
        <v>6.4893503639161836E-15</v>
      </c>
      <c r="AX135" s="23">
        <f t="shared" si="114"/>
        <v>0.77100688042455512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62.244000000000227</v>
      </c>
      <c r="D136" s="12">
        <f t="shared" si="140"/>
        <v>17.734404526076489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617.37715774515357</v>
      </c>
      <c r="H136" s="70">
        <f t="shared" si="110"/>
        <v>432.6290545495836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-1.7053025658242404E-13</v>
      </c>
      <c r="O136" s="14">
        <f>N136*VLOOKUP('Données projet'!$B$9,Paramètres!$A$1:$I$89,3,0)*VLOOKUP('Données projet'!$B$9,Paramètres!$A$1:$I$89,5,0)</f>
        <v>-1.383341441396624E-13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135.99759935190264</v>
      </c>
      <c r="T136" s="62">
        <f t="shared" si="142"/>
        <v>103.49526616376608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7.952232488508075E-2</v>
      </c>
      <c r="AB136" s="23">
        <f>EXP(-LN(2)/2)*AB135+(1-EXP(-LN(2)/2))/(LN(2)/2)*V136*Y136*VLOOKUP('Données projet'!$B$9,Paramètres!$A$1:$I$89,3,0)*0.475*44/12</f>
        <v>1.7053684833570331E-15</v>
      </c>
      <c r="AC136" s="24">
        <f t="shared" si="111"/>
        <v>7.9522324885082457E-2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-1.064108801074326E-13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213.5791415320935</v>
      </c>
      <c r="AO136" s="62">
        <f t="shared" si="144"/>
        <v>167.49607245443497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0.74992365673384975</v>
      </c>
      <c r="AW136" s="23">
        <f>EXP(-LN(2)/2)*AW135+(1-EXP(-LN(2)/2))/(LN(2)/2)*AQ136*AT136*VLOOKUP('Données projet'!$B$10,Paramètres!$A$1:$I$89,3,0)*0.475*44/12</f>
        <v>4.5886636478205233E-15</v>
      </c>
      <c r="AX136" s="23">
        <f t="shared" si="114"/>
        <v>0.7499236567338543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62.712000000000231</v>
      </c>
      <c r="D137" s="12">
        <f t="shared" si="140"/>
        <v>17.852173562161887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621.89888363774276</v>
      </c>
      <c r="H137" s="70">
        <f t="shared" si="110"/>
        <v>433.649268954099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-1.7053025658242404E-13</v>
      </c>
      <c r="O137" s="14">
        <f>N137*VLOOKUP('Données projet'!$B$9,Paramètres!$A$1:$I$89,3,0)*VLOOKUP('Données projet'!$B$9,Paramètres!$A$1:$I$89,5,0)</f>
        <v>-1.383341441396624E-13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135.99759935190264</v>
      </c>
      <c r="T137" s="62">
        <f t="shared" si="142"/>
        <v>103.49526616376608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7.7347782729200898E-2</v>
      </c>
      <c r="AB137" s="23">
        <f>EXP(-LN(2)/2)*AB136+(1-EXP(-LN(2)/2))/(LN(2)/2)*V137*Y137*VLOOKUP('Données projet'!$B$9,Paramètres!$A$1:$I$89,3,0)*0.475*44/12</f>
        <v>1.205877619003576E-15</v>
      </c>
      <c r="AC137" s="24">
        <f t="shared" si="111"/>
        <v>7.7347782729202105E-2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-1.064108801074326E-13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213.5791415320935</v>
      </c>
      <c r="AO137" s="62">
        <f t="shared" si="144"/>
        <v>167.49607245443497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0.72941695490369152</v>
      </c>
      <c r="AW137" s="23">
        <f>EXP(-LN(2)/2)*AW136+(1-EXP(-LN(2)/2))/(LN(2)/2)*AQ137*AT137*VLOOKUP('Données projet'!$B$10,Paramètres!$A$1:$I$89,3,0)*0.475*44/12</f>
        <v>3.2446751819580918E-15</v>
      </c>
      <c r="AX137" s="23">
        <f t="shared" si="114"/>
        <v>0.72941695490369474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63.180000000000234</v>
      </c>
      <c r="D138" s="12">
        <f t="shared" si="140"/>
        <v>17.969840340798424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626.41982017458622</v>
      </c>
      <c r="H138" s="70">
        <f t="shared" si="110"/>
        <v>434.66930526022429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-1.7053025658242404E-13</v>
      </c>
      <c r="O138" s="14">
        <f>N138*VLOOKUP('Données projet'!$B$9,Paramètres!$A$1:$I$89,3,0)*VLOOKUP('Données projet'!$B$9,Paramètres!$A$1:$I$89,5,0)</f>
        <v>-1.383341441396624E-13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135.99759935190264</v>
      </c>
      <c r="T138" s="62">
        <f t="shared" si="142"/>
        <v>103.49526616376608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7.5232703542927784E-2</v>
      </c>
      <c r="AB138" s="23">
        <f>EXP(-LN(2)/2)*AB137+(1-EXP(-LN(2)/2))/(LN(2)/2)*V138*Y138*VLOOKUP('Données projet'!$B$9,Paramètres!$A$1:$I$89,3,0)*0.475*44/12</f>
        <v>8.5268424167851655E-16</v>
      </c>
      <c r="AC138" s="24">
        <f t="shared" si="111"/>
        <v>7.5232703542928631E-2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-1.064108801074326E-13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213.5791415320935</v>
      </c>
      <c r="AO138" s="62">
        <f t="shared" si="144"/>
        <v>167.49607245443497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0.70947100991347956</v>
      </c>
      <c r="AW138" s="23">
        <f>EXP(-LN(2)/2)*AW137+(1-EXP(-LN(2)/2))/(LN(2)/2)*AQ138*AT138*VLOOKUP('Données projet'!$B$10,Paramètres!$A$1:$I$89,3,0)*0.475*44/12</f>
        <v>2.2943318239102616E-15</v>
      </c>
      <c r="AX138" s="23">
        <f t="shared" si="114"/>
        <v>0.70947100991348189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63.648000000000238</v>
      </c>
      <c r="D139" s="12">
        <f t="shared" si="140"/>
        <v>18.087405707268417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630.93997388067032</v>
      </c>
      <c r="H139" s="70">
        <f t="shared" si="110"/>
        <v>435.68916494015957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-1.7053025658242404E-13</v>
      </c>
      <c r="O139" s="14">
        <f>N139*VLOOKUP('Données projet'!$B$9,Paramètres!$A$1:$I$89,3,0)*VLOOKUP('Données projet'!$B$9,Paramètres!$A$1:$I$89,5,0)</f>
        <v>-1.383341441396624E-13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135.99759935190264</v>
      </c>
      <c r="T139" s="62">
        <f t="shared" si="142"/>
        <v>103.49526616376608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7.3175461308230494E-2</v>
      </c>
      <c r="AB139" s="23">
        <f>EXP(-LN(2)/2)*AB138+(1-EXP(-LN(2)/2))/(LN(2)/2)*V139*Y139*VLOOKUP('Données projet'!$B$9,Paramètres!$A$1:$I$89,3,0)*0.475*44/12</f>
        <v>6.02938809501788E-16</v>
      </c>
      <c r="AC139" s="24">
        <f t="shared" si="111"/>
        <v>7.3175461308231091E-2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-1.064108801074326E-13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213.5791415320935</v>
      </c>
      <c r="AO139" s="62">
        <f t="shared" si="144"/>
        <v>167.49607245443497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0.69007048783793656</v>
      </c>
      <c r="AW139" s="23">
        <f>EXP(-LN(2)/2)*AW138+(1-EXP(-LN(2)/2))/(LN(2)/2)*AQ139*AT139*VLOOKUP('Données projet'!$B$10,Paramètres!$A$1:$I$89,3,0)*0.475*44/12</f>
        <v>1.6223375909790459E-15</v>
      </c>
      <c r="AX139" s="23">
        <f t="shared" si="114"/>
        <v>0.69007048783793823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64.116000000000241</v>
      </c>
      <c r="D140" s="12">
        <f t="shared" si="140"/>
        <v>18.204870493705315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635.45935117948159</v>
      </c>
      <c r="H140" s="70">
        <f t="shared" si="110"/>
        <v>436.7088494432038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-1.7053025658242404E-13</v>
      </c>
      <c r="O140" s="14">
        <f>N140*VLOOKUP('Données projet'!$B$9,Paramètres!$A$1:$I$89,3,0)*VLOOKUP('Données projet'!$B$9,Paramètres!$A$1:$I$89,5,0)</f>
        <v>-1.383341441396624E-13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135.99759935190264</v>
      </c>
      <c r="T140" s="62">
        <f t="shared" si="142"/>
        <v>103.49526616376608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7.1174474470626664E-2</v>
      </c>
      <c r="AB140" s="23">
        <f>EXP(-LN(2)/2)*AB139+(1-EXP(-LN(2)/2))/(LN(2)/2)*V140*Y140*VLOOKUP('Données projet'!$B$9,Paramètres!$A$1:$I$89,3,0)*0.475*44/12</f>
        <v>4.2634212083925827E-16</v>
      </c>
      <c r="AC140" s="24">
        <f t="shared" si="111"/>
        <v>7.1174474470627094E-2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-1.064108801074326E-13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213.5791415320935</v>
      </c>
      <c r="AO140" s="62">
        <f t="shared" si="144"/>
        <v>167.49607245443497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0.67120047405877836</v>
      </c>
      <c r="AW140" s="23">
        <f>EXP(-LN(2)/2)*AW139+(1-EXP(-LN(2)/2))/(LN(2)/2)*AQ140*AT140*VLOOKUP('Données projet'!$B$10,Paramètres!$A$1:$I$89,3,0)*0.475*44/12</f>
        <v>1.1471659119551308E-15</v>
      </c>
      <c r="AX140" s="23">
        <f t="shared" si="114"/>
        <v>0.67120047405877947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64.584000000000245</v>
      </c>
      <c r="D141" s="12">
        <f t="shared" si="140"/>
        <v>18.322235519392791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639.97795839531466</v>
      </c>
      <c r="H141" s="70">
        <f t="shared" si="110"/>
        <v>437.72836019627618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-1.7053025658242404E-13</v>
      </c>
      <c r="O141" s="14">
        <f>N141*VLOOKUP('Données projet'!$B$9,Paramètres!$A$1:$I$89,3,0)*VLOOKUP('Données projet'!$B$9,Paramètres!$A$1:$I$89,5,0)</f>
        <v>-1.383341441396624E-13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135.99759935190264</v>
      </c>
      <c r="T141" s="62">
        <f t="shared" si="142"/>
        <v>103.49526616376608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6.9228204723324444E-2</v>
      </c>
      <c r="AB141" s="23">
        <f>EXP(-LN(2)/2)*AB140+(1-EXP(-LN(2)/2))/(LN(2)/2)*V141*Y141*VLOOKUP('Données projet'!$B$9,Paramètres!$A$1:$I$89,3,0)*0.475*44/12</f>
        <v>3.01469404750894E-16</v>
      </c>
      <c r="AC141" s="24">
        <f t="shared" si="111"/>
        <v>6.9228204723324749E-2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-1.064108801074326E-13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213.5791415320935</v>
      </c>
      <c r="AO141" s="62">
        <f t="shared" si="144"/>
        <v>167.49607245443497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0.65284646179874217</v>
      </c>
      <c r="AW141" s="23">
        <f>EXP(-LN(2)/2)*AW140+(1-EXP(-LN(2)/2))/(LN(2)/2)*AQ141*AT141*VLOOKUP('Données projet'!$B$10,Paramètres!$A$1:$I$89,3,0)*0.475*44/12</f>
        <v>8.1116879548952295E-16</v>
      </c>
      <c r="AX141" s="23">
        <f t="shared" si="114"/>
        <v>0.65284646179874295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65.052000000000248</v>
      </c>
      <c r="D142" s="12">
        <f t="shared" si="140"/>
        <v>18.439501591054739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644.49580175551216</v>
      </c>
      <c r="H142" s="70">
        <f t="shared" si="110"/>
        <v>438.74769860442075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-1.7053025658242404E-13</v>
      </c>
      <c r="O142" s="14">
        <f>N142*VLOOKUP('Données projet'!$B$9,Paramètres!$A$1:$I$89,3,0)*VLOOKUP('Données projet'!$B$9,Paramètres!$A$1:$I$89,5,0)</f>
        <v>-1.383341441396624E-13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135.99759935190264</v>
      </c>
      <c r="T142" s="62">
        <f t="shared" si="142"/>
        <v>103.49526616376608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6.7335155824612067E-2</v>
      </c>
      <c r="AB142" s="23">
        <f>EXP(-LN(2)/2)*AB141+(1-EXP(-LN(2)/2))/(LN(2)/2)*V142*Y142*VLOOKUP('Données projet'!$B$9,Paramètres!$A$1:$I$89,3,0)*0.475*44/12</f>
        <v>2.1317106041962914E-16</v>
      </c>
      <c r="AC142" s="24">
        <f t="shared" si="111"/>
        <v>6.7335155824612275E-2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-1.064108801074326E-13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213.5791415320935</v>
      </c>
      <c r="AO142" s="62">
        <f t="shared" si="144"/>
        <v>167.49607245443497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0.63499434096915219</v>
      </c>
      <c r="AW142" s="23">
        <f>EXP(-LN(2)/2)*AW141+(1-EXP(-LN(2)/2))/(LN(2)/2)*AQ142*AT142*VLOOKUP('Données projet'!$B$10,Paramètres!$A$1:$I$89,3,0)*0.475*44/12</f>
        <v>5.7358295597756541E-16</v>
      </c>
      <c r="AX142" s="23">
        <f t="shared" si="114"/>
        <v>0.63499434096915275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65.520000000000252</v>
      </c>
      <c r="D143" s="12">
        <f t="shared" si="140"/>
        <v>18.556669503136781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649.01288739263669</v>
      </c>
      <c r="H143" s="70">
        <f t="shared" si="110"/>
        <v>439.76686605129692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-1.7053025658242404E-13</v>
      </c>
      <c r="O143" s="14">
        <f>N143*VLOOKUP('Données projet'!$B$9,Paramètres!$A$1:$I$89,3,0)*VLOOKUP('Données projet'!$B$9,Paramètres!$A$1:$I$89,5,0)</f>
        <v>-1.383341441396624E-13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135.99759935190264</v>
      </c>
      <c r="T143" s="62">
        <f t="shared" si="142"/>
        <v>103.49526616376608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6.5493872447586102E-2</v>
      </c>
      <c r="AB143" s="23">
        <f>EXP(-LN(2)/2)*AB142+(1-EXP(-LN(2)/2))/(LN(2)/2)*V143*Y143*VLOOKUP('Données projet'!$B$9,Paramètres!$A$1:$I$89,3,0)*0.475*44/12</f>
        <v>1.50734702375447E-16</v>
      </c>
      <c r="AC143" s="24">
        <f t="shared" si="111"/>
        <v>6.5493872447586254E-2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-1.064108801074326E-13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213.5791415320935</v>
      </c>
      <c r="AO143" s="62">
        <f t="shared" si="144"/>
        <v>167.49607245443497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0.61763038732244968</v>
      </c>
      <c r="AW143" s="23">
        <f>EXP(-LN(2)/2)*AW142+(1-EXP(-LN(2)/2))/(LN(2)/2)*AQ143*AT143*VLOOKUP('Données projet'!$B$10,Paramètres!$A$1:$I$89,3,0)*0.475*44/12</f>
        <v>4.0558439774476147E-16</v>
      </c>
      <c r="AX143" s="23">
        <f t="shared" si="114"/>
        <v>0.61763038732245013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65.988000000000255</v>
      </c>
      <c r="D144" s="12">
        <f t="shared" si="140"/>
        <v>18.673740038079515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653.5292213465807</v>
      </c>
      <c r="H144" s="70">
        <f t="shared" si="110"/>
        <v>440.78586389965557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-1.7053025658242404E-13</v>
      </c>
      <c r="O144" s="14">
        <f>N144*VLOOKUP('Données projet'!$B$9,Paramètres!$A$1:$I$89,3,0)*VLOOKUP('Données projet'!$B$9,Paramètres!$A$1:$I$89,5,0)</f>
        <v>-1.383341441396624E-13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135.99759935190264</v>
      </c>
      <c r="T144" s="62">
        <f t="shared" si="142"/>
        <v>103.49526616376608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6.3702939061333799E-2</v>
      </c>
      <c r="AB144" s="23">
        <f>EXP(-LN(2)/2)*AB143+(1-EXP(-LN(2)/2))/(LN(2)/2)*V144*Y144*VLOOKUP('Données projet'!$B$9,Paramètres!$A$1:$I$89,3,0)*0.475*44/12</f>
        <v>1.0658553020981457E-16</v>
      </c>
      <c r="AC144" s="24">
        <f t="shared" si="111"/>
        <v>6.370293906133391E-2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-1.064108801074326E-13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213.5791415320935</v>
      </c>
      <c r="AO144" s="62">
        <f t="shared" si="144"/>
        <v>167.49607245443497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0.60074125190134686</v>
      </c>
      <c r="AW144" s="23">
        <f>EXP(-LN(2)/2)*AW143+(1-EXP(-LN(2)/2))/(LN(2)/2)*AQ144*AT144*VLOOKUP('Données projet'!$B$10,Paramètres!$A$1:$I$89,3,0)*0.475*44/12</f>
        <v>2.8679147798878271E-16</v>
      </c>
      <c r="AX144" s="23">
        <f t="shared" si="114"/>
        <v>0.6007412519013472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66.456000000000259</v>
      </c>
      <c r="D145" s="12">
        <f t="shared" si="140"/>
        <v>18.790713966583677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658.04480956661291</v>
      </c>
      <c r="H145" s="70">
        <f t="shared" si="110"/>
        <v>441.80469349180032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-1.7053025658242404E-13</v>
      </c>
      <c r="O145" s="14">
        <f>N145*VLOOKUP('Données projet'!$B$9,Paramètres!$A$1:$I$89,3,0)*VLOOKUP('Données projet'!$B$9,Paramètres!$A$1:$I$89,5,0)</f>
        <v>-1.383341441396624E-13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135.99759935190264</v>
      </c>
      <c r="T145" s="62">
        <f t="shared" si="142"/>
        <v>103.49526616376608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6.1960978842709659E-2</v>
      </c>
      <c r="AB145" s="23">
        <f>EXP(-LN(2)/2)*AB144+(1-EXP(-LN(2)/2))/(LN(2)/2)*V145*Y145*VLOOKUP('Données projet'!$B$9,Paramètres!$A$1:$I$89,3,0)*0.475*44/12</f>
        <v>7.53673511877235E-17</v>
      </c>
      <c r="AC145" s="24">
        <f t="shared" si="111"/>
        <v>6.1960978842709735E-2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-1.064108801074326E-13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213.5791415320935</v>
      </c>
      <c r="AO145" s="62">
        <f t="shared" si="144"/>
        <v>167.49607245443497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0.58431395077649506</v>
      </c>
      <c r="AW145" s="23">
        <f>EXP(-LN(2)/2)*AW144+(1-EXP(-LN(2)/2))/(LN(2)/2)*AQ145*AT145*VLOOKUP('Données projet'!$B$10,Paramètres!$A$1:$I$89,3,0)*0.475*44/12</f>
        <v>2.0279219887238074E-16</v>
      </c>
      <c r="AX145" s="23">
        <f t="shared" si="114"/>
        <v>0.58431395077649528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66.924000000000262</v>
      </c>
      <c r="D146" s="12">
        <f t="shared" si="140"/>
        <v>18.90759204786773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662.559657913367</v>
      </c>
      <c r="H146" s="70">
        <f t="shared" si="110"/>
        <v>442.82335615003672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-1.7053025658242404E-13</v>
      </c>
      <c r="O146" s="14">
        <f>N146*VLOOKUP('Données projet'!$B$9,Paramètres!$A$1:$I$89,3,0)*VLOOKUP('Données projet'!$B$9,Paramètres!$A$1:$I$89,5,0)</f>
        <v>-1.383341441396624E-13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135.99759935190264</v>
      </c>
      <c r="T146" s="62">
        <f t="shared" si="142"/>
        <v>103.49526616376608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6.0266652617869503E-2</v>
      </c>
      <c r="AB146" s="23">
        <f>EXP(-LN(2)/2)*AB145+(1-EXP(-LN(2)/2))/(LN(2)/2)*V146*Y146*VLOOKUP('Données projet'!$B$9,Paramètres!$A$1:$I$89,3,0)*0.475*44/12</f>
        <v>5.3292765104907284E-17</v>
      </c>
      <c r="AC146" s="24">
        <f t="shared" si="111"/>
        <v>6.0266652617869558E-2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-1.064108801074326E-13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213.5791415320935</v>
      </c>
      <c r="AO146" s="62">
        <f t="shared" si="144"/>
        <v>167.49607245443497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0.56833585506477657</v>
      </c>
      <c r="AW146" s="23">
        <f>EXP(-LN(2)/2)*AW145+(1-EXP(-LN(2)/2))/(LN(2)/2)*AQ146*AT146*VLOOKUP('Données projet'!$B$10,Paramètres!$A$1:$I$89,3,0)*0.475*44/12</f>
        <v>1.4339573899439135E-16</v>
      </c>
      <c r="AX146" s="23">
        <f t="shared" si="114"/>
        <v>0.56833585506477668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67.392000000000266</v>
      </c>
      <c r="D147" s="12">
        <f t="shared" si="140"/>
        <v>19.024375029918055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667.07377216077305</v>
      </c>
      <c r="H147" s="70">
        <f t="shared" si="110"/>
        <v>443.84185317710774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-1.7053025658242404E-13</v>
      </c>
      <c r="O147" s="14">
        <f>N147*VLOOKUP('Données projet'!$B$9,Paramètres!$A$1:$I$89,3,0)*VLOOKUP('Données projet'!$B$9,Paramètres!$A$1:$I$89,5,0)</f>
        <v>-1.383341441396624E-13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135.99759935190264</v>
      </c>
      <c r="T147" s="62">
        <f t="shared" si="142"/>
        <v>103.49526616376608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5.861865783274834E-2</v>
      </c>
      <c r="AB147" s="23">
        <f>EXP(-LN(2)/2)*AB146+(1-EXP(-LN(2)/2))/(LN(2)/2)*V147*Y147*VLOOKUP('Données projet'!$B$9,Paramètres!$A$1:$I$89,3,0)*0.475*44/12</f>
        <v>3.768367559386175E-17</v>
      </c>
      <c r="AC147" s="24">
        <f t="shared" si="111"/>
        <v>5.8618657832748375E-2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-1.064108801074326E-13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213.5791415320935</v>
      </c>
      <c r="AO147" s="62">
        <f t="shared" si="144"/>
        <v>167.49607245443497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0.55279468122054654</v>
      </c>
      <c r="AW147" s="23">
        <f>EXP(-LN(2)/2)*AW146+(1-EXP(-LN(2)/2))/(LN(2)/2)*AQ147*AT147*VLOOKUP('Données projet'!$B$10,Paramètres!$A$1:$I$89,3,0)*0.475*44/12</f>
        <v>1.0139609943619037E-16</v>
      </c>
      <c r="AX147" s="23">
        <f t="shared" si="114"/>
        <v>0.55279468122054665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67.860000000000269</v>
      </c>
      <c r="D148" s="12">
        <f t="shared" si="140"/>
        <v>19.141063649731827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671.58715799793197</v>
      </c>
      <c r="H148" s="70">
        <f t="shared" si="110"/>
        <v>444.86018585661668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-1.7053025658242404E-13</v>
      </c>
      <c r="O148" s="14">
        <f>N148*VLOOKUP('Données projet'!$B$9,Paramètres!$A$1:$I$89,3,0)*VLOOKUP('Données projet'!$B$9,Paramètres!$A$1:$I$89,5,0)</f>
        <v>-1.383341441396624E-13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135.99759935190264</v>
      </c>
      <c r="T148" s="62">
        <f t="shared" si="142"/>
        <v>103.49526616376608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5.7015727551690598E-2</v>
      </c>
      <c r="AB148" s="23">
        <f>EXP(-LN(2)/2)*AB147+(1-EXP(-LN(2)/2))/(LN(2)/2)*V148*Y148*VLOOKUP('Données projet'!$B$9,Paramètres!$A$1:$I$89,3,0)*0.475*44/12</f>
        <v>2.6646382552453642E-17</v>
      </c>
      <c r="AC148" s="24">
        <f t="shared" si="111"/>
        <v>5.7015727551690626E-2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-1.064108801074326E-13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213.5791415320935</v>
      </c>
      <c r="AO148" s="62">
        <f t="shared" si="144"/>
        <v>167.49607245443497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0.53767848159236187</v>
      </c>
      <c r="AW148" s="23">
        <f>EXP(-LN(2)/2)*AW147+(1-EXP(-LN(2)/2))/(LN(2)/2)*AQ148*AT148*VLOOKUP('Données projet'!$B$10,Paramètres!$A$1:$I$89,3,0)*0.475*44/12</f>
        <v>7.1697869497195676E-17</v>
      </c>
      <c r="AX148" s="23">
        <f t="shared" si="114"/>
        <v>0.53767848159236198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68.328000000000273</v>
      </c>
      <c r="D149" s="12">
        <f t="shared" si="140"/>
        <v>19.257658633553223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676.09982103093932</v>
      </c>
      <c r="H149" s="70">
        <f t="shared" si="110"/>
        <v>445.87835545343899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-1.7053025658242404E-13</v>
      </c>
      <c r="O149" s="14">
        <f>N149*VLOOKUP('Données projet'!$B$9,Paramètres!$A$1:$I$89,3,0)*VLOOKUP('Données projet'!$B$9,Paramètres!$A$1:$I$89,5,0)</f>
        <v>-1.383341441396624E-13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135.99759935190264</v>
      </c>
      <c r="T149" s="62">
        <f t="shared" si="142"/>
        <v>103.49526616376608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5.5456629483462819E-2</v>
      </c>
      <c r="AB149" s="23">
        <f>EXP(-LN(2)/2)*AB148+(1-EXP(-LN(2)/2))/(LN(2)/2)*V149*Y149*VLOOKUP('Données projet'!$B$9,Paramètres!$A$1:$I$89,3,0)*0.475*44/12</f>
        <v>1.8841837796930875E-17</v>
      </c>
      <c r="AC149" s="24">
        <f t="shared" si="111"/>
        <v>5.545662948346284E-2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-1.064108801074326E-13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213.5791415320935</v>
      </c>
      <c r="AO149" s="62">
        <f t="shared" si="144"/>
        <v>167.49607245443497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0.52297563523793622</v>
      </c>
      <c r="AW149" s="23">
        <f>EXP(-LN(2)/2)*AW148+(1-EXP(-LN(2)/2))/(LN(2)/2)*AQ149*AT149*VLOOKUP('Données projet'!$B$10,Paramètres!$A$1:$I$89,3,0)*0.475*44/12</f>
        <v>5.0698049718095184E-17</v>
      </c>
      <c r="AX149" s="23">
        <f t="shared" si="114"/>
        <v>0.52297563523793622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68.796000000000276</v>
      </c>
      <c r="D150" s="12">
        <f t="shared" si="140"/>
        <v>19.374160697102795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680.61176678465529</v>
      </c>
      <c r="H150" s="70">
        <f t="shared" si="110"/>
        <v>446.89636321412115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-1.7053025658242404E-13</v>
      </c>
      <c r="O150" s="14">
        <f>N150*VLOOKUP('Données projet'!$B$9,Paramètres!$A$1:$I$89,3,0)*VLOOKUP('Données projet'!$B$9,Paramètres!$A$1:$I$89,5,0)</f>
        <v>-1.383341441396624E-13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135.99759935190264</v>
      </c>
      <c r="T150" s="62">
        <f t="shared" si="142"/>
        <v>103.49526616376608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5.3940165033900131E-2</v>
      </c>
      <c r="AB150" s="23">
        <f>EXP(-LN(2)/2)*AB149+(1-EXP(-LN(2)/2))/(LN(2)/2)*V150*Y150*VLOOKUP('Données projet'!$B$9,Paramètres!$A$1:$I$89,3,0)*0.475*44/12</f>
        <v>1.3323191276226821E-17</v>
      </c>
      <c r="AC150" s="24">
        <f t="shared" si="111"/>
        <v>5.3940165033900145E-2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-1.064108801074326E-13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213.5791415320935</v>
      </c>
      <c r="AO150" s="62">
        <f t="shared" si="144"/>
        <v>167.49607245443497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0.50867483899026145</v>
      </c>
      <c r="AW150" s="23">
        <f>EXP(-LN(2)/2)*AW149+(1-EXP(-LN(2)/2))/(LN(2)/2)*AQ150*AT150*VLOOKUP('Données projet'!$B$10,Paramètres!$A$1:$I$89,3,0)*0.475*44/12</f>
        <v>3.5848934748597838E-17</v>
      </c>
      <c r="AX150" s="23">
        <f t="shared" si="114"/>
        <v>0.50867483899026145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69.26400000000028</v>
      </c>
      <c r="D151" s="12">
        <f t="shared" si="140"/>
        <v>19.490570545800512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685.12300070442723</v>
      </c>
      <c r="H151" s="70">
        <f t="shared" si="110"/>
        <v>447.91421036726967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-1.7053025658242404E-13</v>
      </c>
      <c r="O151" s="14">
        <f>N151*VLOOKUP('Données projet'!$B$9,Paramètres!$A$1:$I$89,3,0)*VLOOKUP('Données projet'!$B$9,Paramètres!$A$1:$I$89,5,0)</f>
        <v>-1.383341441396624E-13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135.99759935190264</v>
      </c>
      <c r="T151" s="62">
        <f t="shared" si="142"/>
        <v>103.49526616376608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5.2465168384458132E-2</v>
      </c>
      <c r="AB151" s="23">
        <f>EXP(-LN(2)/2)*AB150+(1-EXP(-LN(2)/2))/(LN(2)/2)*V151*Y151*VLOOKUP('Données projet'!$B$9,Paramètres!$A$1:$I$89,3,0)*0.475*44/12</f>
        <v>9.4209188984654375E-18</v>
      </c>
      <c r="AC151" s="24">
        <f t="shared" si="111"/>
        <v>5.2465168384458138E-2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-1.064108801074326E-13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213.5791415320935</v>
      </c>
      <c r="AO151" s="62">
        <f t="shared" si="144"/>
        <v>167.49607245443497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0.49476509876802555</v>
      </c>
      <c r="AW151" s="23">
        <f>EXP(-LN(2)/2)*AW150+(1-EXP(-LN(2)/2))/(LN(2)/2)*AQ151*AT151*VLOOKUP('Données projet'!$B$10,Paramètres!$A$1:$I$89,3,0)*0.475*44/12</f>
        <v>2.5349024859047592E-17</v>
      </c>
      <c r="AX151" s="23">
        <f t="shared" si="114"/>
        <v>0.49476509876802555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69.732000000000284</v>
      </c>
      <c r="D152" s="12">
        <f t="shared" si="140"/>
        <v>19.606888874982584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689.63352815776261</v>
      </c>
      <c r="H152" s="70">
        <f t="shared" si="110"/>
        <v>448.93189812392848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-1.7053025658242404E-13</v>
      </c>
      <c r="O152" s="14">
        <f>N152*VLOOKUP('Données projet'!$B$9,Paramètres!$A$1:$I$89,3,0)*VLOOKUP('Données projet'!$B$9,Paramètres!$A$1:$I$89,5,0)</f>
        <v>-1.383341441396624E-13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135.99759935190264</v>
      </c>
      <c r="T152" s="62">
        <f t="shared" si="142"/>
        <v>103.49526616376608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5.1030505595961832E-2</v>
      </c>
      <c r="AB152" s="23">
        <f>EXP(-LN(2)/2)*AB151+(1-EXP(-LN(2)/2))/(LN(2)/2)*V152*Y152*VLOOKUP('Données projet'!$B$9,Paramètres!$A$1:$I$89,3,0)*0.475*44/12</f>
        <v>6.6615956381134105E-18</v>
      </c>
      <c r="AC152" s="24">
        <f t="shared" si="111"/>
        <v>5.1030505595961839E-2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-1.064108801074326E-13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213.5791415320935</v>
      </c>
      <c r="AO152" s="62">
        <f t="shared" si="144"/>
        <v>167.49607245443497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0.48123572112364815</v>
      </c>
      <c r="AW152" s="23">
        <f>EXP(-LN(2)/2)*AW151+(1-EXP(-LN(2)/2))/(LN(2)/2)*AQ152*AT152*VLOOKUP('Données projet'!$B$10,Paramètres!$A$1:$I$89,3,0)*0.475*44/12</f>
        <v>1.7924467374298919E-17</v>
      </c>
      <c r="AX152" s="23">
        <f t="shared" si="114"/>
        <v>0.48123572112364815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70.200000000000287</v>
      </c>
      <c r="D153" s="12">
        <f t="shared" si="140"/>
        <v>19.723116370112255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694.14335443595644</v>
      </c>
      <c r="H153" s="70">
        <f t="shared" si="110"/>
        <v>449.94942767794601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-1.7053025658242404E-13</v>
      </c>
      <c r="O153" s="14">
        <f>N153*VLOOKUP('Données projet'!$B$9,Paramètres!$A$1:$I$89,3,0)*VLOOKUP('Données projet'!$B$9,Paramètres!$A$1:$I$89,5,0)</f>
        <v>-1.383341441396624E-13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135.99759935190264</v>
      </c>
      <c r="T153" s="62">
        <f t="shared" si="142"/>
        <v>103.49526616376608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4.96350737368626E-2</v>
      </c>
      <c r="AB153" s="23">
        <f>EXP(-LN(2)/2)*AB152+(1-EXP(-LN(2)/2))/(LN(2)/2)*V153*Y153*VLOOKUP('Données projet'!$B$9,Paramètres!$A$1:$I$89,3,0)*0.475*44/12</f>
        <v>4.7104594492327188E-18</v>
      </c>
      <c r="AC153" s="24">
        <f t="shared" si="111"/>
        <v>4.9635073736862607E-2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-1.064108801074326E-13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213.5791415320935</v>
      </c>
      <c r="AO153" s="62">
        <f t="shared" si="144"/>
        <v>167.49607245443497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0.4680763050224353</v>
      </c>
      <c r="AW153" s="23">
        <f>EXP(-LN(2)/2)*AW152+(1-EXP(-LN(2)/2))/(LN(2)/2)*AQ153*AT153*VLOOKUP('Données projet'!$B$10,Paramètres!$A$1:$I$89,3,0)*0.475*44/12</f>
        <v>1.2674512429523796E-17</v>
      </c>
      <c r="AX153" s="23">
        <f t="shared" si="114"/>
        <v>0.4680763050224353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70.668000000000291</v>
      </c>
      <c r="D154" s="12">
        <f t="shared" si="140"/>
        <v>19.839253706984934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698.65248475567535</v>
      </c>
      <c r="H154" s="70">
        <f t="shared" si="110"/>
        <v>450.96680020633255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-1.7053025658242404E-13</v>
      </c>
      <c r="O154" s="14">
        <f>N154*VLOOKUP('Données projet'!$B$9,Paramètres!$A$1:$I$89,3,0)*VLOOKUP('Données projet'!$B$9,Paramètres!$A$1:$I$89,5,0)</f>
        <v>-1.383341441396624E-13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135.99759935190264</v>
      </c>
      <c r="T154" s="62">
        <f t="shared" si="142"/>
        <v>103.49526616376608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4.827780003533301E-2</v>
      </c>
      <c r="AB154" s="23">
        <f>EXP(-LN(2)/2)*AB153+(1-EXP(-LN(2)/2))/(LN(2)/2)*V154*Y154*VLOOKUP('Données projet'!$B$9,Paramètres!$A$1:$I$89,3,0)*0.475*44/12</f>
        <v>3.3307978190567053E-18</v>
      </c>
      <c r="AC154" s="24">
        <f t="shared" ref="AC154:AC203" si="163">SUM(Z154:AB154)</f>
        <v>4.827780003533301E-2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-1.064108801074326E-13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213.5791415320935</v>
      </c>
      <c r="AO154" s="62">
        <f t="shared" si="144"/>
        <v>167.49607245443497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0.45527673384653372</v>
      </c>
      <c r="AW154" s="23">
        <f>EXP(-LN(2)/2)*AW153+(1-EXP(-LN(2)/2))/(LN(2)/2)*AQ154*AT154*VLOOKUP('Données projet'!$B$10,Paramètres!$A$1:$I$89,3,0)*0.475*44/12</f>
        <v>8.9622336871494596E-18</v>
      </c>
      <c r="AX154" s="23">
        <f t="shared" ref="AX154:AX203" si="166">SUM(AU154:AW154)</f>
        <v>0.45527673384653372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71.136000000000294</v>
      </c>
      <c r="D155" s="12">
        <f t="shared" si="140"/>
        <v>19.955301551927551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703.16092426049556</v>
      </c>
      <c r="H155" s="70">
        <f t="shared" si="110"/>
        <v>451.98401686960767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-1.7053025658242404E-13</v>
      </c>
      <c r="O155" s="14">
        <f>N155*VLOOKUP('Données projet'!$B$9,Paramètres!$A$1:$I$89,3,0)*VLOOKUP('Données projet'!$B$9,Paramètres!$A$1:$I$89,5,0)</f>
        <v>-1.383341441396624E-13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135.99759935190264</v>
      </c>
      <c r="T155" s="62">
        <f t="shared" si="142"/>
        <v>103.49526616376608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4.6957641054547666E-2</v>
      </c>
      <c r="AB155" s="23">
        <f>EXP(-LN(2)/2)*AB154+(1-EXP(-LN(2)/2))/(LN(2)/2)*V155*Y155*VLOOKUP('Données projet'!$B$9,Paramètres!$A$1:$I$89,3,0)*0.475*44/12</f>
        <v>2.3552297246163594E-18</v>
      </c>
      <c r="AC155" s="24">
        <f t="shared" si="163"/>
        <v>4.6957641054547666E-2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-1.064108801074326E-13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213.5791415320935</v>
      </c>
      <c r="AO155" s="62">
        <f t="shared" si="144"/>
        <v>167.49607245443497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0.44282716761753738</v>
      </c>
      <c r="AW155" s="23">
        <f>EXP(-LN(2)/2)*AW154+(1-EXP(-LN(2)/2))/(LN(2)/2)*AQ155*AT155*VLOOKUP('Données projet'!$B$10,Paramètres!$A$1:$I$89,3,0)*0.475*44/12</f>
        <v>6.337256214761898E-18</v>
      </c>
      <c r="AX155" s="23">
        <f t="shared" si="166"/>
        <v>0.44282716761753738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71.604000000000298</v>
      </c>
      <c r="D156" s="12">
        <f t="shared" si="140"/>
        <v>20.071260561992666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707.66867802240176</v>
      </c>
      <c r="H156" s="70">
        <f t="shared" si="110"/>
        <v>453.00107881213773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-1.7053025658242404E-13</v>
      </c>
      <c r="O156" s="14">
        <f>N156*VLOOKUP('Données projet'!$B$9,Paramètres!$A$1:$I$89,3,0)*VLOOKUP('Données projet'!$B$9,Paramètres!$A$1:$I$89,5,0)</f>
        <v>-1.383341441396624E-13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135.99759935190264</v>
      </c>
      <c r="T156" s="62">
        <f t="shared" si="142"/>
        <v>103.49526616376608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4.5673581890516041E-2</v>
      </c>
      <c r="AB156" s="23">
        <f>EXP(-LN(2)/2)*AB155+(1-EXP(-LN(2)/2))/(LN(2)/2)*V156*Y156*VLOOKUP('Données projet'!$B$9,Paramètres!$A$1:$I$89,3,0)*0.475*44/12</f>
        <v>1.6653989095283526E-18</v>
      </c>
      <c r="AC156" s="24">
        <f t="shared" si="163"/>
        <v>4.5673581890516041E-2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-1.064108801074326E-13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213.5791415320935</v>
      </c>
      <c r="AO156" s="62">
        <f t="shared" si="144"/>
        <v>167.49607245443497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0.43071803543176718</v>
      </c>
      <c r="AW156" s="23">
        <f>EXP(-LN(2)/2)*AW155+(1-EXP(-LN(2)/2))/(LN(2)/2)*AQ156*AT156*VLOOKUP('Données projet'!$B$10,Paramètres!$A$1:$I$89,3,0)*0.475*44/12</f>
        <v>4.4811168435747298E-18</v>
      </c>
      <c r="AX156" s="23">
        <f t="shared" si="166"/>
        <v>0.43071803543176718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72.072000000000301</v>
      </c>
      <c r="D157" s="12">
        <f t="shared" si="140"/>
        <v>20.18713138514735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712.17575104324499</v>
      </c>
      <c r="H157" s="70">
        <f t="shared" si="110"/>
        <v>454.01798716246549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-1.7053025658242404E-13</v>
      </c>
      <c r="O157" s="14">
        <f>N157*VLOOKUP('Données projet'!$B$9,Paramètres!$A$1:$I$89,3,0)*VLOOKUP('Données projet'!$B$9,Paramètres!$A$1:$I$89,5,0)</f>
        <v>-1.383341441396624E-13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135.99759935190264</v>
      </c>
      <c r="T157" s="62">
        <f t="shared" si="142"/>
        <v>103.49526616376608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4.4424635391850598E-2</v>
      </c>
      <c r="AB157" s="23">
        <f>EXP(-LN(2)/2)*AB156+(1-EXP(-LN(2)/2))/(LN(2)/2)*V157*Y157*VLOOKUP('Données projet'!$B$9,Paramètres!$A$1:$I$89,3,0)*0.475*44/12</f>
        <v>1.1776148623081797E-18</v>
      </c>
      <c r="AC157" s="24">
        <f t="shared" si="163"/>
        <v>4.4424635391850598E-2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-1.064108801074326E-13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213.5791415320935</v>
      </c>
      <c r="AO157" s="62">
        <f t="shared" si="144"/>
        <v>167.49607245443497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0.41894002810240843</v>
      </c>
      <c r="AW157" s="23">
        <f>EXP(-LN(2)/2)*AW156+(1-EXP(-LN(2)/2))/(LN(2)/2)*AQ157*AT157*VLOOKUP('Données projet'!$B$10,Paramètres!$A$1:$I$89,3,0)*0.475*44/12</f>
        <v>3.168628107380949E-18</v>
      </c>
      <c r="AX157" s="23">
        <f t="shared" si="166"/>
        <v>0.41894002810240843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72.540000000000305</v>
      </c>
      <c r="D158" s="12">
        <f t="shared" si="140"/>
        <v>20.302914660456867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716.68214825616053</v>
      </c>
      <c r="H158" s="70">
        <f t="shared" si="110"/>
        <v>455.03474303362952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-1.7053025658242404E-13</v>
      </c>
      <c r="O158" s="14">
        <f>N158*VLOOKUP('Données projet'!$B$9,Paramètres!$A$1:$I$89,3,0)*VLOOKUP('Données projet'!$B$9,Paramètres!$A$1:$I$89,5,0)</f>
        <v>-1.383341441396624E-13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135.99759935190264</v>
      </c>
      <c r="T158" s="62">
        <f t="shared" si="142"/>
        <v>103.49526616376608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4.3209841400870398E-2</v>
      </c>
      <c r="AB158" s="23">
        <f>EXP(-LN(2)/2)*AB157+(1-EXP(-LN(2)/2))/(LN(2)/2)*V158*Y158*VLOOKUP('Données projet'!$B$9,Paramètres!$A$1:$I$89,3,0)*0.475*44/12</f>
        <v>8.3269945476417632E-19</v>
      </c>
      <c r="AC158" s="24">
        <f t="shared" si="163"/>
        <v>4.3209841400870398E-2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-1.064108801074326E-13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213.5791415320935</v>
      </c>
      <c r="AO158" s="62">
        <f t="shared" si="144"/>
        <v>167.49607245443497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0.40748409100284949</v>
      </c>
      <c r="AW158" s="23">
        <f>EXP(-LN(2)/2)*AW157+(1-EXP(-LN(2)/2))/(LN(2)/2)*AQ158*AT158*VLOOKUP('Données projet'!$B$10,Paramètres!$A$1:$I$89,3,0)*0.475*44/12</f>
        <v>2.2405584217873649E-18</v>
      </c>
      <c r="AX158" s="23">
        <f t="shared" si="166"/>
        <v>0.40748409100284949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73.008000000000308</v>
      </c>
      <c r="D159" s="12">
        <f t="shared" si="140"/>
        <v>20.418611018263718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721.1878745269504</v>
      </c>
      <c r="H159" s="70">
        <f t="shared" si="110"/>
        <v>456.05134752347647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-1.7053025658242404E-13</v>
      </c>
      <c r="O159" s="14">
        <f>N159*VLOOKUP('Données projet'!$B$9,Paramètres!$A$1:$I$89,3,0)*VLOOKUP('Données projet'!$B$9,Paramètres!$A$1:$I$89,5,0)</f>
        <v>-1.383341441396624E-13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135.99759935190264</v>
      </c>
      <c r="T159" s="62">
        <f t="shared" si="142"/>
        <v>103.49526616376608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4.2028266015456797E-2</v>
      </c>
      <c r="AB159" s="23">
        <f>EXP(-LN(2)/2)*AB158+(1-EXP(-LN(2)/2))/(LN(2)/2)*V159*Y159*VLOOKUP('Données projet'!$B$9,Paramètres!$A$1:$I$89,3,0)*0.475*44/12</f>
        <v>5.8880743115408985E-19</v>
      </c>
      <c r="AC159" s="24">
        <f t="shared" si="163"/>
        <v>4.2028266015456797E-2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-1.064108801074326E-13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213.5791415320935</v>
      </c>
      <c r="AO159" s="62">
        <f t="shared" si="144"/>
        <v>167.49607245443497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0.39634141710571952</v>
      </c>
      <c r="AW159" s="23">
        <f>EXP(-LN(2)/2)*AW158+(1-EXP(-LN(2)/2))/(LN(2)/2)*AQ159*AT159*VLOOKUP('Données projet'!$B$10,Paramètres!$A$1:$I$89,3,0)*0.475*44/12</f>
        <v>1.5843140536904745E-18</v>
      </c>
      <c r="AX159" s="23">
        <f t="shared" si="166"/>
        <v>0.39634141710571952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73.476000000000312</v>
      </c>
      <c r="D160" s="12">
        <f t="shared" si="140"/>
        <v>20.534221080361753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725.69293465542648</v>
      </c>
      <c r="H160" s="70">
        <f t="shared" si="110"/>
        <v>457.06780171496393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-1.7053025658242404E-13</v>
      </c>
      <c r="O160" s="14">
        <f>N160*VLOOKUP('Données projet'!$B$9,Paramètres!$A$1:$I$89,3,0)*VLOOKUP('Données projet'!$B$9,Paramètres!$A$1:$I$89,5,0)</f>
        <v>-1.383341441396624E-13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135.99759935190264</v>
      </c>
      <c r="T160" s="62">
        <f t="shared" si="142"/>
        <v>103.49526616376608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4.0879000871093675E-2</v>
      </c>
      <c r="AB160" s="23">
        <f>EXP(-LN(2)/2)*AB159+(1-EXP(-LN(2)/2))/(LN(2)/2)*V160*Y160*VLOOKUP('Données projet'!$B$9,Paramètres!$A$1:$I$89,3,0)*0.475*44/12</f>
        <v>4.1634972738208816E-19</v>
      </c>
      <c r="AC160" s="24">
        <f t="shared" si="163"/>
        <v>4.0879000871093675E-2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-1.064108801074326E-13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213.5791415320935</v>
      </c>
      <c r="AO160" s="62">
        <f t="shared" si="144"/>
        <v>167.49607245443497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0.38550344021227434</v>
      </c>
      <c r="AW160" s="23">
        <f>EXP(-LN(2)/2)*AW159+(1-EXP(-LN(2)/2))/(LN(2)/2)*AQ160*AT160*VLOOKUP('Données projet'!$B$10,Paramètres!$A$1:$I$89,3,0)*0.475*44/12</f>
        <v>1.1202792108936824E-18</v>
      </c>
      <c r="AX160" s="23">
        <f t="shared" si="166"/>
        <v>0.38550344021227434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73.944000000000315</v>
      </c>
      <c r="D161" s="12">
        <f t="shared" si="140"/>
        <v>20.649745460165789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730.19733337672085</v>
      </c>
      <c r="H161" s="70">
        <f t="shared" si="110"/>
        <v>458.08410667645592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-1.7053025658242404E-13</v>
      </c>
      <c r="O161" s="14">
        <f>N161*VLOOKUP('Données projet'!$B$9,Paramètres!$A$1:$I$89,3,0)*VLOOKUP('Données projet'!$B$9,Paramètres!$A$1:$I$89,5,0)</f>
        <v>-1.383341441396624E-13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135.99759935190264</v>
      </c>
      <c r="T161" s="62">
        <f t="shared" si="142"/>
        <v>103.49526616376608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3.9761162442540396E-2</v>
      </c>
      <c r="AB161" s="23">
        <f>EXP(-LN(2)/2)*AB160+(1-EXP(-LN(2)/2))/(LN(2)/2)*V161*Y161*VLOOKUP('Données projet'!$B$9,Paramètres!$A$1:$I$89,3,0)*0.475*44/12</f>
        <v>2.9440371557704492E-19</v>
      </c>
      <c r="AC161" s="24">
        <f t="shared" si="163"/>
        <v>3.9761162442540396E-2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-1.064108801074326E-13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213.5791415320935</v>
      </c>
      <c r="AO161" s="62">
        <f t="shared" si="144"/>
        <v>167.49607245443497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0.37496182836692488</v>
      </c>
      <c r="AW161" s="23">
        <f>EXP(-LN(2)/2)*AW160+(1-EXP(-LN(2)/2))/(LN(2)/2)*AQ161*AT161*VLOOKUP('Données projet'!$B$10,Paramètres!$A$1:$I$89,3,0)*0.475*44/12</f>
        <v>7.9215702684523725E-19</v>
      </c>
      <c r="AX161" s="23">
        <f t="shared" si="166"/>
        <v>0.37496182836692488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74.412000000000319</v>
      </c>
      <c r="D162" s="12">
        <f t="shared" si="140"/>
        <v>20.765184762876906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734.70107536256103</v>
      </c>
      <c r="H162" s="70">
        <f t="shared" si="110"/>
        <v>459.10026346201118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-1.7053025658242404E-13</v>
      </c>
      <c r="O162" s="14">
        <f>N162*VLOOKUP('Données projet'!$B$9,Paramètres!$A$1:$I$89,3,0)*VLOOKUP('Données projet'!$B$9,Paramètres!$A$1:$I$89,5,0)</f>
        <v>-1.383341441396624E-13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135.99759935190264</v>
      </c>
      <c r="T162" s="62">
        <f t="shared" si="142"/>
        <v>103.49526616376608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3.867389136460047E-2</v>
      </c>
      <c r="AB162" s="23">
        <f>EXP(-LN(2)/2)*AB161+(1-EXP(-LN(2)/2))/(LN(2)/2)*V162*Y162*VLOOKUP('Données projet'!$B$9,Paramètres!$A$1:$I$89,3,0)*0.475*44/12</f>
        <v>2.0817486369104408E-19</v>
      </c>
      <c r="AC162" s="24">
        <f t="shared" si="163"/>
        <v>3.867389136460047E-2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-1.064108801074326E-13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213.5791415320935</v>
      </c>
      <c r="AO162" s="62">
        <f t="shared" si="144"/>
        <v>167.49607245443497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0.36470847745184576</v>
      </c>
      <c r="AW162" s="23">
        <f>EXP(-LN(2)/2)*AW161+(1-EXP(-LN(2)/2))/(LN(2)/2)*AQ162*AT162*VLOOKUP('Données projet'!$B$10,Paramètres!$A$1:$I$89,3,0)*0.475*44/12</f>
        <v>5.6013960544684122E-19</v>
      </c>
      <c r="AX162" s="23">
        <f t="shared" si="166"/>
        <v>0.36470847745184576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74.880000000000322</v>
      </c>
      <c r="D163" s="12">
        <f t="shared" si="140"/>
        <v>20.880539585643316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739.20416522251242</v>
      </c>
      <c r="H163" s="70">
        <f t="shared" si="110"/>
        <v>460.11627311166262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-1.7053025658242404E-13</v>
      </c>
      <c r="O163" s="14">
        <f>N163*VLOOKUP('Données projet'!$B$9,Paramètres!$A$1:$I$89,3,0)*VLOOKUP('Données projet'!$B$9,Paramètres!$A$1:$I$89,5,0)</f>
        <v>-1.383341441396624E-13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135.99759935190264</v>
      </c>
      <c r="T163" s="62">
        <f t="shared" si="142"/>
        <v>103.49526616376608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3.7616351771463913E-2</v>
      </c>
      <c r="AB163" s="23">
        <f>EXP(-LN(2)/2)*AB162+(1-EXP(-LN(2)/2))/(LN(2)/2)*V163*Y163*VLOOKUP('Données projet'!$B$9,Paramètres!$A$1:$I$89,3,0)*0.475*44/12</f>
        <v>1.4720185778852246E-19</v>
      </c>
      <c r="AC163" s="24">
        <f t="shared" si="163"/>
        <v>3.7616351771463913E-2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-1.064108801074326E-13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213.5791415320935</v>
      </c>
      <c r="AO163" s="62">
        <f t="shared" si="144"/>
        <v>167.49607245443497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0.35473550495673978</v>
      </c>
      <c r="AW163" s="23">
        <f>EXP(-LN(2)/2)*AW162+(1-EXP(-LN(2)/2))/(LN(2)/2)*AQ163*AT163*VLOOKUP('Données projet'!$B$10,Paramètres!$A$1:$I$89,3,0)*0.475*44/12</f>
        <v>3.9607851342261863E-19</v>
      </c>
      <c r="AX163" s="23">
        <f t="shared" si="166"/>
        <v>0.35473550495673978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75.348000000000326</v>
      </c>
      <c r="D164" s="12">
        <f t="shared" si="140"/>
        <v>20.995810517717125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743.70660750518743</v>
      </c>
      <c r="H164" s="70">
        <f t="shared" si="110"/>
        <v>461.13213665169121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-1.7053025658242404E-13</v>
      </c>
      <c r="O164" s="14">
        <f>N164*VLOOKUP('Données projet'!$B$9,Paramètres!$A$1:$I$89,3,0)*VLOOKUP('Données projet'!$B$9,Paramètres!$A$1:$I$89,5,0)</f>
        <v>-1.383341441396624E-13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135.99759935190264</v>
      </c>
      <c r="T164" s="62">
        <f t="shared" si="142"/>
        <v>103.49526616376608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3.6587730654115268E-2</v>
      </c>
      <c r="AB164" s="23">
        <f>EXP(-LN(2)/2)*AB163+(1-EXP(-LN(2)/2))/(LN(2)/2)*V164*Y164*VLOOKUP('Données projet'!$B$9,Paramètres!$A$1:$I$89,3,0)*0.475*44/12</f>
        <v>1.0408743184552204E-19</v>
      </c>
      <c r="AC164" s="24">
        <f t="shared" si="163"/>
        <v>3.6587730654115268E-2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-1.064108801074326E-13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213.5791415320935</v>
      </c>
      <c r="AO164" s="62">
        <f t="shared" si="144"/>
        <v>167.49607245443497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0.34503524391896828</v>
      </c>
      <c r="AW164" s="23">
        <f>EXP(-LN(2)/2)*AW163+(1-EXP(-LN(2)/2))/(LN(2)/2)*AQ164*AT164*VLOOKUP('Données projet'!$B$10,Paramètres!$A$1:$I$89,3,0)*0.475*44/12</f>
        <v>2.8006980272342061E-19</v>
      </c>
      <c r="AX164" s="23">
        <f t="shared" si="166"/>
        <v>0.34503524391896828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75.816000000000329</v>
      </c>
      <c r="D165" s="12">
        <f t="shared" si="140"/>
        <v>21.11099814060724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748.20840669942697</v>
      </c>
      <c r="H165" s="70">
        <f t="shared" si="110"/>
        <v>462.1478550948915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-1.7053025658242404E-13</v>
      </c>
      <c r="O165" s="14">
        <f>N165*VLOOKUP('Données projet'!$B$9,Paramètres!$A$1:$I$89,3,0)*VLOOKUP('Données projet'!$B$9,Paramètres!$A$1:$I$89,5,0)</f>
        <v>-1.383341441396624E-13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135.99759935190264</v>
      </c>
      <c r="T165" s="62">
        <f t="shared" si="142"/>
        <v>103.49526616376608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3.5587237235313353E-2</v>
      </c>
      <c r="AB165" s="23">
        <f>EXP(-LN(2)/2)*AB164+(1-EXP(-LN(2)/2))/(LN(2)/2)*V165*Y165*VLOOKUP('Données projet'!$B$9,Paramètres!$A$1:$I$89,3,0)*0.475*44/12</f>
        <v>7.3600928894261231E-20</v>
      </c>
      <c r="AC165" s="24">
        <f t="shared" si="163"/>
        <v>3.5587237235313353E-2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-1.064108801074326E-13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213.5791415320935</v>
      </c>
      <c r="AO165" s="62">
        <f t="shared" si="144"/>
        <v>167.49607245443497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0.33560023702938918</v>
      </c>
      <c r="AW165" s="23">
        <f>EXP(-LN(2)/2)*AW164+(1-EXP(-LN(2)/2))/(LN(2)/2)*AQ165*AT165*VLOOKUP('Données projet'!$B$10,Paramètres!$A$1:$I$89,3,0)*0.475*44/12</f>
        <v>1.9803925671130931E-19</v>
      </c>
      <c r="AX165" s="23">
        <f t="shared" si="166"/>
        <v>0.33560023702938918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76.284000000000333</v>
      </c>
      <c r="D166" s="12">
        <f t="shared" si="140"/>
        <v>21.226103028228163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752.70956723544816</v>
      </c>
      <c r="H166" s="70">
        <f t="shared" si="110"/>
        <v>463.16342944083124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-1.7053025658242404E-13</v>
      </c>
      <c r="O166" s="14">
        <f>N166*VLOOKUP('Données projet'!$B$9,Paramètres!$A$1:$I$89,3,0)*VLOOKUP('Données projet'!$B$9,Paramètres!$A$1:$I$89,5,0)</f>
        <v>-1.383341441396624E-13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135.99759935190264</v>
      </c>
      <c r="T166" s="62">
        <f t="shared" si="142"/>
        <v>103.49526616376608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3.4614102361662236E-2</v>
      </c>
      <c r="AB166" s="23">
        <f>EXP(-LN(2)/2)*AB165+(1-EXP(-LN(2)/2))/(LN(2)/2)*V166*Y166*VLOOKUP('Données projet'!$B$9,Paramètres!$A$1:$I$89,3,0)*0.475*44/12</f>
        <v>5.204371592276102E-20</v>
      </c>
      <c r="AC166" s="24">
        <f t="shared" si="163"/>
        <v>3.4614102361662236E-2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-1.064108801074326E-13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213.5791415320935</v>
      </c>
      <c r="AO166" s="62">
        <f t="shared" si="144"/>
        <v>167.49607245443497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0.32642323089937109</v>
      </c>
      <c r="AW166" s="23">
        <f>EXP(-LN(2)/2)*AW165+(1-EXP(-LN(2)/2))/(LN(2)/2)*AQ166*AT166*VLOOKUP('Données projet'!$B$10,Paramètres!$A$1:$I$89,3,0)*0.475*44/12</f>
        <v>1.4003490136171031E-19</v>
      </c>
      <c r="AX166" s="23">
        <f t="shared" si="166"/>
        <v>0.32642323089937109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76.752000000000336</v>
      </c>
      <c r="D167" s="12">
        <f t="shared" si="140"/>
        <v>21.341125747045204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757.21009348596579</v>
      </c>
      <c r="H167" s="70">
        <f t="shared" si="110"/>
        <v>464.17886067610431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-1.7053025658242404E-13</v>
      </c>
      <c r="O167" s="14">
        <f>N167*VLOOKUP('Données projet'!$B$9,Paramètres!$A$1:$I$89,3,0)*VLOOKUP('Données projet'!$B$9,Paramètres!$A$1:$I$89,5,0)</f>
        <v>-1.383341441396624E-13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135.99759935190264</v>
      </c>
      <c r="T167" s="62">
        <f t="shared" si="142"/>
        <v>103.49526616376608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3.3667577912306047E-2</v>
      </c>
      <c r="AB167" s="23">
        <f>EXP(-LN(2)/2)*AB166+(1-EXP(-LN(2)/2))/(LN(2)/2)*V167*Y167*VLOOKUP('Données projet'!$B$9,Paramètres!$A$1:$I$89,3,0)*0.475*44/12</f>
        <v>3.6800464447130615E-20</v>
      </c>
      <c r="AC167" s="24">
        <f t="shared" si="163"/>
        <v>3.3667577912306047E-2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-1.064108801074326E-13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213.5791415320935</v>
      </c>
      <c r="AO167" s="62">
        <f t="shared" si="144"/>
        <v>167.49607245443497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0.3174971704845761</v>
      </c>
      <c r="AW167" s="23">
        <f>EXP(-LN(2)/2)*AW166+(1-EXP(-LN(2)/2))/(LN(2)/2)*AQ167*AT167*VLOOKUP('Données projet'!$B$10,Paramètres!$A$1:$I$89,3,0)*0.475*44/12</f>
        <v>9.9019628355654657E-20</v>
      </c>
      <c r="AX167" s="23">
        <f t="shared" si="166"/>
        <v>0.3174971704845761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77.22000000000034</v>
      </c>
      <c r="D168" s="12">
        <f t="shared" si="140"/>
        <v>21.456066856215958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761.70998976728379</v>
      </c>
      <c r="H168" s="70">
        <f t="shared" si="110"/>
        <v>465.19414977457666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-1.7053025658242404E-13</v>
      </c>
      <c r="O168" s="14">
        <f>N168*VLOOKUP('Données projet'!$B$9,Paramètres!$A$1:$I$89,3,0)*VLOOKUP('Données projet'!$B$9,Paramètres!$A$1:$I$89,5,0)</f>
        <v>-1.383341441396624E-13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135.99759935190264</v>
      </c>
      <c r="T168" s="62">
        <f t="shared" si="142"/>
        <v>103.49526616376608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3.2746936223793065E-2</v>
      </c>
      <c r="AB168" s="23">
        <f>EXP(-LN(2)/2)*AB167+(1-EXP(-LN(2)/2))/(LN(2)/2)*V168*Y168*VLOOKUP('Données projet'!$B$9,Paramètres!$A$1:$I$89,3,0)*0.475*44/12</f>
        <v>2.602185796138051E-20</v>
      </c>
      <c r="AC168" s="24">
        <f t="shared" si="163"/>
        <v>3.2746936223793065E-2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-1.064108801074326E-13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213.5791415320935</v>
      </c>
      <c r="AO168" s="62">
        <f t="shared" si="144"/>
        <v>167.49607245443497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0.30881519366122484</v>
      </c>
      <c r="AW168" s="23">
        <f>EXP(-LN(2)/2)*AW167+(1-EXP(-LN(2)/2))/(LN(2)/2)*AQ168*AT168*VLOOKUP('Données projet'!$B$10,Paramètres!$A$1:$I$89,3,0)*0.475*44/12</f>
        <v>7.0017450680855153E-20</v>
      </c>
      <c r="AX168" s="23">
        <f t="shared" si="166"/>
        <v>0.30881519366122484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77.688000000000343</v>
      </c>
      <c r="D169" s="12">
        <f t="shared" si="140"/>
        <v>21.570926907728293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766.20926034036154</v>
      </c>
      <c r="H169" s="70">
        <f t="shared" si="110"/>
        <v>466.20929769762733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-1.7053025658242404E-13</v>
      </c>
      <c r="O169" s="14">
        <f>N169*VLOOKUP('Données projet'!$B$9,Paramètres!$A$1:$I$89,3,0)*VLOOKUP('Données projet'!$B$9,Paramètres!$A$1:$I$89,5,0)</f>
        <v>-1.383341441396624E-13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135.99759935190264</v>
      </c>
      <c r="T169" s="62">
        <f t="shared" si="142"/>
        <v>103.49526616376608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3.1851469530666913E-2</v>
      </c>
      <c r="AB169" s="23">
        <f>EXP(-LN(2)/2)*AB168+(1-EXP(-LN(2)/2))/(LN(2)/2)*V169*Y169*VLOOKUP('Données projet'!$B$9,Paramètres!$A$1:$I$89,3,0)*0.475*44/12</f>
        <v>1.8400232223565308E-20</v>
      </c>
      <c r="AC169" s="24">
        <f t="shared" si="163"/>
        <v>3.1851469530666913E-2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-1.064108801074326E-13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213.5791415320935</v>
      </c>
      <c r="AO169" s="62">
        <f t="shared" si="144"/>
        <v>167.49607245443497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0.30037062595067343</v>
      </c>
      <c r="AW169" s="23">
        <f>EXP(-LN(2)/2)*AW168+(1-EXP(-LN(2)/2))/(LN(2)/2)*AQ169*AT169*VLOOKUP('Données projet'!$B$10,Paramètres!$A$1:$I$89,3,0)*0.475*44/12</f>
        <v>4.9509814177827328E-20</v>
      </c>
      <c r="AX169" s="23">
        <f t="shared" si="166"/>
        <v>0.30037062595067343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78.156000000000347</v>
      </c>
      <c r="D170" s="12">
        <f t="shared" si="140"/>
        <v>21.685706446534894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770.70790941185112</v>
      </c>
      <c r="H170" s="70">
        <f t="shared" si="110"/>
        <v>467.22430539438216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-1.7053025658242404E-13</v>
      </c>
      <c r="O170" s="14">
        <f>N170*VLOOKUP('Données projet'!$B$9,Paramètres!$A$1:$I$89,3,0)*VLOOKUP('Données projet'!$B$9,Paramètres!$A$1:$I$89,5,0)</f>
        <v>-1.383341441396624E-13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135.99759935190264</v>
      </c>
      <c r="T170" s="62">
        <f t="shared" si="142"/>
        <v>103.49526616376608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3.0980489421354843E-2</v>
      </c>
      <c r="AB170" s="23">
        <f>EXP(-LN(2)/2)*AB169+(1-EXP(-LN(2)/2))/(LN(2)/2)*V170*Y170*VLOOKUP('Données projet'!$B$9,Paramètres!$A$1:$I$89,3,0)*0.475*44/12</f>
        <v>1.3010928980690255E-20</v>
      </c>
      <c r="AC170" s="24">
        <f t="shared" si="163"/>
        <v>3.0980489421354843E-2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-1.064108801074326E-13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213.5791415320935</v>
      </c>
      <c r="AO170" s="62">
        <f t="shared" si="144"/>
        <v>167.49607245443497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0.29215697538824753</v>
      </c>
      <c r="AW170" s="23">
        <f>EXP(-LN(2)/2)*AW169+(1-EXP(-LN(2)/2))/(LN(2)/2)*AQ170*AT170*VLOOKUP('Données projet'!$B$10,Paramètres!$A$1:$I$89,3,0)*0.475*44/12</f>
        <v>3.5008725340427576E-20</v>
      </c>
      <c r="AX170" s="23">
        <f t="shared" si="166"/>
        <v>0.29215697538824753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78.62400000000035</v>
      </c>
      <c r="D171" s="12">
        <f t="shared" si="140"/>
        <v>21.800406010684551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775.20594113511152</v>
      </c>
      <c r="H171" s="70">
        <f t="shared" si="110"/>
        <v>468.23917380194285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-1.7053025658242404E-13</v>
      </c>
      <c r="O171" s="14">
        <f>N171*VLOOKUP('Données projet'!$B$9,Paramètres!$A$1:$I$89,3,0)*VLOOKUP('Données projet'!$B$9,Paramètres!$A$1:$I$89,5,0)</f>
        <v>-1.383341441396624E-13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135.99759935190264</v>
      </c>
      <c r="T171" s="62">
        <f t="shared" si="142"/>
        <v>103.49526616376608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3.0133326308934762E-2</v>
      </c>
      <c r="AB171" s="23">
        <f>EXP(-LN(2)/2)*AB170+(1-EXP(-LN(2)/2))/(LN(2)/2)*V171*Y171*VLOOKUP('Données projet'!$B$9,Paramètres!$A$1:$I$89,3,0)*0.475*44/12</f>
        <v>9.2001161117826538E-21</v>
      </c>
      <c r="AC171" s="24">
        <f t="shared" si="163"/>
        <v>3.0133326308934762E-2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-1.064108801074326E-13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213.5791415320935</v>
      </c>
      <c r="AO171" s="62">
        <f t="shared" si="144"/>
        <v>167.49607245443497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0.28416792753238829</v>
      </c>
      <c r="AW171" s="23">
        <f>EXP(-LN(2)/2)*AW170+(1-EXP(-LN(2)/2))/(LN(2)/2)*AQ171*AT171*VLOOKUP('Données projet'!$B$10,Paramètres!$A$1:$I$89,3,0)*0.475*44/12</f>
        <v>2.4754907088913664E-20</v>
      </c>
      <c r="AX171" s="23">
        <f t="shared" si="166"/>
        <v>0.28416792753238829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79.092000000000354</v>
      </c>
      <c r="D172" s="12">
        <f t="shared" si="140"/>
        <v>21.915026131450077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779.70335961119633</v>
      </c>
      <c r="H172" s="70">
        <f t="shared" si="110"/>
        <v>469.25390384560944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-1.7053025658242404E-13</v>
      </c>
      <c r="O172" s="14">
        <f>N172*VLOOKUP('Données projet'!$B$9,Paramètres!$A$1:$I$89,3,0)*VLOOKUP('Données projet'!$B$9,Paramètres!$A$1:$I$89,5,0)</f>
        <v>-1.383341441396624E-13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135.99759935190264</v>
      </c>
      <c r="T172" s="62">
        <f t="shared" si="142"/>
        <v>103.49526616376608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2.930932891637418E-2</v>
      </c>
      <c r="AB172" s="23">
        <f>EXP(-LN(2)/2)*AB171+(1-EXP(-LN(2)/2))/(LN(2)/2)*V172*Y172*VLOOKUP('Données projet'!$B$9,Paramètres!$A$1:$I$89,3,0)*0.475*44/12</f>
        <v>6.5054644903451275E-21</v>
      </c>
      <c r="AC172" s="24">
        <f t="shared" si="163"/>
        <v>2.930932891637418E-2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-1.064108801074326E-13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213.5791415320935</v>
      </c>
      <c r="AO172" s="62">
        <f t="shared" si="144"/>
        <v>167.49607245443497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0.27639734061027327</v>
      </c>
      <c r="AW172" s="23">
        <f>EXP(-LN(2)/2)*AW171+(1-EXP(-LN(2)/2))/(LN(2)/2)*AQ172*AT172*VLOOKUP('Données projet'!$B$10,Paramètres!$A$1:$I$89,3,0)*0.475*44/12</f>
        <v>1.7504362670213788E-20</v>
      </c>
      <c r="AX172" s="23">
        <f t="shared" si="166"/>
        <v>0.27639734061027327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79.560000000000358</v>
      </c>
      <c r="D173" s="12">
        <f t="shared" si="140"/>
        <v>22.0295673334534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784.20016888981854</v>
      </c>
      <c r="H173" s="70">
        <f t="shared" si="110"/>
        <v>470.26849643909861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-1.7053025658242404E-13</v>
      </c>
      <c r="O173" s="14">
        <f>N173*VLOOKUP('Données projet'!$B$9,Paramètres!$A$1:$I$89,3,0)*VLOOKUP('Données projet'!$B$9,Paramètres!$A$1:$I$89,5,0)</f>
        <v>-1.383341441396624E-13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135.99759935190264</v>
      </c>
      <c r="T173" s="62">
        <f t="shared" si="142"/>
        <v>103.49526616376608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2.8507863775845309E-2</v>
      </c>
      <c r="AB173" s="23">
        <f>EXP(-LN(2)/2)*AB172+(1-EXP(-LN(2)/2))/(LN(2)/2)*V173*Y173*VLOOKUP('Données projet'!$B$9,Paramètres!$A$1:$I$89,3,0)*0.475*44/12</f>
        <v>4.6000580558913269E-21</v>
      </c>
      <c r="AC173" s="24">
        <f t="shared" si="163"/>
        <v>2.8507863775845309E-2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-1.064108801074326E-13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213.5791415320935</v>
      </c>
      <c r="AO173" s="62">
        <f t="shared" si="144"/>
        <v>167.49607245443497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0.26883924079618093</v>
      </c>
      <c r="AW173" s="23">
        <f>EXP(-LN(2)/2)*AW172+(1-EXP(-LN(2)/2))/(LN(2)/2)*AQ173*AT173*VLOOKUP('Données projet'!$B$10,Paramètres!$A$1:$I$89,3,0)*0.475*44/12</f>
        <v>1.2377453544456832E-20</v>
      </c>
      <c r="AX173" s="23">
        <f t="shared" si="166"/>
        <v>0.26883924079618093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80.028000000000361</v>
      </c>
      <c r="D174" s="12">
        <f t="shared" si="140"/>
        <v>22.144030134787236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788.69637297029021</v>
      </c>
      <c r="H174" s="70">
        <f t="shared" si="110"/>
        <v>471.28295248475501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-1.7053025658242404E-13</v>
      </c>
      <c r="O174" s="14">
        <f>N174*VLOOKUP('Données projet'!$B$9,Paramètres!$A$1:$I$89,3,0)*VLOOKUP('Données projet'!$B$9,Paramètres!$A$1:$I$89,5,0)</f>
        <v>-1.383341441396624E-13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135.99759935190264</v>
      </c>
      <c r="T174" s="62">
        <f t="shared" si="142"/>
        <v>103.49526616376608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2.772831474173142E-2</v>
      </c>
      <c r="AB174" s="23">
        <f>EXP(-LN(2)/2)*AB173+(1-EXP(-LN(2)/2))/(LN(2)/2)*V174*Y174*VLOOKUP('Données projet'!$B$9,Paramètres!$A$1:$I$89,3,0)*0.475*44/12</f>
        <v>3.2527322451725637E-21</v>
      </c>
      <c r="AC174" s="24">
        <f t="shared" si="163"/>
        <v>2.772831474173142E-2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-1.064108801074326E-13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213.5791415320935</v>
      </c>
      <c r="AO174" s="62">
        <f t="shared" si="144"/>
        <v>167.49607245443497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0.26148781761896811</v>
      </c>
      <c r="AW174" s="23">
        <f>EXP(-LN(2)/2)*AW173+(1-EXP(-LN(2)/2))/(LN(2)/2)*AQ174*AT174*VLOOKUP('Données projet'!$B$10,Paramètres!$A$1:$I$89,3,0)*0.475*44/12</f>
        <v>8.7521813351068941E-21</v>
      </c>
      <c r="AX174" s="23">
        <f t="shared" si="166"/>
        <v>0.26148781761896811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80.496000000000365</v>
      </c>
      <c r="D175" s="12">
        <f t="shared" si="140"/>
        <v>22.258415047134207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793.19197580244236</v>
      </c>
      <c r="H175" s="70">
        <f t="shared" si="110"/>
        <v>472.29727287375937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-1.7053025658242404E-13</v>
      </c>
      <c r="O175" s="14">
        <f>N175*VLOOKUP('Données projet'!$B$9,Paramètres!$A$1:$I$89,3,0)*VLOOKUP('Données projet'!$B$9,Paramètres!$A$1:$I$89,5,0)</f>
        <v>-1.383341441396624E-13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135.99759935190264</v>
      </c>
      <c r="T175" s="62">
        <f t="shared" si="142"/>
        <v>103.49526616376608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2.6970082516950076E-2</v>
      </c>
      <c r="AB175" s="23">
        <f>EXP(-LN(2)/2)*AB174+(1-EXP(-LN(2)/2))/(LN(2)/2)*V175*Y175*VLOOKUP('Données projet'!$B$9,Paramètres!$A$1:$I$89,3,0)*0.475*44/12</f>
        <v>2.3000290279456635E-21</v>
      </c>
      <c r="AC175" s="24">
        <f t="shared" si="163"/>
        <v>2.6970082516950076E-2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-1.064108801074326E-13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213.5791415320935</v>
      </c>
      <c r="AO175" s="62">
        <f t="shared" si="144"/>
        <v>167.49607245443497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0.25433741949513072</v>
      </c>
      <c r="AW175" s="23">
        <f>EXP(-LN(2)/2)*AW174+(1-EXP(-LN(2)/2))/(LN(2)/2)*AQ175*AT175*VLOOKUP('Données projet'!$B$10,Paramètres!$A$1:$I$89,3,0)*0.475*44/12</f>
        <v>6.188726772228416E-21</v>
      </c>
      <c r="AX175" s="23">
        <f t="shared" si="166"/>
        <v>0.25433741949513072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80.964000000000368</v>
      </c>
      <c r="D176" s="12">
        <f t="shared" si="140"/>
        <v>22.372722575882829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797.68698128751942</v>
      </c>
      <c r="H176" s="70">
        <f t="shared" si="110"/>
        <v>473.31145848632991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-1.7053025658242404E-13</v>
      </c>
      <c r="O176" s="14">
        <f>N176*VLOOKUP('Données projet'!$B$9,Paramètres!$A$1:$I$89,3,0)*VLOOKUP('Données projet'!$B$9,Paramètres!$A$1:$I$89,5,0)</f>
        <v>-1.383341441396624E-13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135.99759935190264</v>
      </c>
      <c r="T176" s="62">
        <f t="shared" si="142"/>
        <v>103.49526616376608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2.6232584192229076E-2</v>
      </c>
      <c r="AB176" s="23">
        <f>EXP(-LN(2)/2)*AB175+(1-EXP(-LN(2)/2))/(LN(2)/2)*V176*Y176*VLOOKUP('Données projet'!$B$9,Paramètres!$A$1:$I$89,3,0)*0.475*44/12</f>
        <v>1.6263661225862819E-21</v>
      </c>
      <c r="AC176" s="24">
        <f t="shared" si="163"/>
        <v>2.6232584192229076E-2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-1.064108801074326E-13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213.5791415320935</v>
      </c>
      <c r="AO176" s="62">
        <f t="shared" si="144"/>
        <v>167.49607245443497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0.24738254938401277</v>
      </c>
      <c r="AW176" s="23">
        <f>EXP(-LN(2)/2)*AW175+(1-EXP(-LN(2)/2))/(LN(2)/2)*AQ176*AT176*VLOOKUP('Données projet'!$B$10,Paramètres!$A$1:$I$89,3,0)*0.475*44/12</f>
        <v>4.376090667553447E-21</v>
      </c>
      <c r="AX176" s="23">
        <f t="shared" si="166"/>
        <v>0.24738254938401277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81.432000000000372</v>
      </c>
      <c r="D177" s="12">
        <f t="shared" si="140"/>
        <v>22.486953220240959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802.18139327905601</v>
      </c>
      <c r="H177" s="70">
        <f t="shared" si="110"/>
        <v>474.32551019192033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-1.7053025658242404E-13</v>
      </c>
      <c r="O177" s="14">
        <f>N177*VLOOKUP('Données projet'!$B$9,Paramètres!$A$1:$I$89,3,0)*VLOOKUP('Données projet'!$B$9,Paramètres!$A$1:$I$89,5,0)</f>
        <v>-1.383341441396624E-13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135.99759935190264</v>
      </c>
      <c r="T177" s="62">
        <f t="shared" si="142"/>
        <v>103.49526616376608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2.5515252797980923E-2</v>
      </c>
      <c r="AB177" s="23">
        <f>EXP(-LN(2)/2)*AB176+(1-EXP(-LN(2)/2))/(LN(2)/2)*V177*Y177*VLOOKUP('Données projet'!$B$9,Paramètres!$A$1:$I$89,3,0)*0.475*44/12</f>
        <v>1.1500145139728317E-21</v>
      </c>
      <c r="AC177" s="24">
        <f t="shared" si="163"/>
        <v>2.5515252797980923E-2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-1.064108801074326E-13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213.5791415320935</v>
      </c>
      <c r="AO177" s="62">
        <f t="shared" si="144"/>
        <v>167.49607245443497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0.24061786056182408</v>
      </c>
      <c r="AW177" s="23">
        <f>EXP(-LN(2)/2)*AW176+(1-EXP(-LN(2)/2))/(LN(2)/2)*AQ177*AT177*VLOOKUP('Données projet'!$B$10,Paramètres!$A$1:$I$89,3,0)*0.475*44/12</f>
        <v>3.094363386114208E-21</v>
      </c>
      <c r="AX177" s="23">
        <f t="shared" si="166"/>
        <v>0.24061786056182408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81.900000000000375</v>
      </c>
      <c r="D178" s="12">
        <f t="shared" si="140"/>
        <v>22.601107473346421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806.67521558372971</v>
      </c>
      <c r="H178" s="70">
        <f t="shared" si="110"/>
        <v>475.33942884941229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-1.7053025658242404E-13</v>
      </c>
      <c r="O178" s="14">
        <f>N178*VLOOKUP('Données projet'!$B$9,Paramètres!$A$1:$I$89,3,0)*VLOOKUP('Données projet'!$B$9,Paramètres!$A$1:$I$89,5,0)</f>
        <v>-1.383341441396624E-13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135.99759935190264</v>
      </c>
      <c r="T178" s="62">
        <f t="shared" si="142"/>
        <v>103.49526616376608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2.4817536868431307E-2</v>
      </c>
      <c r="AB178" s="23">
        <f>EXP(-LN(2)/2)*AB177+(1-EXP(-LN(2)/2))/(LN(2)/2)*V178*Y178*VLOOKUP('Données projet'!$B$9,Paramètres!$A$1:$I$89,3,0)*0.475*44/12</f>
        <v>8.1318306129314094E-22</v>
      </c>
      <c r="AC178" s="24">
        <f t="shared" si="163"/>
        <v>2.4817536868431307E-2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-1.064108801074326E-13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213.5791415320935</v>
      </c>
      <c r="AO178" s="62">
        <f t="shared" si="144"/>
        <v>167.49607245443497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0.23403815251121765</v>
      </c>
      <c r="AW178" s="23">
        <f>EXP(-LN(2)/2)*AW177+(1-EXP(-LN(2)/2))/(LN(2)/2)*AQ178*AT178*VLOOKUP('Données projet'!$B$10,Paramètres!$A$1:$I$89,3,0)*0.475*44/12</f>
        <v>2.1880453337767235E-21</v>
      </c>
      <c r="AX178" s="23">
        <f t="shared" si="166"/>
        <v>0.23403815251121765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82.368000000000379</v>
      </c>
      <c r="D179" s="12">
        <f t="shared" si="140"/>
        <v>22.715185822375016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811.16845196219617</v>
      </c>
      <c r="H179" s="70">
        <f t="shared" si="110"/>
        <v>476.3532153073038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-1.7053025658242404E-13</v>
      </c>
      <c r="O179" s="14">
        <f>N179*VLOOKUP('Données projet'!$B$9,Paramètres!$A$1:$I$89,3,0)*VLOOKUP('Données projet'!$B$9,Paramètres!$A$1:$I$89,5,0)</f>
        <v>-1.383341441396624E-13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135.99759935190264</v>
      </c>
      <c r="T179" s="62">
        <f t="shared" si="142"/>
        <v>103.49526616376608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2.4138900017666512E-2</v>
      </c>
      <c r="AB179" s="23">
        <f>EXP(-LN(2)/2)*AB178+(1-EXP(-LN(2)/2))/(LN(2)/2)*V179*Y179*VLOOKUP('Données projet'!$B$9,Paramètres!$A$1:$I$89,3,0)*0.475*44/12</f>
        <v>5.7500725698641586E-22</v>
      </c>
      <c r="AC179" s="24">
        <f t="shared" si="163"/>
        <v>2.4138900017666512E-2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-1.064108801074326E-13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213.5791415320935</v>
      </c>
      <c r="AO179" s="62">
        <f t="shared" si="144"/>
        <v>167.49607245443497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0.22763836692326686</v>
      </c>
      <c r="AW179" s="23">
        <f>EXP(-LN(2)/2)*AW178+(1-EXP(-LN(2)/2))/(LN(2)/2)*AQ179*AT179*VLOOKUP('Données projet'!$B$10,Paramètres!$A$1:$I$89,3,0)*0.475*44/12</f>
        <v>1.547181693057104E-21</v>
      </c>
      <c r="AX179" s="23">
        <f t="shared" si="166"/>
        <v>0.22763836692326686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82.836000000000382</v>
      </c>
      <c r="D180" s="12">
        <f t="shared" si="140"/>
        <v>22.829188748646111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815.66110612990281</v>
      </c>
      <c r="H180" s="70">
        <f t="shared" si="110"/>
        <v>477.36687040389262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-1.7053025658242404E-13</v>
      </c>
      <c r="O180" s="14">
        <f>N180*VLOOKUP('Données projet'!$B$9,Paramètres!$A$1:$I$89,3,0)*VLOOKUP('Données projet'!$B$9,Paramètres!$A$1:$I$89,5,0)</f>
        <v>-1.383341441396624E-13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135.99759935190264</v>
      </c>
      <c r="T180" s="62">
        <f t="shared" si="142"/>
        <v>103.49526616376608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2.347882052727384E-2</v>
      </c>
      <c r="AB180" s="23">
        <f>EXP(-LN(2)/2)*AB179+(1-EXP(-LN(2)/2))/(LN(2)/2)*V180*Y180*VLOOKUP('Données projet'!$B$9,Paramètres!$A$1:$I$89,3,0)*0.475*44/12</f>
        <v>4.0659153064657047E-22</v>
      </c>
      <c r="AC180" s="24">
        <f t="shared" si="163"/>
        <v>2.347882052727384E-2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-1.064108801074326E-13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213.5791415320935</v>
      </c>
      <c r="AO180" s="62">
        <f t="shared" si="144"/>
        <v>167.49607245443497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0.22141358380876869</v>
      </c>
      <c r="AW180" s="23">
        <f>EXP(-LN(2)/2)*AW179+(1-EXP(-LN(2)/2))/(LN(2)/2)*AQ180*AT180*VLOOKUP('Données projet'!$B$10,Paramètres!$A$1:$I$89,3,0)*0.475*44/12</f>
        <v>1.0940226668883618E-21</v>
      </c>
      <c r="AX180" s="23">
        <f t="shared" si="166"/>
        <v>0.22141358380876869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83.304000000000386</v>
      </c>
      <c r="D181" s="12">
        <f t="shared" si="140"/>
        <v>22.943116727725723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820.15318175788582</v>
      </c>
      <c r="H181" s="70">
        <f t="shared" si="110"/>
        <v>478.38039496745625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-1.7053025658242404E-13</v>
      </c>
      <c r="O181" s="14">
        <f>N181*VLOOKUP('Données projet'!$B$9,Paramètres!$A$1:$I$89,3,0)*VLOOKUP('Données projet'!$B$9,Paramètres!$A$1:$I$89,5,0)</f>
        <v>-1.383341441396624E-13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135.99759935190264</v>
      </c>
      <c r="T181" s="62">
        <f t="shared" si="142"/>
        <v>103.49526616376608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2.2836790945258027E-2</v>
      </c>
      <c r="AB181" s="23">
        <f>EXP(-LN(2)/2)*AB180+(1-EXP(-LN(2)/2))/(LN(2)/2)*V181*Y181*VLOOKUP('Données projet'!$B$9,Paramètres!$A$1:$I$89,3,0)*0.475*44/12</f>
        <v>2.8750362849320793E-22</v>
      </c>
      <c r="AC181" s="24">
        <f t="shared" si="163"/>
        <v>2.2836790945258027E-2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-1.064108801074326E-13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213.5791415320935</v>
      </c>
      <c r="AO181" s="62">
        <f t="shared" si="144"/>
        <v>167.49607245443497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0.21535901771588359</v>
      </c>
      <c r="AW181" s="23">
        <f>EXP(-LN(2)/2)*AW180+(1-EXP(-LN(2)/2))/(LN(2)/2)*AQ181*AT181*VLOOKUP('Données projet'!$B$10,Paramètres!$A$1:$I$89,3,0)*0.475*44/12</f>
        <v>7.73590846528552E-22</v>
      </c>
      <c r="AX181" s="23">
        <f t="shared" si="166"/>
        <v>0.21535901771588359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83.772000000000389</v>
      </c>
      <c r="D182" s="12">
        <f t="shared" si="140"/>
        <v>23.056970229527188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824.64468247354625</v>
      </c>
      <c r="H182" s="70">
        <f t="shared" si="110"/>
        <v>479.39378981642722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-1.7053025658242404E-13</v>
      </c>
      <c r="O182" s="14">
        <f>N182*VLOOKUP('Données projet'!$B$9,Paramètres!$A$1:$I$89,3,0)*VLOOKUP('Données projet'!$B$9,Paramètres!$A$1:$I$89,5,0)</f>
        <v>-1.383341441396624E-13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135.99759935190264</v>
      </c>
      <c r="T182" s="62">
        <f t="shared" si="142"/>
        <v>103.49526616376608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2.2212317695925306E-2</v>
      </c>
      <c r="AB182" s="23">
        <f>EXP(-LN(2)/2)*AB181+(1-EXP(-LN(2)/2))/(LN(2)/2)*V182*Y182*VLOOKUP('Données projet'!$B$9,Paramètres!$A$1:$I$89,3,0)*0.475*44/12</f>
        <v>2.0329576532328523E-22</v>
      </c>
      <c r="AC182" s="24">
        <f t="shared" si="163"/>
        <v>2.2212317695925306E-2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-1.064108801074326E-13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213.5791415320935</v>
      </c>
      <c r="AO182" s="62">
        <f t="shared" si="144"/>
        <v>167.49607245443497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0.20947001405120422</v>
      </c>
      <c r="AW182" s="23">
        <f>EXP(-LN(2)/2)*AW181+(1-EXP(-LN(2)/2))/(LN(2)/2)*AQ182*AT182*VLOOKUP('Données projet'!$B$10,Paramètres!$A$1:$I$89,3,0)*0.475*44/12</f>
        <v>5.4701133344418088E-22</v>
      </c>
      <c r="AX182" s="23">
        <f t="shared" si="166"/>
        <v>0.20947001405120422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84.240000000000393</v>
      </c>
      <c r="D183" s="12">
        <f t="shared" si="140"/>
        <v>23.170749718409571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829.13561186141033</v>
      </c>
      <c r="H183" s="70">
        <f t="shared" si="110"/>
        <v>480.40705575956395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-1.7053025658242404E-13</v>
      </c>
      <c r="O183" s="14">
        <f>N183*VLOOKUP('Données projet'!$B$9,Paramètres!$A$1:$I$89,3,0)*VLOOKUP('Données projet'!$B$9,Paramètres!$A$1:$I$89,5,0)</f>
        <v>-1.383341441396624E-13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135.99759935190264</v>
      </c>
      <c r="T183" s="62">
        <f t="shared" si="142"/>
        <v>103.49526616376608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2.1604920700435206E-2</v>
      </c>
      <c r="AB183" s="23">
        <f>EXP(-LN(2)/2)*AB182+(1-EXP(-LN(2)/2))/(LN(2)/2)*V183*Y183*VLOOKUP('Données projet'!$B$9,Paramètres!$A$1:$I$89,3,0)*0.475*44/12</f>
        <v>1.4375181424660397E-22</v>
      </c>
      <c r="AC183" s="24">
        <f t="shared" si="163"/>
        <v>2.1604920700435206E-2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-1.064108801074326E-13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213.5791415320935</v>
      </c>
      <c r="AO183" s="62">
        <f t="shared" si="144"/>
        <v>167.49607245443497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0.20374204550142475</v>
      </c>
      <c r="AW183" s="23">
        <f>EXP(-LN(2)/2)*AW182+(1-EXP(-LN(2)/2))/(LN(2)/2)*AQ183*AT183*VLOOKUP('Données projet'!$B$10,Paramètres!$A$1:$I$89,3,0)*0.475*44/12</f>
        <v>3.86795423264276E-22</v>
      </c>
      <c r="AX183" s="23">
        <f t="shared" si="166"/>
        <v>0.20374204550142475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84.708000000000396</v>
      </c>
      <c r="D184" s="12">
        <f t="shared" si="140"/>
        <v>23.284455653273778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833.62597346387076</v>
      </c>
      <c r="H184" s="70">
        <f t="shared" si="110"/>
        <v>481.42019359611913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-1.7053025658242404E-13</v>
      </c>
      <c r="O184" s="14">
        <f>N184*VLOOKUP('Données projet'!$B$9,Paramètres!$A$1:$I$89,3,0)*VLOOKUP('Données projet'!$B$9,Paramètres!$A$1:$I$89,5,0)</f>
        <v>-1.383341441396624E-13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135.99759935190264</v>
      </c>
      <c r="T184" s="62">
        <f t="shared" si="142"/>
        <v>103.49526616376608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2.1014133007728406E-2</v>
      </c>
      <c r="AB184" s="23">
        <f>EXP(-LN(2)/2)*AB183+(1-EXP(-LN(2)/2))/(LN(2)/2)*V184*Y184*VLOOKUP('Données projet'!$B$9,Paramètres!$A$1:$I$89,3,0)*0.475*44/12</f>
        <v>1.0164788266164262E-22</v>
      </c>
      <c r="AC184" s="24">
        <f t="shared" si="163"/>
        <v>2.1014133007728406E-2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-1.064108801074326E-13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213.5791415320935</v>
      </c>
      <c r="AO184" s="62">
        <f t="shared" si="144"/>
        <v>167.49607245443497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0.19817070855285976</v>
      </c>
      <c r="AW184" s="23">
        <f>EXP(-LN(2)/2)*AW183+(1-EXP(-LN(2)/2))/(LN(2)/2)*AQ184*AT184*VLOOKUP('Données projet'!$B$10,Paramètres!$A$1:$I$89,3,0)*0.475*44/12</f>
        <v>2.7350566672209044E-22</v>
      </c>
      <c r="AX184" s="23">
        <f t="shared" si="166"/>
        <v>0.19817070855285976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85.1760000000004</v>
      </c>
      <c r="D185" s="12">
        <f t="shared" si="140"/>
        <v>23.398088487656537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838.11577078191328</v>
      </c>
      <c r="H185" s="70">
        <f t="shared" si="110"/>
        <v>482.43320411600246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-1.7053025658242404E-13</v>
      </c>
      <c r="O185" s="14">
        <f>N185*VLOOKUP('Données projet'!$B$9,Paramètres!$A$1:$I$89,3,0)*VLOOKUP('Données projet'!$B$9,Paramètres!$A$1:$I$89,5,0)</f>
        <v>-1.383341441396624E-13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135.99759935190264</v>
      </c>
      <c r="T185" s="62">
        <f t="shared" si="142"/>
        <v>103.49526616376608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2.0439500435546844E-2</v>
      </c>
      <c r="AB185" s="23">
        <f>EXP(-LN(2)/2)*AB184+(1-EXP(-LN(2)/2))/(LN(2)/2)*V185*Y185*VLOOKUP('Données projet'!$B$9,Paramètres!$A$1:$I$89,3,0)*0.475*44/12</f>
        <v>7.1875907123301983E-23</v>
      </c>
      <c r="AC185" s="24">
        <f t="shared" si="163"/>
        <v>2.0439500435546844E-2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-1.064108801074326E-13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213.5791415320935</v>
      </c>
      <c r="AO185" s="62">
        <f t="shared" si="144"/>
        <v>167.49607245443497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0.19275172010613717</v>
      </c>
      <c r="AW185" s="23">
        <f>EXP(-LN(2)/2)*AW184+(1-EXP(-LN(2)/2))/(LN(2)/2)*AQ185*AT185*VLOOKUP('Données projet'!$B$10,Paramètres!$A$1:$I$89,3,0)*0.475*44/12</f>
        <v>1.93397711632138E-22</v>
      </c>
      <c r="AX185" s="23">
        <f t="shared" si="166"/>
        <v>0.19275172010613717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85.644000000000403</v>
      </c>
      <c r="D186" s="12">
        <f t="shared" si="140"/>
        <v>23.511648669822165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842.60500727582337</v>
      </c>
      <c r="H186" s="70">
        <f t="shared" si="110"/>
        <v>483.44608809994094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-1.7053025658242404E-13</v>
      </c>
      <c r="O186" s="14">
        <f>N186*VLOOKUP('Données projet'!$B$9,Paramètres!$A$1:$I$89,3,0)*VLOOKUP('Données projet'!$B$9,Paramètres!$A$1:$I$89,5,0)</f>
        <v>-1.383341441396624E-13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135.99759935190264</v>
      </c>
      <c r="T186" s="62">
        <f t="shared" si="142"/>
        <v>103.49526616376608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1.9880581221270205E-2</v>
      </c>
      <c r="AB186" s="23">
        <f>EXP(-LN(2)/2)*AB185+(1-EXP(-LN(2)/2))/(LN(2)/2)*V186*Y186*VLOOKUP('Données projet'!$B$9,Paramètres!$A$1:$I$89,3,0)*0.475*44/12</f>
        <v>5.0823941330821308E-23</v>
      </c>
      <c r="AC186" s="24">
        <f t="shared" si="163"/>
        <v>1.9880581221270205E-2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-1.064108801074326E-13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213.5791415320935</v>
      </c>
      <c r="AO186" s="62">
        <f t="shared" si="144"/>
        <v>167.49607245443497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0.18748091418346244</v>
      </c>
      <c r="AW186" s="23">
        <f>EXP(-LN(2)/2)*AW185+(1-EXP(-LN(2)/2))/(LN(2)/2)*AQ186*AT186*VLOOKUP('Données projet'!$B$10,Paramètres!$A$1:$I$89,3,0)*0.475*44/12</f>
        <v>1.3675283336104522E-22</v>
      </c>
      <c r="AX186" s="23">
        <f t="shared" si="166"/>
        <v>0.18748091418346244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86.112000000000407</v>
      </c>
      <c r="D187" s="12">
        <f t="shared" si="140"/>
        <v>23.625136642852389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847.09368636588124</v>
      </c>
      <c r="H187" s="70">
        <f t="shared" si="110"/>
        <v>484.4588463196352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-1.7053025658242404E-13</v>
      </c>
      <c r="O187" s="14">
        <f>N187*VLOOKUP('Données projet'!$B$9,Paramètres!$A$1:$I$89,3,0)*VLOOKUP('Données projet'!$B$9,Paramètres!$A$1:$I$89,5,0)</f>
        <v>-1.383341441396624E-13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135.99759935190264</v>
      </c>
      <c r="T187" s="62">
        <f t="shared" si="142"/>
        <v>103.49526616376608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1.9336945682300242E-2</v>
      </c>
      <c r="AB187" s="23">
        <f>EXP(-LN(2)/2)*AB186+(1-EXP(-LN(2)/2))/(LN(2)/2)*V187*Y187*VLOOKUP('Données projet'!$B$9,Paramètres!$A$1:$I$89,3,0)*0.475*44/12</f>
        <v>3.5937953561650992E-23</v>
      </c>
      <c r="AC187" s="24">
        <f t="shared" si="163"/>
        <v>1.9336945682300242E-2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-1.064108801074326E-13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213.5791415320935</v>
      </c>
      <c r="AO187" s="62">
        <f t="shared" si="144"/>
        <v>167.49607245443497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0.18235423872592288</v>
      </c>
      <c r="AW187" s="23">
        <f>EXP(-LN(2)/2)*AW186+(1-EXP(-LN(2)/2))/(LN(2)/2)*AQ187*AT187*VLOOKUP('Données projet'!$B$10,Paramètres!$A$1:$I$89,3,0)*0.475*44/12</f>
        <v>9.6698855816069E-23</v>
      </c>
      <c r="AX187" s="23">
        <f t="shared" si="166"/>
        <v>0.18235423872592288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86.58000000000041</v>
      </c>
      <c r="D188" s="12">
        <f t="shared" si="140"/>
        <v>23.73855284473407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851.58181143303818</v>
      </c>
      <c r="H188" s="70">
        <f t="shared" si="110"/>
        <v>485.4714795379125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-1.7053025658242404E-13</v>
      </c>
      <c r="O188" s="14">
        <f>N188*VLOOKUP('Données projet'!$B$9,Paramètres!$A$1:$I$89,3,0)*VLOOKUP('Données projet'!$B$9,Paramètres!$A$1:$I$89,5,0)</f>
        <v>-1.383341441396624E-13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135.99759935190264</v>
      </c>
      <c r="T188" s="62">
        <f t="shared" si="142"/>
        <v>103.49526616376608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1.8808175885731963E-2</v>
      </c>
      <c r="AB188" s="23">
        <f>EXP(-LN(2)/2)*AB187+(1-EXP(-LN(2)/2))/(LN(2)/2)*V188*Y188*VLOOKUP('Données projet'!$B$9,Paramètres!$A$1:$I$89,3,0)*0.475*44/12</f>
        <v>2.5411970665410654E-23</v>
      </c>
      <c r="AC188" s="24">
        <f t="shared" si="163"/>
        <v>1.8808175885731963E-2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-1.064108801074326E-13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213.5791415320935</v>
      </c>
      <c r="AO188" s="62">
        <f t="shared" si="144"/>
        <v>167.49607245443497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0.17736775247836989</v>
      </c>
      <c r="AW188" s="23">
        <f>EXP(-LN(2)/2)*AW187+(1-EXP(-LN(2)/2))/(LN(2)/2)*AQ188*AT188*VLOOKUP('Données projet'!$B$10,Paramètres!$A$1:$I$89,3,0)*0.475*44/12</f>
        <v>6.837641668052261E-23</v>
      </c>
      <c r="AX188" s="23">
        <f t="shared" si="166"/>
        <v>0.17736775247836989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87.048000000000414</v>
      </c>
      <c r="D189" s="12">
        <f t="shared" si="140"/>
        <v>23.851897708444977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856.06938581957854</v>
      </c>
      <c r="H189" s="70">
        <f t="shared" si="110"/>
        <v>486.48398850887571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-1.7053025658242404E-13</v>
      </c>
      <c r="O189" s="14">
        <f>N189*VLOOKUP('Données projet'!$B$9,Paramètres!$A$1:$I$89,3,0)*VLOOKUP('Données projet'!$B$9,Paramètres!$A$1:$I$89,5,0)</f>
        <v>-1.383341441396624E-13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135.99759935190264</v>
      </c>
      <c r="T189" s="62">
        <f t="shared" si="142"/>
        <v>103.49526616376608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1.8293865327057641E-2</v>
      </c>
      <c r="AB189" s="23">
        <f>EXP(-LN(2)/2)*AB188+(1-EXP(-LN(2)/2))/(LN(2)/2)*V189*Y189*VLOOKUP('Données projet'!$B$9,Paramètres!$A$1:$I$89,3,0)*0.475*44/12</f>
        <v>1.7968976780825496E-23</v>
      </c>
      <c r="AC189" s="24">
        <f t="shared" si="163"/>
        <v>1.8293865327057641E-2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-1.064108801074326E-13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213.5791415320935</v>
      </c>
      <c r="AO189" s="62">
        <f t="shared" si="144"/>
        <v>167.49607245443497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0.17251762195948414</v>
      </c>
      <c r="AW189" s="23">
        <f>EXP(-LN(2)/2)*AW188+(1-EXP(-LN(2)/2))/(LN(2)/2)*AQ189*AT189*VLOOKUP('Données projet'!$B$10,Paramètres!$A$1:$I$89,3,0)*0.475*44/12</f>
        <v>4.83494279080345E-23</v>
      </c>
      <c r="AX189" s="23">
        <f t="shared" si="166"/>
        <v>0.17251762195948414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87.516000000000417</v>
      </c>
      <c r="D190" s="12">
        <f t="shared" si="140"/>
        <v>23.96517166203774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860.55641282976819</v>
      </c>
      <c r="H190" s="70">
        <f t="shared" si="110"/>
        <v>487.49637397804975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-1.7053025658242404E-13</v>
      </c>
      <c r="O190" s="14">
        <f>N190*VLOOKUP('Données projet'!$B$9,Paramètres!$A$1:$I$89,3,0)*VLOOKUP('Données projet'!$B$9,Paramètres!$A$1:$I$89,5,0)</f>
        <v>-1.383341441396624E-13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135.99759935190264</v>
      </c>
      <c r="T190" s="62">
        <f t="shared" si="142"/>
        <v>103.49526616376608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1.7793618617656683E-2</v>
      </c>
      <c r="AB190" s="23">
        <f>EXP(-LN(2)/2)*AB189+(1-EXP(-LN(2)/2))/(LN(2)/2)*V190*Y190*VLOOKUP('Données projet'!$B$9,Paramètres!$A$1:$I$89,3,0)*0.475*44/12</f>
        <v>1.2705985332705327E-23</v>
      </c>
      <c r="AC190" s="24">
        <f t="shared" si="163"/>
        <v>1.7793618617656683E-2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-1.064108801074326E-13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213.5791415320935</v>
      </c>
      <c r="AO190" s="62">
        <f t="shared" si="144"/>
        <v>167.49607245443497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0.16780011851469459</v>
      </c>
      <c r="AW190" s="23">
        <f>EXP(-LN(2)/2)*AW189+(1-EXP(-LN(2)/2))/(LN(2)/2)*AQ190*AT190*VLOOKUP('Données projet'!$B$10,Paramètres!$A$1:$I$89,3,0)*0.475*44/12</f>
        <v>3.4188208340261305E-23</v>
      </c>
      <c r="AX190" s="23">
        <f t="shared" si="166"/>
        <v>0.16780011851469459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87.984000000000421</v>
      </c>
      <c r="D191" s="12">
        <f t="shared" si="140"/>
        <v>24.078375128721891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865.042895730488</v>
      </c>
      <c r="H191" s="70">
        <f t="shared" si="110"/>
        <v>488.50863668252464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-1.7053025658242404E-13</v>
      </c>
      <c r="O191" s="14">
        <f>N191*VLOOKUP('Données projet'!$B$9,Paramètres!$A$1:$I$89,3,0)*VLOOKUP('Données projet'!$B$9,Paramètres!$A$1:$I$89,5,0)</f>
        <v>-1.383341441396624E-13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135.99759935190264</v>
      </c>
      <c r="T191" s="62">
        <f t="shared" si="142"/>
        <v>103.49526616376608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1.7307051180831125E-2</v>
      </c>
      <c r="AB191" s="23">
        <f>EXP(-LN(2)/2)*AB190+(1-EXP(-LN(2)/2))/(LN(2)/2)*V191*Y191*VLOOKUP('Données projet'!$B$9,Paramètres!$A$1:$I$89,3,0)*0.475*44/12</f>
        <v>8.9844883904127479E-24</v>
      </c>
      <c r="AC191" s="24">
        <f t="shared" si="163"/>
        <v>1.7307051180831125E-2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-1.064108801074326E-13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213.5791415320935</v>
      </c>
      <c r="AO191" s="62">
        <f t="shared" si="144"/>
        <v>167.49607245443497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0.16321161544968554</v>
      </c>
      <c r="AW191" s="23">
        <f>EXP(-LN(2)/2)*AW190+(1-EXP(-LN(2)/2))/(LN(2)/2)*AQ191*AT191*VLOOKUP('Données projet'!$B$10,Paramètres!$A$1:$I$89,3,0)*0.475*44/12</f>
        <v>2.417471395401725E-23</v>
      </c>
      <c r="AX191" s="23">
        <f t="shared" si="166"/>
        <v>0.16321161544968554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88.452000000000425</v>
      </c>
      <c r="D192" s="12">
        <f t="shared" si="140"/>
        <v>24.191508526944062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869.52883775185228</v>
      </c>
      <c r="H192" s="70">
        <f t="shared" si="110"/>
        <v>489.52077735109492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-1.7053025658242404E-13</v>
      </c>
      <c r="O192" s="14">
        <f>N192*VLOOKUP('Données projet'!$B$9,Paramètres!$A$1:$I$89,3,0)*VLOOKUP('Données projet'!$B$9,Paramètres!$A$1:$I$89,5,0)</f>
        <v>-1.383341441396624E-13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135.99759935190264</v>
      </c>
      <c r="T192" s="62">
        <f t="shared" si="142"/>
        <v>103.49526616376608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1.6833788956153031E-2</v>
      </c>
      <c r="AB192" s="23">
        <f>EXP(-LN(2)/2)*AB191+(1-EXP(-LN(2)/2))/(LN(2)/2)*V192*Y192*VLOOKUP('Données projet'!$B$9,Paramètres!$A$1:$I$89,3,0)*0.475*44/12</f>
        <v>6.3529926663526636E-24</v>
      </c>
      <c r="AC192" s="24">
        <f t="shared" si="163"/>
        <v>1.6833788956153031E-2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-1.064108801074326E-13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213.5791415320935</v>
      </c>
      <c r="AO192" s="62">
        <f t="shared" si="144"/>
        <v>167.49607245443497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0.15874858524228805</v>
      </c>
      <c r="AW192" s="23">
        <f>EXP(-LN(2)/2)*AW191+(1-EXP(-LN(2)/2))/(LN(2)/2)*AQ192*AT192*VLOOKUP('Données projet'!$B$10,Paramètres!$A$1:$I$89,3,0)*0.475*44/12</f>
        <v>1.7094104170130653E-23</v>
      </c>
      <c r="AX192" s="23">
        <f t="shared" si="166"/>
        <v>0.15874858524228805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88.920000000000428</v>
      </c>
      <c r="D193" s="12">
        <f t="shared" si="140"/>
        <v>24.304572270466586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874.01424208781555</v>
      </c>
      <c r="H193" s="70">
        <f t="shared" si="110"/>
        <v>490.53279670439667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-1.7053025658242404E-13</v>
      </c>
      <c r="O193" s="14">
        <f>N193*VLOOKUP('Données projet'!$B$9,Paramètres!$A$1:$I$89,3,0)*VLOOKUP('Données projet'!$B$9,Paramètres!$A$1:$I$89,5,0)</f>
        <v>-1.383341441396624E-13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135.99759935190264</v>
      </c>
      <c r="T193" s="62">
        <f t="shared" si="142"/>
        <v>103.49526616376608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1.6373468111896539E-2</v>
      </c>
      <c r="AB193" s="23">
        <f>EXP(-LN(2)/2)*AB192+(1-EXP(-LN(2)/2))/(LN(2)/2)*V193*Y193*VLOOKUP('Données projet'!$B$9,Paramètres!$A$1:$I$89,3,0)*0.475*44/12</f>
        <v>4.4922441952063739E-24</v>
      </c>
      <c r="AC193" s="24">
        <f t="shared" si="163"/>
        <v>1.6373468111896539E-2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-1.064108801074326E-13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213.5791415320935</v>
      </c>
      <c r="AO193" s="62">
        <f t="shared" si="144"/>
        <v>167.49607245443497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0.15440759683061242</v>
      </c>
      <c r="AW193" s="23">
        <f>EXP(-LN(2)/2)*AW192+(1-EXP(-LN(2)/2))/(LN(2)/2)*AQ193*AT193*VLOOKUP('Données projet'!$B$10,Paramètres!$A$1:$I$89,3,0)*0.475*44/12</f>
        <v>1.2087356977008625E-23</v>
      </c>
      <c r="AX193" s="23">
        <f t="shared" si="166"/>
        <v>0.15440759683061242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89.388000000000432</v>
      </c>
      <c r="D194" s="12">
        <f t="shared" si="140"/>
        <v>24.417566768444267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878.49911189676607</v>
      </c>
      <c r="H194" s="70">
        <f t="shared" si="110"/>
        <v>491.54469545504116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-1.7053025658242404E-13</v>
      </c>
      <c r="O194" s="14">
        <f>N194*VLOOKUP('Données projet'!$B$9,Paramètres!$A$1:$I$89,3,0)*VLOOKUP('Données projet'!$B$9,Paramètres!$A$1:$I$89,5,0)</f>
        <v>-1.383341441396624E-13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135.99759935190264</v>
      </c>
      <c r="T194" s="62">
        <f t="shared" si="142"/>
        <v>103.49526616376608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1.5925734765333464E-2</v>
      </c>
      <c r="AB194" s="23">
        <f>EXP(-LN(2)/2)*AB193+(1-EXP(-LN(2)/2))/(LN(2)/2)*V194*Y194*VLOOKUP('Données projet'!$B$9,Paramètres!$A$1:$I$89,3,0)*0.475*44/12</f>
        <v>3.1764963331763318E-24</v>
      </c>
      <c r="AC194" s="24">
        <f t="shared" si="163"/>
        <v>1.5925734765333464E-2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-1.064108801074326E-13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213.5791415320935</v>
      </c>
      <c r="AO194" s="62">
        <f t="shared" si="144"/>
        <v>167.49607245443497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0.15018531297533672</v>
      </c>
      <c r="AW194" s="23">
        <f>EXP(-LN(2)/2)*AW193+(1-EXP(-LN(2)/2))/(LN(2)/2)*AQ194*AT194*VLOOKUP('Données projet'!$B$10,Paramètres!$A$1:$I$89,3,0)*0.475*44/12</f>
        <v>8.5470520850653263E-24</v>
      </c>
      <c r="AX194" s="23">
        <f t="shared" si="166"/>
        <v>0.15018531297533672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89.856000000000435</v>
      </c>
      <c r="D195" s="12">
        <f t="shared" si="140"/>
        <v>24.530492425499521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882.98345030210487</v>
      </c>
      <c r="H195" s="70">
        <f t="shared" si="110"/>
        <v>492.5564743077457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-1.7053025658242404E-13</v>
      </c>
      <c r="O195" s="14">
        <f>N195*VLOOKUP('Données projet'!$B$9,Paramètres!$A$1:$I$89,3,0)*VLOOKUP('Données projet'!$B$9,Paramètres!$A$1:$I$89,5,0)</f>
        <v>-1.383341441396624E-13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135.99759935190264</v>
      </c>
      <c r="T195" s="62">
        <f t="shared" si="142"/>
        <v>103.49526616376608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1.5490244710677427E-2</v>
      </c>
      <c r="AB195" s="23">
        <f>EXP(-LN(2)/2)*AB194+(1-EXP(-LN(2)/2))/(LN(2)/2)*V195*Y195*VLOOKUP('Données projet'!$B$9,Paramètres!$A$1:$I$89,3,0)*0.475*44/12</f>
        <v>2.246122097603187E-24</v>
      </c>
      <c r="AC195" s="24">
        <f t="shared" si="163"/>
        <v>1.5490244710677427E-2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-1.064108801074326E-13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213.5791415320935</v>
      </c>
      <c r="AO195" s="62">
        <f t="shared" si="144"/>
        <v>167.49607245443497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0.14607848769412377</v>
      </c>
      <c r="AW195" s="23">
        <f>EXP(-LN(2)/2)*AW194+(1-EXP(-LN(2)/2))/(LN(2)/2)*AQ195*AT195*VLOOKUP('Données projet'!$B$10,Paramètres!$A$1:$I$89,3,0)*0.475*44/12</f>
        <v>6.0436784885043125E-24</v>
      </c>
      <c r="AX195" s="23">
        <f t="shared" si="166"/>
        <v>0.14607848769412377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90.324000000000439</v>
      </c>
      <c r="D196" s="12">
        <f t="shared" si="140"/>
        <v>24.643349641795954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887.4672603928143</v>
      </c>
      <c r="H196" s="70">
        <f t="shared" ref="H196:H203" si="192">(B196+E196+F196)*44/12+(C196+D196)*0.475*44/12</f>
        <v>493.56813395946199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-1.7053025658242404E-13</v>
      </c>
      <c r="O196" s="14">
        <f>N196*VLOOKUP('Données projet'!$B$9,Paramètres!$A$1:$I$89,3,0)*VLOOKUP('Données projet'!$B$9,Paramètres!$A$1:$I$89,5,0)</f>
        <v>-1.383341441396624E-13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135.99759935190264</v>
      </c>
      <c r="T196" s="62">
        <f t="shared" si="142"/>
        <v>103.49526616376608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1.5066663154467386E-2</v>
      </c>
      <c r="AB196" s="23">
        <f>EXP(-LN(2)/2)*AB195+(1-EXP(-LN(2)/2))/(LN(2)/2)*V196*Y196*VLOOKUP('Données projet'!$B$9,Paramètres!$A$1:$I$89,3,0)*0.475*44/12</f>
        <v>1.5882481665881659E-24</v>
      </c>
      <c r="AC196" s="24">
        <f t="shared" si="163"/>
        <v>1.5066663154467386E-2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-1.064108801074326E-13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213.5791415320935</v>
      </c>
      <c r="AO196" s="62">
        <f t="shared" si="144"/>
        <v>167.49607245443497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0.14208396376619414</v>
      </c>
      <c r="AW196" s="23">
        <f>EXP(-LN(2)/2)*AW195+(1-EXP(-LN(2)/2))/(LN(2)/2)*AQ196*AT196*VLOOKUP('Données projet'!$B$10,Paramètres!$A$1:$I$89,3,0)*0.475*44/12</f>
        <v>4.2735260425326631E-24</v>
      </c>
      <c r="AX196" s="23">
        <f t="shared" si="166"/>
        <v>0.14208396376619414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90.792000000000442</v>
      </c>
      <c r="D197" s="12">
        <f t="shared" ref="D197:D203" si="202">IFERROR(EXP(-1.0587+0.8836*LN(C197)+0.284),0)</f>
        <v>24.756138813110294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891.95054522401279</v>
      </c>
      <c r="H197" s="70">
        <f t="shared" si="192"/>
        <v>494.57967509950117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-1.7053025658242404E-13</v>
      </c>
      <c r="O197" s="14">
        <f>N197*VLOOKUP('Données projet'!$B$9,Paramètres!$A$1:$I$89,3,0)*VLOOKUP('Données projet'!$B$9,Paramètres!$A$1:$I$89,5,0)</f>
        <v>-1.383341441396624E-13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135.99759935190264</v>
      </c>
      <c r="T197" s="62">
        <f t="shared" ref="T197:T203" si="204">$T$3</f>
        <v>103.49526616376608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1.4654664458187095E-2</v>
      </c>
      <c r="AB197" s="23">
        <f>EXP(-LN(2)/2)*AB196+(1-EXP(-LN(2)/2))/(LN(2)/2)*V197*Y197*VLOOKUP('Données projet'!$B$9,Paramètres!$A$1:$I$89,3,0)*0.475*44/12</f>
        <v>1.1230610488015935E-24</v>
      </c>
      <c r="AC197" s="24">
        <f t="shared" si="163"/>
        <v>1.4654664458187095E-2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-1.064108801074326E-13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213.5791415320935</v>
      </c>
      <c r="AO197" s="62">
        <f t="shared" ref="AO197:AO203" si="205">$AO$3</f>
        <v>167.49607245443497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0.13819867030513663</v>
      </c>
      <c r="AW197" s="23">
        <f>EXP(-LN(2)/2)*AW196+(1-EXP(-LN(2)/2))/(LN(2)/2)*AQ197*AT197*VLOOKUP('Données projet'!$B$10,Paramètres!$A$1:$I$89,3,0)*0.475*44/12</f>
        <v>3.0218392442521563E-24</v>
      </c>
      <c r="AX197" s="23">
        <f t="shared" si="166"/>
        <v>0.13819867030513663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91.260000000000446</v>
      </c>
      <c r="D198" s="12">
        <f t="shared" si="202"/>
        <v>24.868860330902901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896.43330781749955</v>
      </c>
      <c r="H198" s="70">
        <f t="shared" si="192"/>
        <v>495.59109840965664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-1.7053025658242404E-13</v>
      </c>
      <c r="O198" s="14">
        <f>N198*VLOOKUP('Données projet'!$B$9,Paramètres!$A$1:$I$89,3,0)*VLOOKUP('Données projet'!$B$9,Paramètres!$A$1:$I$89,5,0)</f>
        <v>-1.383341441396624E-13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135.99759935190264</v>
      </c>
      <c r="T198" s="62">
        <f t="shared" si="204"/>
        <v>103.49526616376608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1.425393188792266E-2</v>
      </c>
      <c r="AB198" s="23">
        <f>EXP(-LN(2)/2)*AB197+(1-EXP(-LN(2)/2))/(LN(2)/2)*V198*Y198*VLOOKUP('Données projet'!$B$9,Paramètres!$A$1:$I$89,3,0)*0.475*44/12</f>
        <v>7.9412408329408294E-25</v>
      </c>
      <c r="AC198" s="24">
        <f t="shared" si="163"/>
        <v>1.425393188792266E-2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-1.064108801074326E-13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213.5791415320935</v>
      </c>
      <c r="AO198" s="62">
        <f t="shared" si="205"/>
        <v>167.49607245443497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0.13441962039809047</v>
      </c>
      <c r="AW198" s="23">
        <f>EXP(-LN(2)/2)*AW197+(1-EXP(-LN(2)/2))/(LN(2)/2)*AQ198*AT198*VLOOKUP('Données projet'!$B$10,Paramètres!$A$1:$I$89,3,0)*0.475*44/12</f>
        <v>2.1367630212663316E-24</v>
      </c>
      <c r="AX198" s="23">
        <f t="shared" si="166"/>
        <v>0.13441962039809047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91.728000000000449</v>
      </c>
      <c r="D199" s="12">
        <f t="shared" si="202"/>
        <v>24.981514582386662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900.91555116228653</v>
      </c>
      <c r="H199" s="70">
        <f t="shared" si="192"/>
        <v>496.60240456432416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-1.7053025658242404E-13</v>
      </c>
      <c r="O199" s="14">
        <f>N199*VLOOKUP('Données projet'!$B$9,Paramètres!$A$1:$I$89,3,0)*VLOOKUP('Données projet'!$B$9,Paramètres!$A$1:$I$89,5,0)</f>
        <v>-1.383341441396624E-13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135.99759935190264</v>
      </c>
      <c r="T199" s="62">
        <f t="shared" si="204"/>
        <v>103.49526616376608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1.3864157370865715E-2</v>
      </c>
      <c r="AB199" s="23">
        <f>EXP(-LN(2)/2)*AB198+(1-EXP(-LN(2)/2))/(LN(2)/2)*V199*Y199*VLOOKUP('Données projet'!$B$9,Paramètres!$A$1:$I$89,3,0)*0.475*44/12</f>
        <v>5.6153052440079674E-25</v>
      </c>
      <c r="AC199" s="24">
        <f t="shared" si="163"/>
        <v>1.3864157370865715E-2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-1.064108801074326E-13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213.5791415320935</v>
      </c>
      <c r="AO199" s="62">
        <f t="shared" si="205"/>
        <v>167.49607245443497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0.13074390880948406</v>
      </c>
      <c r="AW199" s="23">
        <f>EXP(-LN(2)/2)*AW198+(1-EXP(-LN(2)/2))/(LN(2)/2)*AQ199*AT199*VLOOKUP('Données projet'!$B$10,Paramètres!$A$1:$I$89,3,0)*0.475*44/12</f>
        <v>1.5109196221260781E-24</v>
      </c>
      <c r="AX199" s="23">
        <f t="shared" si="166"/>
        <v>0.13074390880948406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92.196000000000453</v>
      </c>
      <c r="D200" s="12">
        <f t="shared" si="202"/>
        <v>25.094101950594609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905.39727821511985</v>
      </c>
      <c r="H200" s="70">
        <f t="shared" si="192"/>
        <v>497.6135942306197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-1.7053025658242404E-13</v>
      </c>
      <c r="O200" s="14">
        <f>N200*VLOOKUP('Données projet'!$B$9,Paramètres!$A$1:$I$89,3,0)*VLOOKUP('Données projet'!$B$9,Paramètres!$A$1:$I$89,5,0)</f>
        <v>-1.383341441396624E-13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135.99759935190264</v>
      </c>
      <c r="T200" s="62">
        <f t="shared" si="204"/>
        <v>103.49526616376608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1.3485041258475043E-2</v>
      </c>
      <c r="AB200" s="23">
        <f>EXP(-LN(2)/2)*AB199+(1-EXP(-LN(2)/2))/(LN(2)/2)*V200*Y200*VLOOKUP('Données projet'!$B$9,Paramètres!$A$1:$I$89,3,0)*0.475*44/12</f>
        <v>3.9706204164704147E-25</v>
      </c>
      <c r="AC200" s="24">
        <f t="shared" si="163"/>
        <v>1.3485041258475043E-2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-1.064108801074326E-13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213.5791415320935</v>
      </c>
      <c r="AO200" s="62">
        <f t="shared" si="205"/>
        <v>167.49607245443497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0.12716870974756536</v>
      </c>
      <c r="AW200" s="23">
        <f>EXP(-LN(2)/2)*AW199+(1-EXP(-LN(2)/2))/(LN(2)/2)*AQ200*AT200*VLOOKUP('Données projet'!$B$10,Paramètres!$A$1:$I$89,3,0)*0.475*44/12</f>
        <v>1.0683815106331658E-24</v>
      </c>
      <c r="AX200" s="23">
        <f t="shared" si="166"/>
        <v>0.12716870974756536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92.664000000000456</v>
      </c>
      <c r="D201" s="12">
        <f t="shared" si="202"/>
        <v>25.206622814445883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909.87849190098939</v>
      </c>
      <c r="H201" s="70">
        <f t="shared" si="192"/>
        <v>498.62466806849403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-1.7053025658242404E-13</v>
      </c>
      <c r="O201" s="14">
        <f>N201*VLOOKUP('Données projet'!$B$9,Paramètres!$A$1:$I$89,3,0)*VLOOKUP('Données projet'!$B$9,Paramètres!$A$1:$I$89,5,0)</f>
        <v>-1.383341441396624E-13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135.99759935190264</v>
      </c>
      <c r="T201" s="62">
        <f t="shared" si="204"/>
        <v>103.49526616376608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1.3116292096114543E-2</v>
      </c>
      <c r="AB201" s="23">
        <f>EXP(-LN(2)/2)*AB200+(1-EXP(-LN(2)/2))/(LN(2)/2)*V201*Y201*VLOOKUP('Données projet'!$B$9,Paramètres!$A$1:$I$89,3,0)*0.475*44/12</f>
        <v>2.8076526220039837E-25</v>
      </c>
      <c r="AC201" s="24">
        <f t="shared" si="163"/>
        <v>1.3116292096114543E-2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-1.064108801074326E-13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213.5791415320935</v>
      </c>
      <c r="AO201" s="62">
        <f t="shared" si="205"/>
        <v>167.49607245443497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0.12369127469200639</v>
      </c>
      <c r="AW201" s="23">
        <f>EXP(-LN(2)/2)*AW200+(1-EXP(-LN(2)/2))/(LN(2)/2)*AQ201*AT201*VLOOKUP('Données projet'!$B$10,Paramètres!$A$1:$I$89,3,0)*0.475*44/12</f>
        <v>7.5545981106303907E-25</v>
      </c>
      <c r="AX201" s="23">
        <f t="shared" si="166"/>
        <v>0.12369127469200639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93.13200000000046</v>
      </c>
      <c r="D202" s="12">
        <f t="shared" si="202"/>
        <v>25.319077548810565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914.35919511362908</v>
      </c>
      <c r="H202" s="70">
        <f t="shared" si="192"/>
        <v>499.63562673084584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-1.7053025658242404E-13</v>
      </c>
      <c r="O202" s="14">
        <f>N202*VLOOKUP('Données projet'!$B$9,Paramètres!$A$1:$I$89,3,0)*VLOOKUP('Données projet'!$B$9,Paramètres!$A$1:$I$89,5,0)</f>
        <v>-1.383341441396624E-13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135.99759935190264</v>
      </c>
      <c r="T202" s="62">
        <f t="shared" si="204"/>
        <v>103.49526616376608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1.2757626398990467E-2</v>
      </c>
      <c r="AB202" s="23">
        <f>EXP(-LN(2)/2)*AB201+(1-EXP(-LN(2)/2))/(LN(2)/2)*V202*Y202*VLOOKUP('Données projet'!$B$9,Paramètres!$A$1:$I$89,3,0)*0.475*44/12</f>
        <v>1.9853102082352074E-25</v>
      </c>
      <c r="AC202" s="24">
        <f t="shared" si="163"/>
        <v>1.2757626398990467E-2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-1.064108801074326E-13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213.5791415320935</v>
      </c>
      <c r="AO202" s="62">
        <f t="shared" si="205"/>
        <v>167.49607245443497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0.12030893028091204</v>
      </c>
      <c r="AW202" s="23">
        <f>EXP(-LN(2)/2)*AW201+(1-EXP(-LN(2)/2))/(LN(2)/2)*AQ202*AT202*VLOOKUP('Données projet'!$B$10,Paramètres!$A$1:$I$89,3,0)*0.475*44/12</f>
        <v>5.3419075531658289E-25</v>
      </c>
      <c r="AX202" s="23">
        <f t="shared" si="166"/>
        <v>0.12030893028091204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93.600000000000463</v>
      </c>
      <c r="D203" s="12">
        <f t="shared" si="202"/>
        <v>25.43146652457305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918.83939071600616</v>
      </c>
      <c r="H203" s="70">
        <f t="shared" si="192"/>
        <v>500.6464708636322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-1.7053025658242404E-13</v>
      </c>
      <c r="O203" s="14">
        <f>N203*VLOOKUP('Données projet'!$B$9,Paramètres!$A$1:$I$89,3,0)*VLOOKUP('Données projet'!$B$9,Paramètres!$A$1:$I$89,5,0)</f>
        <v>-1.383341441396624E-13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135.99759935190264</v>
      </c>
      <c r="T203" s="62">
        <f t="shared" si="204"/>
        <v>103.49526616376608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1.2408768434215659E-2</v>
      </c>
      <c r="AB203" s="23">
        <f>EXP(-LN(2)/2)*AB202+(1-EXP(-LN(2)/2))/(LN(2)/2)*V203*Y203*VLOOKUP('Données projet'!$B$9,Paramètres!$A$1:$I$89,3,0)*0.475*44/12</f>
        <v>1.4038263110019919E-25</v>
      </c>
      <c r="AC203" s="24">
        <f t="shared" si="163"/>
        <v>1.2408768434215659E-2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-1.064108801074326E-13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213.5791415320935</v>
      </c>
      <c r="AO203" s="62">
        <f t="shared" si="205"/>
        <v>167.49607245443497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0.11701907625560883</v>
      </c>
      <c r="AW203" s="23">
        <f>EXP(-LN(2)/2)*AW202+(1-EXP(-LN(2)/2))/(LN(2)/2)*AQ203*AT203*VLOOKUP('Données projet'!$B$10,Paramètres!$A$1:$I$89,3,0)*0.475*44/12</f>
        <v>3.7772990553151953E-25</v>
      </c>
      <c r="AX203" s="23">
        <f t="shared" si="166"/>
        <v>0.11701907625560883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1.2599210498948732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1.2235261841298362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J23" sqref="J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Bouleau verruqueux</v>
      </c>
      <c r="B6" s="155">
        <f>'Données projet'!D9</f>
        <v>0.38519999999999999</v>
      </c>
      <c r="C6" s="156">
        <f ca="1">IF(OR('Données projet'!B9="",'Données projet'!C9="",'Données projet'!C9=0%),0,Calculateur!S3)</f>
        <v>135.99759935190264</v>
      </c>
      <c r="D6" s="156">
        <f>IF(OR('Données projet'!B9="",'Données projet'!C9="",'Données projet'!C9=0%),0,Calculateur!T3)</f>
        <v>103.49526616376608</v>
      </c>
      <c r="E6" s="156">
        <f ca="1">MIN(C6,D6)</f>
        <v>103.49526616376608</v>
      </c>
      <c r="F6" s="156">
        <f ca="1">E6*B6</f>
        <v>39.866376526282693</v>
      </c>
      <c r="G6" s="156">
        <f ca="1">F6*(100%-'Données projet'!$C$24)*(100%-'Données projet'!$C$25)*(100%-'Données projet'!$C$26)*(100%-'Données projet'!$C$27)</f>
        <v>34.0857519299717</v>
      </c>
      <c r="H6" s="157">
        <f>IF(OR('Données projet'!B9="",'Données projet'!C9="",'Données projet'!C9=0%),0,AVERAGE(Calculateur!$AC$3:$AC$33)*B6)</f>
        <v>0.58161900069563011</v>
      </c>
      <c r="I6" s="158">
        <f>H6*(100%-'Données projet'!$C$24)*(100%-'Données projet'!$C$25)*(100%-'Données projet'!$C$26)*(100%-'Données projet'!$C$27)</f>
        <v>0.4972842455947637</v>
      </c>
      <c r="J6" s="159">
        <f>IF(OR('Données projet'!B9="",'Données projet'!C9="",'Données projet'!C9=0%),0,SUM(Calculateur!$V$3:$V$33)*VLOOKUP('Données projet'!$B$9,Paramètres!$A$1:$I$89,9,0)*B6)</f>
        <v>2.5038</v>
      </c>
      <c r="K6" s="160">
        <f>J6*(100%-'Données projet'!$C$24)*(100%-'Données projet'!$C$25)*(100%-'Données projet'!$C$26)*(100%-'Données projet'!$C$27)</f>
        <v>2.140749</v>
      </c>
      <c r="L6" s="161">
        <f ca="1">G6+I6+K6</f>
        <v>36.723785175566462</v>
      </c>
      <c r="M6" s="25">
        <f ca="1">L6/B6</f>
        <v>95.336929323900478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Epicéa de Sitka</v>
      </c>
      <c r="B7" s="163">
        <f>'Données projet'!D10</f>
        <v>6.0347999999999997</v>
      </c>
      <c r="C7" s="156">
        <f ca="1">IF(OR('Données projet'!B10="",'Données projet'!C10="",'Données projet'!C10=0%),0,Calculateur!AN3)</f>
        <v>213.5791415320935</v>
      </c>
      <c r="D7" s="156">
        <f>IF(OR('Données projet'!B10="",'Données projet'!C10="",'Données projet'!C10=0%),0,Calculateur!AO3)</f>
        <v>167.49607245443497</v>
      </c>
      <c r="E7" s="156">
        <f t="shared" ref="E7:E15" ca="1" si="0">MIN(C7,D7)</f>
        <v>167.49607245443497</v>
      </c>
      <c r="F7" s="156">
        <f t="shared" ref="F7:F15" ca="1" si="1">E7*B7</f>
        <v>1010.805298048024</v>
      </c>
      <c r="G7" s="156">
        <f ca="1">F7*(100%-'Données projet'!$C$24)*(100%-'Données projet'!$C$25)*(100%-'Données projet'!$C$26)*(100%-'Données projet'!$C$27)</f>
        <v>864.23852983106053</v>
      </c>
      <c r="H7" s="164">
        <f>IF(OR('Données projet'!B10="",'Données projet'!C10="",'Données projet'!C10=0%),0,AVERAGE(Calculateur!$AX$3:$AX$33)*B7)</f>
        <v>25.543829803399213</v>
      </c>
      <c r="I7" s="158">
        <f>H7*(100%-'Données projet'!$C$24)*(100%-'Données projet'!$C$25)*(100%-'Données projet'!$C$26)*(100%-'Données projet'!$C$27)</f>
        <v>21.839974481906328</v>
      </c>
      <c r="J7" s="159">
        <f>IF(OR('Données projet'!B10="",'Données projet'!C10="",'Données projet'!C10=0%),0,SUM(Calculateur!$AQ$3:$AQ$33)*VLOOKUP('Données projet'!$B$10,Paramètres!$A$1:$I$89,9,0)*B7)</f>
        <v>269.87625599999996</v>
      </c>
      <c r="K7" s="160">
        <f>J7*(100%-'Données projet'!$C$24)*(100%-'Données projet'!$C$25)*(100%-'Données projet'!$C$26)*(100%-'Données projet'!$C$27)</f>
        <v>230.74419887999994</v>
      </c>
      <c r="L7" s="161">
        <f t="shared" ref="L7:L15" ca="1" si="2">G7+I7+K7</f>
        <v>1116.8227031929669</v>
      </c>
      <c r="M7" s="25">
        <f ca="1">L7/B7</f>
        <v>185.0637474635393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1050.6716745743067</v>
      </c>
      <c r="G16" s="175">
        <f t="shared" ca="1" si="3"/>
        <v>898.32428176103224</v>
      </c>
      <c r="H16" s="176">
        <f t="shared" si="3"/>
        <v>26.125448804094844</v>
      </c>
      <c r="I16" s="176">
        <f t="shared" si="3"/>
        <v>22.337258727501091</v>
      </c>
      <c r="J16" s="177">
        <f t="shared" si="3"/>
        <v>272.38005599999997</v>
      </c>
      <c r="K16" s="177">
        <f t="shared" si="3"/>
        <v>232.88494787999994</v>
      </c>
      <c r="L16" s="178">
        <f t="shared" ca="1" si="3"/>
        <v>1153.5464883685333</v>
      </c>
      <c r="M16" s="25">
        <f ca="1">L16/6.42</f>
        <v>179.68013837516096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Bouleau verruqueux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Epicéa de Sitka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" zoomScale="90" zoomScaleNormal="90" workbookViewId="0">
      <selection activeCell="I33" sqref="I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Bouleau verruqueux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865.78866142307879</v>
      </c>
      <c r="U10" s="190">
        <f>'Données projet'!D9</f>
        <v>0.38519999999999999</v>
      </c>
      <c r="V10" s="189">
        <f>U10*T10</f>
        <v>333.50179238016995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Epicéa de Sitka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4487.4404936494448</v>
      </c>
      <c r="U11" s="190">
        <f>'Données projet'!D10</f>
        <v>6.0347999999999997</v>
      </c>
      <c r="V11" s="189">
        <f t="shared" ref="V11" si="0">U11*T11</f>
        <v>27080.805891075666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Bouleau verruqueux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>
        <v>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50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1500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v>4498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1398.87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990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0</v>
      </c>
      <c r="C23" s="206">
        <v>10</v>
      </c>
      <c r="D23" s="194">
        <f>B23*C23</f>
        <v>0</v>
      </c>
      <c r="E23" s="206"/>
      <c r="F23" s="261"/>
      <c r="H23" s="203">
        <v>3</v>
      </c>
      <c r="I23" s="204">
        <v>990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-21446.629433513001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9</v>
      </c>
      <c r="C24" s="206">
        <v>10</v>
      </c>
      <c r="D24" s="194">
        <f t="shared" ref="D24:D42" si="2">B24*C24</f>
        <v>90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1066.1339291692302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8</v>
      </c>
      <c r="C25" s="206">
        <v>10</v>
      </c>
      <c r="D25" s="194">
        <f t="shared" si="2"/>
        <v>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-22512.763362682232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9</v>
      </c>
      <c r="C26" s="206">
        <v>10</v>
      </c>
      <c r="D26" s="194">
        <f t="shared" si="2"/>
        <v>90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10</v>
      </c>
      <c r="C27" s="206">
        <v>20</v>
      </c>
      <c r="D27" s="194">
        <f t="shared" si="2"/>
        <v>200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11</v>
      </c>
      <c r="C28" s="206">
        <v>30</v>
      </c>
      <c r="D28" s="194">
        <f t="shared" si="2"/>
        <v>330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11</v>
      </c>
      <c r="C29" s="206">
        <v>30</v>
      </c>
      <c r="D29" s="194">
        <f t="shared" si="2"/>
        <v>330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11</v>
      </c>
      <c r="C30" s="206">
        <v>40</v>
      </c>
      <c r="D30" s="194">
        <f t="shared" si="2"/>
        <v>440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11</v>
      </c>
      <c r="C31" s="206">
        <v>50</v>
      </c>
      <c r="D31" s="194">
        <f t="shared" si="2"/>
        <v>550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60</v>
      </c>
      <c r="B32" s="193">
        <f>'Données projet'!D45</f>
        <v>11</v>
      </c>
      <c r="C32" s="206">
        <v>60</v>
      </c>
      <c r="D32" s="194">
        <f t="shared" si="2"/>
        <v>660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65</v>
      </c>
      <c r="B33" s="193">
        <f>'Données projet'!D46</f>
        <v>11</v>
      </c>
      <c r="C33" s="206">
        <v>70</v>
      </c>
      <c r="D33" s="194">
        <f t="shared" si="2"/>
        <v>770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70</v>
      </c>
      <c r="B34" s="193">
        <f>'Données projet'!D47</f>
        <v>11</v>
      </c>
      <c r="C34" s="206">
        <v>70</v>
      </c>
      <c r="D34" s="194">
        <f t="shared" si="2"/>
        <v>770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75</v>
      </c>
      <c r="B35" s="193">
        <f>'Données projet'!D48</f>
        <v>11</v>
      </c>
      <c r="C35" s="206">
        <v>80</v>
      </c>
      <c r="D35" s="194">
        <f t="shared" si="2"/>
        <v>880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80</v>
      </c>
      <c r="B36" s="193">
        <f>'Données projet'!D49</f>
        <v>11</v>
      </c>
      <c r="C36" s="206">
        <v>80</v>
      </c>
      <c r="D36" s="194">
        <f t="shared" si="2"/>
        <v>880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85</v>
      </c>
      <c r="B37" s="193">
        <f>'Données projet'!D50</f>
        <v>10</v>
      </c>
      <c r="C37" s="206">
        <v>90</v>
      </c>
      <c r="D37" s="194">
        <f t="shared" si="2"/>
        <v>900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90</v>
      </c>
      <c r="B38" s="193">
        <f>'Données projet'!D51</f>
        <v>192</v>
      </c>
      <c r="C38" s="206">
        <v>90</v>
      </c>
      <c r="D38" s="194">
        <f t="shared" si="2"/>
        <v>17280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Epicéa de Sitka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52</v>
      </c>
      <c r="C54" s="292">
        <v>12</v>
      </c>
      <c r="D54" s="191">
        <f>B54*C54</f>
        <v>624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29</v>
      </c>
      <c r="B55" s="193">
        <f>'Données projet'!D63</f>
        <v>52</v>
      </c>
      <c r="C55" s="292">
        <v>15</v>
      </c>
      <c r="D55" s="191">
        <f t="shared" ref="D55:D73" si="4">B55*C55</f>
        <v>780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34</v>
      </c>
      <c r="B56" s="193">
        <f>'Données projet'!D64</f>
        <v>65</v>
      </c>
      <c r="C56" s="292">
        <v>17</v>
      </c>
      <c r="D56" s="191">
        <f t="shared" si="4"/>
        <v>1105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39</v>
      </c>
      <c r="B57" s="193">
        <f>'Données projet'!D65</f>
        <v>70</v>
      </c>
      <c r="C57" s="292">
        <v>20</v>
      </c>
      <c r="D57" s="191">
        <f t="shared" si="4"/>
        <v>1400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44</v>
      </c>
      <c r="B58" s="193">
        <f>'Données projet'!D66</f>
        <v>53</v>
      </c>
      <c r="C58" s="292">
        <v>25</v>
      </c>
      <c r="D58" s="191">
        <f t="shared" si="4"/>
        <v>1325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55</v>
      </c>
      <c r="C59" s="292">
        <v>35</v>
      </c>
      <c r="D59" s="191">
        <f t="shared" si="4"/>
        <v>1925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56</v>
      </c>
      <c r="B60" s="193">
        <f>'Données projet'!D68</f>
        <v>662</v>
      </c>
      <c r="C60" s="292">
        <v>60</v>
      </c>
      <c r="D60" s="191">
        <f t="shared" si="4"/>
        <v>39720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str">
        <f>IF(O89+1&lt;=MIN('Données projet'!$E$9:$E$18),O89+1,"STOP")</f>
        <v>STOP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2024-09-09T14:12:41Z</dcterms:modified>
</cp:coreProperties>
</file>