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Dossier Augustin/DossiersLBC/GRAND OUEST (PB)/2UZEL-124/"/>
    </mc:Choice>
  </mc:AlternateContent>
  <xr:revisionPtr revIDLastSave="37" documentId="8_{71C1A70B-17F5-4A57-8D49-DA44B916A6FC}" xr6:coauthVersionLast="47" xr6:coauthVersionMax="47" xr10:uidLastSave="{5439A492-EE6E-4D98-97FE-A9AE70AA4109}"/>
  <bookViews>
    <workbookView xWindow="-108" yWindow="-108" windowWidth="23256" windowHeight="1245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7" i="6" l="1"/>
  <c r="F47" i="6" l="1"/>
  <c r="F78" i="6"/>
  <c r="F16" i="6"/>
  <c r="E81" i="6"/>
  <c r="E50" i="6"/>
  <c r="E19" i="6"/>
  <c r="E79" i="6"/>
  <c r="E48" i="6"/>
  <c r="I20" i="6" l="1"/>
  <c r="E82" i="6"/>
  <c r="E80" i="6"/>
  <c r="E51" i="6"/>
  <c r="E49" i="6"/>
  <c r="E20" i="6"/>
  <c r="E18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X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62" i="2" a="1"/>
  <c r="AH62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D19" i="2" l="1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100" i="2" l="1"/>
  <c r="AN36" i="2"/>
  <c r="AN161" i="2"/>
  <c r="AN143" i="2"/>
  <c r="AN28" i="2"/>
  <c r="AN171" i="2"/>
  <c r="AN21" i="2"/>
  <c r="AN30" i="2"/>
  <c r="AN112" i="2"/>
  <c r="AN121" i="2"/>
  <c r="AN90" i="2"/>
  <c r="AN62" i="2"/>
  <c r="AN199" i="2"/>
  <c r="AN123" i="2"/>
  <c r="AN110" i="2"/>
  <c r="AN194" i="2"/>
  <c r="AN133" i="2"/>
  <c r="AN200" i="2"/>
  <c r="AN146" i="2"/>
  <c r="AN163" i="2"/>
  <c r="AN138" i="2"/>
  <c r="AN67" i="2"/>
  <c r="AN85" i="2"/>
  <c r="AN154" i="2"/>
  <c r="AN12" i="2"/>
  <c r="AN192" i="2"/>
  <c r="AN58" i="2"/>
  <c r="AN25" i="2"/>
  <c r="AN109" i="2"/>
  <c r="AN149" i="2"/>
  <c r="AN15" i="2"/>
  <c r="AN184" i="2"/>
  <c r="AN130" i="2"/>
  <c r="AN144" i="2"/>
  <c r="AN34" i="2"/>
  <c r="AN157" i="2"/>
  <c r="AN35" i="2"/>
  <c r="AN108" i="2"/>
  <c r="AN174" i="2"/>
  <c r="AN134" i="2"/>
  <c r="AN148" i="2"/>
  <c r="AN44" i="2"/>
  <c r="AN196" i="2"/>
  <c r="AN78" i="2"/>
  <c r="AN53" i="2"/>
  <c r="AN10" i="2"/>
  <c r="AN5" i="2"/>
  <c r="AN52" i="2"/>
  <c r="AN93" i="2"/>
  <c r="AN64" i="2"/>
  <c r="AN83" i="2"/>
  <c r="AN119" i="2"/>
  <c r="AN183" i="2"/>
  <c r="AN80" i="2"/>
  <c r="AN24" i="2"/>
  <c r="AN122" i="2"/>
  <c r="AN84" i="2"/>
  <c r="AN81" i="2"/>
  <c r="AN111" i="2"/>
  <c r="AN155" i="2"/>
  <c r="AN37" i="2"/>
  <c r="AN113" i="2"/>
  <c r="AN32" i="2"/>
  <c r="AN50" i="2"/>
  <c r="AN126" i="2"/>
  <c r="AN129" i="2"/>
  <c r="AN17" i="2"/>
  <c r="AN164" i="2"/>
  <c r="AN190" i="2"/>
  <c r="AN187" i="2"/>
  <c r="AN42" i="2"/>
  <c r="AN79" i="2"/>
  <c r="AN186" i="2"/>
  <c r="AN65" i="2"/>
  <c r="AN57" i="2"/>
  <c r="AN48" i="2"/>
  <c r="AN201" i="2"/>
  <c r="AN156" i="2"/>
  <c r="AN47" i="2"/>
  <c r="AN179" i="2"/>
  <c r="AN102" i="2"/>
  <c r="AN27" i="2"/>
  <c r="AN120" i="2"/>
  <c r="AN89" i="2"/>
  <c r="AN71" i="2"/>
  <c r="AN141" i="2"/>
  <c r="AN73" i="2"/>
  <c r="AN9" i="2"/>
  <c r="AN118" i="2"/>
  <c r="AN151" i="2"/>
  <c r="AN158" i="2"/>
  <c r="AN152" i="2"/>
  <c r="AN14" i="2"/>
  <c r="AN115" i="2"/>
  <c r="AN99" i="2"/>
  <c r="AN91" i="2"/>
  <c r="AN33" i="2"/>
  <c r="AN101" i="2"/>
  <c r="AN46" i="2"/>
  <c r="AN92" i="2"/>
  <c r="AN125" i="2"/>
  <c r="AN172" i="2"/>
  <c r="AN189" i="2"/>
  <c r="AN75" i="2"/>
  <c r="AN31" i="2"/>
  <c r="AN86" i="2"/>
  <c r="AN147" i="2"/>
  <c r="AN139" i="2"/>
  <c r="AN7" i="2"/>
  <c r="AN70" i="2"/>
  <c r="AN87" i="2"/>
  <c r="AN103" i="2"/>
  <c r="AN95" i="2"/>
  <c r="AN55" i="2"/>
  <c r="AN173" i="2"/>
  <c r="AN170" i="2"/>
  <c r="AN127" i="2"/>
  <c r="AN39" i="2"/>
  <c r="AN13" i="2"/>
  <c r="AN131" i="2"/>
  <c r="AN104" i="2"/>
  <c r="AN135" i="2"/>
  <c r="AN168" i="2"/>
  <c r="AN88" i="2"/>
  <c r="AN107" i="2"/>
  <c r="AN98" i="2"/>
  <c r="AN77" i="2"/>
  <c r="AN96" i="2"/>
  <c r="AN177" i="2"/>
  <c r="AN3" i="2"/>
  <c r="C7" i="4" s="1"/>
  <c r="E7" i="4" s="1"/>
  <c r="F7" i="4" s="1"/>
  <c r="G7" i="4" s="1"/>
  <c r="L7" i="4" s="1"/>
  <c r="AN94" i="2"/>
  <c r="AN132" i="2"/>
  <c r="AN162" i="2"/>
  <c r="AN68" i="2"/>
  <c r="AN193" i="2"/>
  <c r="AN124" i="2"/>
  <c r="AN136" i="2"/>
  <c r="AN202" i="2"/>
  <c r="AN4" i="2"/>
  <c r="AN51" i="2"/>
  <c r="AN41" i="2"/>
  <c r="AN29" i="2"/>
  <c r="AN97" i="2"/>
  <c r="AN105" i="2"/>
  <c r="AN128" i="2"/>
  <c r="AN160" i="2"/>
  <c r="AN197" i="2"/>
  <c r="AN153" i="2"/>
  <c r="AN66" i="2"/>
  <c r="AN11" i="2"/>
  <c r="AN165" i="2"/>
  <c r="AN185" i="2"/>
  <c r="AN169" i="2"/>
  <c r="AN195" i="2"/>
  <c r="AN69" i="2"/>
  <c r="AN63" i="2"/>
  <c r="AN60" i="2"/>
  <c r="AN76" i="2"/>
  <c r="AN49" i="2"/>
  <c r="AN8" i="2"/>
  <c r="AN116" i="2"/>
  <c r="AN182" i="2"/>
  <c r="AN175" i="2"/>
  <c r="AN167" i="2"/>
  <c r="AN56" i="2"/>
  <c r="AN159" i="2"/>
  <c r="AN166" i="2"/>
  <c r="AN117" i="2"/>
  <c r="AN82" i="2"/>
  <c r="AN72" i="2"/>
  <c r="AN40" i="2"/>
  <c r="AN106" i="2"/>
  <c r="AN176" i="2"/>
  <c r="AN19" i="2"/>
  <c r="AN198" i="2"/>
  <c r="AN23" i="2"/>
  <c r="AN22" i="2"/>
  <c r="AN6" i="2"/>
  <c r="AN61" i="2"/>
  <c r="AN59" i="2"/>
  <c r="AN188" i="2"/>
  <c r="AN203" i="2"/>
  <c r="AN18" i="2"/>
  <c r="AN16" i="2"/>
  <c r="AN114" i="2"/>
  <c r="AN145" i="2"/>
  <c r="AN140" i="2"/>
  <c r="AN74" i="2"/>
  <c r="AN150" i="2"/>
  <c r="AN142" i="2"/>
  <c r="AN38" i="2"/>
  <c r="AN191" i="2"/>
  <c r="AN54" i="2"/>
  <c r="AN137" i="2"/>
  <c r="AN181" i="2"/>
  <c r="AN20" i="2"/>
  <c r="AN26" i="2"/>
  <c r="AN43" i="2"/>
  <c r="AN178" i="2"/>
  <c r="AN45" i="2"/>
  <c r="AN180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BI70" i="2" l="1"/>
  <c r="BI93" i="2"/>
  <c r="BI178" i="2"/>
  <c r="FE194" i="2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I95" i="2" s="1"/>
  <c r="BE107" i="2"/>
  <c r="BS105" i="2"/>
  <c r="BI150" i="2" l="1"/>
  <c r="BI89" i="2"/>
  <c r="BI162" i="2"/>
  <c r="BI115" i="2"/>
  <c r="BI52" i="2"/>
  <c r="BI109" i="2"/>
  <c r="BI105" i="2"/>
  <c r="BI97" i="2"/>
  <c r="BI153" i="2"/>
  <c r="BI189" i="2"/>
  <c r="BI61" i="2"/>
  <c r="BI82" i="2"/>
  <c r="BI12" i="2"/>
  <c r="BI56" i="2"/>
  <c r="BI5" i="2"/>
  <c r="BI64" i="2"/>
  <c r="BI99" i="2"/>
  <c r="BI10" i="2"/>
  <c r="BI104" i="2"/>
  <c r="BI39" i="2"/>
  <c r="BI163" i="2"/>
  <c r="BI19" i="2"/>
  <c r="BI149" i="2"/>
  <c r="BI159" i="2"/>
  <c r="BI66" i="2"/>
  <c r="BI25" i="2"/>
  <c r="BI165" i="2"/>
  <c r="BI55" i="2"/>
  <c r="BI11" i="2"/>
  <c r="BI123" i="2"/>
  <c r="BI113" i="2"/>
  <c r="BI69" i="2"/>
  <c r="BI169" i="2"/>
  <c r="BI34" i="2"/>
  <c r="BI147" i="2"/>
  <c r="BI193" i="2"/>
  <c r="BI42" i="2"/>
  <c r="BI198" i="2"/>
  <c r="BI114" i="2"/>
  <c r="BI187" i="2"/>
  <c r="BI174" i="2"/>
  <c r="BI124" i="2"/>
  <c r="BI177" i="2"/>
  <c r="BI23" i="2"/>
  <c r="BI103" i="2"/>
  <c r="BI106" i="2"/>
  <c r="BI38" i="2"/>
  <c r="BI116" i="2"/>
  <c r="BI160" i="2"/>
  <c r="BI111" i="2"/>
  <c r="BI166" i="2"/>
  <c r="BI86" i="2"/>
  <c r="BI176" i="2"/>
  <c r="BI112" i="2"/>
  <c r="BI170" i="2"/>
  <c r="BI119" i="2"/>
  <c r="BI74" i="2"/>
  <c r="BI78" i="2"/>
  <c r="BI133" i="2"/>
  <c r="BI141" i="2"/>
  <c r="BI79" i="2"/>
  <c r="BI184" i="2"/>
  <c r="BI49" i="2"/>
  <c r="BI145" i="2"/>
  <c r="BI40" i="2"/>
  <c r="BI182" i="2"/>
  <c r="BI98" i="2"/>
  <c r="BI71" i="2"/>
  <c r="BI157" i="2"/>
  <c r="BI94" i="2"/>
  <c r="BI130" i="2"/>
  <c r="BI108" i="2"/>
  <c r="BI139" i="2"/>
  <c r="BI196" i="2"/>
  <c r="BI125" i="2"/>
  <c r="BI127" i="2"/>
  <c r="BI148" i="2"/>
  <c r="BI164" i="2"/>
  <c r="BI118" i="2"/>
  <c r="BI6" i="2"/>
  <c r="BI63" i="2"/>
  <c r="BI13" i="2"/>
  <c r="BI8" i="2"/>
  <c r="BI77" i="2"/>
  <c r="BI16" i="2"/>
  <c r="BI107" i="2"/>
  <c r="BI33" i="2"/>
  <c r="BI76" i="2"/>
  <c r="BI171" i="2"/>
  <c r="BI50" i="2"/>
  <c r="BI67" i="2"/>
  <c r="BI199" i="2"/>
  <c r="BI161" i="2"/>
  <c r="BI4" i="2"/>
  <c r="BI57" i="2"/>
  <c r="BI191" i="2"/>
  <c r="BI30" i="2"/>
  <c r="BI96" i="2"/>
  <c r="BI51" i="2"/>
  <c r="BI26" i="2"/>
  <c r="BI18" i="2"/>
  <c r="BI36" i="2"/>
  <c r="BI75" i="2"/>
  <c r="BI181" i="2"/>
  <c r="BI132" i="2"/>
  <c r="BI192" i="2"/>
  <c r="BI117" i="2"/>
  <c r="BI179" i="2"/>
  <c r="BI168" i="2"/>
  <c r="BI41" i="2"/>
  <c r="BI144" i="2"/>
  <c r="BI27" i="2"/>
  <c r="BI121" i="2"/>
  <c r="BI155" i="2"/>
  <c r="BI29" i="2"/>
  <c r="BI185" i="2"/>
  <c r="BI15" i="2"/>
  <c r="BI28" i="2"/>
  <c r="BI17" i="2"/>
  <c r="BI35" i="2"/>
  <c r="BI152" i="2"/>
  <c r="BI200" i="2"/>
  <c r="BI136" i="2"/>
  <c r="BI131" i="2"/>
  <c r="BI83" i="2"/>
  <c r="BI186" i="2"/>
  <c r="BI135" i="2"/>
  <c r="BI122" i="2"/>
  <c r="BI158" i="2"/>
  <c r="BI180" i="2"/>
  <c r="BI32" i="2"/>
  <c r="BI37" i="2"/>
  <c r="BI92" i="2"/>
  <c r="BI54" i="2"/>
  <c r="BI9" i="2"/>
  <c r="BI172" i="2"/>
  <c r="BI110" i="2"/>
  <c r="BI84" i="2"/>
  <c r="BI45" i="2"/>
  <c r="BI195" i="2"/>
  <c r="BI87" i="2"/>
  <c r="BI151" i="2"/>
  <c r="BI140" i="2"/>
  <c r="BI194" i="2"/>
  <c r="BI201" i="2"/>
  <c r="BI90" i="2"/>
  <c r="BI43" i="2"/>
  <c r="BI156" i="2"/>
  <c r="BI14" i="2"/>
  <c r="BI197" i="2"/>
  <c r="BI48" i="2"/>
  <c r="BI44" i="2"/>
  <c r="BI167" i="2"/>
  <c r="BI138" i="2"/>
  <c r="BI72" i="2"/>
  <c r="BI60" i="2"/>
  <c r="BI81" i="2"/>
  <c r="BI20" i="2"/>
  <c r="BI58" i="2"/>
  <c r="BI65" i="2"/>
  <c r="BI91" i="2"/>
  <c r="BI126" i="2"/>
  <c r="BI188" i="2"/>
  <c r="BI142" i="2"/>
  <c r="BI73" i="2"/>
  <c r="BI183" i="2"/>
  <c r="BI101" i="2"/>
  <c r="BI59" i="2"/>
  <c r="BI62" i="2"/>
  <c r="BI173" i="2"/>
  <c r="BI190" i="2"/>
  <c r="BI203" i="2"/>
  <c r="BI68" i="2"/>
  <c r="BI143" i="2"/>
  <c r="BI80" i="2"/>
  <c r="BI53" i="2"/>
  <c r="BI202" i="2"/>
  <c r="BI134" i="2"/>
  <c r="BI88" i="2"/>
  <c r="BI3" i="2"/>
  <c r="C8" i="4" s="1"/>
  <c r="E8" i="4" s="1"/>
  <c r="F8" i="4" s="1"/>
  <c r="G8" i="4" s="1"/>
  <c r="L8" i="4" s="1"/>
  <c r="BI175" i="2"/>
  <c r="BI128" i="2"/>
  <c r="BI102" i="2"/>
  <c r="BI7" i="2"/>
  <c r="BI154" i="2"/>
  <c r="BI46" i="2"/>
  <c r="BI129" i="2"/>
  <c r="BI146" i="2"/>
  <c r="BI22" i="2"/>
  <c r="BI21" i="2"/>
  <c r="BI31" i="2"/>
  <c r="BI24" i="2"/>
  <c r="BI100" i="2"/>
  <c r="BI120" i="2"/>
  <c r="BI137" i="2"/>
  <c r="BI85" i="2"/>
  <c r="BI47" i="2"/>
  <c r="FE195" i="2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<sst xmlns="http://schemas.openxmlformats.org/spreadsheetml/2006/main" count="1175" uniqueCount="327">
  <si>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</si>
  <si>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</si>
  <si>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</si>
  <si>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</si>
  <si>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</si>
  <si>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</si>
  <si>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</si>
  <si>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</si>
  <si>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</si>
  <si>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</si>
  <si>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</si>
  <si>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</si>
  <si>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</si>
  <si>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</si>
  <si>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</si>
  <si>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</si>
  <si>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</si>
  <si>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</si>
  <si>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</si>
  <si>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</si>
  <si>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</si>
  <si>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</si>
  <si>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</si>
  <si>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</si>
  <si>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</si>
  <si>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</si>
  <si>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</si>
  <si>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</si>
  <si>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</si>
  <si>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</si>
  <si>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</si>
  <si>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</si>
  <si>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</si>
  <si>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</si>
  <si>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</si>
  <si>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</si>
  <si>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</si>
  <si>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</si>
  <si>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</si>
  <si>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</si>
  <si>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</si>
  <si>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</si>
  <si>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</si>
  <si>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</si>
  <si>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</si>
  <si>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</si>
  <si>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</si>
  <si>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</si>
  <si>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</si>
  <si>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</si>
  <si>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</si>
  <si>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</si>
  <si>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</si>
  <si>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</si>
  <si>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</si>
  <si>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</si>
  <si>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</si>
  <si>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</si>
  <si>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</si>
  <si>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</si>
  <si>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</si>
  <si>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</si>
  <si>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</si>
  <si>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</si>
  <si>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</si>
  <si>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</si>
  <si>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</si>
  <si>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</si>
  <si>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</si>
  <si>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</si>
  <si>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</si>
  <si>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</si>
  <si>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</si>
  <si>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</si>
  <si>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</si>
  <si>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</si>
  <si>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</si>
  <si>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</si>
  <si>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</si>
  <si>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</si>
  <si>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</si>
  <si>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</si>
  <si>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</si>
  <si>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</si>
  <si>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</si>
  <si>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</si>
  <si>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</si>
  <si>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</si>
  <si>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</si>
  <si>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</si>
  <si>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</si>
  <si>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</si>
  <si>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</si>
  <si>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</si>
  <si>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</si>
  <si>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</si>
  <si>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</si>
  <si>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</si>
  <si>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</si>
  <si>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</si>
  <si>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</si>
  <si>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</si>
  <si>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</si>
  <si>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</si>
  <si>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</si>
  <si>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</si>
  <si>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</si>
  <si>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</si>
  <si>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</si>
  <si>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</si>
  <si>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</si>
  <si>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</si>
  <si>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</si>
  <si>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</si>
  <si>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</si>
  <si>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</si>
  <si>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</si>
  <si>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</si>
  <si>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</si>
  <si>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</si>
  <si>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</si>
  <si>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</si>
  <si>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</si>
  <si>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</si>
  <si>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</si>
  <si>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</si>
  <si>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</si>
  <si>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</si>
  <si>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</si>
  <si>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</si>
  <si>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</si>
  <si>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</si>
  <si>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</si>
  <si>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</si>
  <si>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</si>
  <si>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</si>
  <si>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</si>
  <si>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</si>
  <si>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</si>
  <si>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</si>
  <si>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</si>
  <si>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</si>
  <si>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</si>
  <si>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</si>
  <si>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</si>
  <si>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</si>
  <si>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</si>
  <si>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</si>
  <si>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</si>
  <si>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</si>
  <si>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</si>
  <si>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</si>
  <si>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</si>
  <si>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</si>
  <si>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</si>
  <si>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</si>
  <si>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</si>
  <si>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</si>
  <si>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</si>
  <si>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</si>
  <si>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</si>
  <si>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</si>
  <si>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</si>
  <si>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</si>
  <si>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</si>
  <si>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</si>
  <si>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</si>
  <si>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</si>
  <si>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</si>
  <si>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</si>
  <si>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</si>
  <si>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</si>
  <si>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</si>
  <si>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</si>
  <si>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</si>
  <si>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</si>
  <si>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</si>
  <si>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</si>
  <si>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</si>
  <si>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</si>
  <si>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</si>
  <si>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</si>
  <si>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</si>
  <si>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</si>
  <si>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</si>
  <si>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</si>
  <si>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</si>
  <si>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</si>
  <si>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</si>
  <si>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</si>
  <si>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</si>
  <si>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</si>
  <si>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</si>
  <si>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</si>
  <si>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</si>
  <si>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</si>
  <si>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</si>
  <si>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</si>
  <si>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</si>
  <si>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</si>
  <si>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</si>
  <si>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</si>
  <si>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</si>
  <si>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</si>
  <si>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</si>
  <si>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</si>
  <si>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</si>
  <si>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</si>
  <si>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</si>
  <si>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</si>
  <si>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</si>
  <si>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</si>
  <si>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</si>
  <si>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</si>
  <si>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</si>
  <si>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</si>
  <si>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</si>
  <si>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</si>
  <si>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</si>
  <si>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</si>
  <si>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</si>
  <si>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</si>
  <si>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</si>
  <si>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</si>
  <si>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</si>
  <si>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</si>
  <si>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</si>
  <si>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</si>
  <si>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</si>
  <si>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</si>
  <si>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</si>
  <si>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</si>
  <si>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</si>
  <si>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</si>
  <si>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</si>
  <si>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</si>
  <si>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</si>
  <si>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</si>
  <si>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</si>
  <si>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</si>
  <si>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</si>
  <si>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</si>
  <si>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</si>
  <si>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</si>
  <si>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</si>
  <si>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</si>
  <si>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</si>
  <si>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</si>
  <si>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</si>
  <si>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</si>
  <si>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</si>
  <si>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</si>
  <si>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</si>
  <si>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</si>
  <si>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</si>
  <si>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</si>
  <si>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</si>
  <si>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</si>
  <si>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</si>
  <si>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</si>
  <si>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</si>
  <si>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</si>
  <si>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</si>
  <si>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</si>
  <si>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</si>
  <si>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</si>
  <si>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</si>
  <si>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</si>
  <si>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</si>
  <si>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</si>
  <si>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</si>
  <si>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</si>
  <si>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</si>
  <si>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</si>
  <si>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</si>
  <si>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</si>
  <si>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</si>
  <si>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</si>
  <si>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</si>
  <si>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</si>
  <si>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</si>
  <si>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</si>
  <si>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</si>
  <si>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</si>
  <si>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</si>
  <si>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</si>
  <si>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</si>
  <si>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</si>
  <si>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</si>
  <si>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</si>
  <si>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</si>
  <si>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</si>
  <si>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</si>
  <si>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</si>
  <si>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</si>
  <si>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</si>
  <si>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</si>
  <si>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</si>
  <si>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</si>
  <si>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</si>
  <si>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</si>
  <si>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</si>
  <si>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</si>
  <si>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</si>
  <si>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</si>
  <si>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</si>
  <si>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</si>
  <si>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</si>
  <si>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</si>
  <si>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</si>
  <si>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</si>
  <si>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</si>
  <si>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</si>
  <si>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</si>
  <si>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</si>
  <si>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</si>
  <si>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</si>
  <si>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</si>
  <si>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</si>
  <si>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</si>
  <si>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</si>
  <si>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</si>
  <si>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</si>
  <si>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</si>
  <si>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</si>
  <si>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Ajout coût rédaction DGD en année 2</t>
  </si>
  <si>
    <t xml:space="preserve">Ajout coût maitrise d'œuvre + étude de cas en année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</si>
</sst>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30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6" fontId="0" fillId="0" borderId="51" xfId="0" applyNumberFormat="1" applyBorder="1" applyProtection="1">
      <protection locked="0" hidden="1"/>
    </xf>
    <xf numFmtId="166" fontId="1" fillId="0" borderId="51" xfId="0" applyNumberFormat="1" applyFont="1" applyBorder="1" applyAlignment="1" applyProtection="1">
      <alignment horizontal="center" vertic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Normal" xfId="0" builtinId="0"/>
    <cellStyle name="Pourcentage" xfId="1" builtinId="5"/>
    <cellStyle name="Pourcentage 2" xfId="3" xr:uid="{E83464B5-9BF0-4689-97CB-D58FAA3345F2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2.0360484678650539</c:v>
                </c:pt>
                <c:pt idx="2">
                  <c:v>2.6732564892559605</c:v>
                </c:pt>
                <c:pt idx="3">
                  <c:v>3.5107063373439913</c:v>
                </c:pt>
                <c:pt idx="4">
                  <c:v>4.6115665173429541</c:v>
                </c:pt>
                <c:pt idx="5">
                  <c:v>6.0590043820974993</c:v>
                </c:pt>
                <c:pt idx="6">
                  <c:v>7.962538733207654</c:v>
                </c:pt>
                <c:pt idx="7">
                  <c:v>10.466416484886262</c:v>
                </c:pt>
                <c:pt idx="8">
                  <c:v>13.760660097642491</c:v>
                </c:pt>
                <c:pt idx="9">
                  <c:v>18.095639642152722</c:v>
                </c:pt>
                <c:pt idx="10">
                  <c:v>23.80129701446997</c:v>
                </c:pt>
                <c:pt idx="11">
                  <c:v>31.312511388641202</c:v>
                </c:pt>
                <c:pt idx="12">
                  <c:v>41.202572754834129</c:v>
                </c:pt>
                <c:pt idx="13">
                  <c:v>54.227361766041078</c:v>
                </c:pt>
                <c:pt idx="14">
                  <c:v>71.383668589285392</c:v>
                </c:pt>
                <c:pt idx="15">
                  <c:v>93.986186481305097</c:v>
                </c:pt>
                <c:pt idx="16">
                  <c:v>123.76917396624582</c:v>
                </c:pt>
                <c:pt idx="17">
                  <c:v>163.02070732605469</c:v>
                </c:pt>
                <c:pt idx="18">
                  <c:v>132.98183441071282</c:v>
                </c:pt>
                <c:pt idx="19">
                  <c:v>156.02067025769352</c:v>
                </c:pt>
                <c:pt idx="20">
                  <c:v>178.97858984538223</c:v>
                </c:pt>
                <c:pt idx="21">
                  <c:v>201.8674445177727</c:v>
                </c:pt>
                <c:pt idx="22">
                  <c:v>224.6961704893466</c:v>
                </c:pt>
                <c:pt idx="23">
                  <c:v>247.47173636577645</c:v>
                </c:pt>
                <c:pt idx="24">
                  <c:v>197.00250389344876</c:v>
                </c:pt>
                <c:pt idx="25">
                  <c:v>221.03853914852459</c:v>
                </c:pt>
                <c:pt idx="26">
                  <c:v>245.01456261029759</c:v>
                </c:pt>
                <c:pt idx="27">
                  <c:v>268.937271707604</c:v>
                </c:pt>
                <c:pt idx="28">
                  <c:v>292.81207401219939</c:v>
                </c:pt>
                <c:pt idx="29">
                  <c:v>316.6434228832116</c:v>
                </c:pt>
                <c:pt idx="30">
                  <c:v>269.35300846866886</c:v>
                </c:pt>
                <c:pt idx="31">
                  <c:v>292.10419610311448</c:v>
                </c:pt>
                <c:pt idx="32">
                  <c:v>314.81582036526123</c:v>
                </c:pt>
                <c:pt idx="33">
                  <c:v>337.49113521169841</c:v>
                </c:pt>
                <c:pt idx="34">
                  <c:v>360.13292171154058</c:v>
                </c:pt>
                <c:pt idx="35">
                  <c:v>382.7435828005319</c:v>
                </c:pt>
                <c:pt idx="36">
                  <c:v>405.32521445817457</c:v>
                </c:pt>
                <c:pt idx="37">
                  <c:v>329.4126064318221</c:v>
                </c:pt>
                <c:pt idx="38">
                  <c:v>350.53333414543209</c:v>
                </c:pt>
                <c:pt idx="39">
                  <c:v>371.62616153000363</c:v>
                </c:pt>
                <c:pt idx="40">
                  <c:v>392.69289393638411</c:v>
                </c:pt>
                <c:pt idx="41">
                  <c:v>413.73512729115561</c:v>
                </c:pt>
                <c:pt idx="42">
                  <c:v>434.75428202454617</c:v>
                </c:pt>
                <c:pt idx="43">
                  <c:v>455.75163009422175</c:v>
                </c:pt>
                <c:pt idx="44">
                  <c:v>476.72831676952774</c:v>
                </c:pt>
                <c:pt idx="45">
                  <c:v>396.35779730493226</c:v>
                </c:pt>
                <c:pt idx="46">
                  <c:v>414.98937924648521</c:v>
                </c:pt>
                <c:pt idx="47">
                  <c:v>433.6029274137598</c:v>
                </c:pt>
                <c:pt idx="48">
                  <c:v>452.19932449243839</c:v>
                </c:pt>
                <c:pt idx="49">
                  <c:v>470.77937468285745</c:v>
                </c:pt>
                <c:pt idx="50">
                  <c:v>489.34381356425803</c:v>
                </c:pt>
                <c:pt idx="51">
                  <c:v>507.89331638456366</c:v>
                </c:pt>
                <c:pt idx="52">
                  <c:v>526.42850507644698</c:v>
                </c:pt>
                <c:pt idx="53">
                  <c:v>447.55932636655098</c:v>
                </c:pt>
                <c:pt idx="54">
                  <c:v>464.23574904580914</c:v>
                </c:pt>
                <c:pt idx="55">
                  <c:v>480.89940004934442</c:v>
                </c:pt>
                <c:pt idx="56">
                  <c:v>497.55078403848285</c:v>
                </c:pt>
                <c:pt idx="57">
                  <c:v>514.19036915679942</c:v>
                </c:pt>
                <c:pt idx="58">
                  <c:v>530.81859079314563</c:v>
                </c:pt>
                <c:pt idx="59">
                  <c:v>547.43585484879611</c:v>
                </c:pt>
                <c:pt idx="60">
                  <c:v>564.04254058742856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1.8331935690498111</c:v>
                </c:pt>
                <c:pt idx="2">
                  <c:v>2.2615461053120742</c:v>
                </c:pt>
                <c:pt idx="3">
                  <c:v>2.7903800073445528</c:v>
                </c:pt>
                <c:pt idx="4">
                  <c:v>3.4433524350338836</c:v>
                </c:pt>
                <c:pt idx="5">
                  <c:v>4.249709483078604</c:v>
                </c:pt>
                <c:pt idx="6">
                  <c:v>5.2456107620330483</c:v>
                </c:pt>
                <c:pt idx="7">
                  <c:v>6.475768829717893</c:v>
                </c:pt>
                <c:pt idx="8">
                  <c:v>7.9954785143283473</c:v>
                </c:pt>
                <c:pt idx="9">
                  <c:v>9.8731290999373016</c:v>
                </c:pt>
                <c:pt idx="10">
                  <c:v>12.19331456783428</c:v>
                </c:pt>
                <c:pt idx="11">
                  <c:v>15.060684633434063</c:v>
                </c:pt>
                <c:pt idx="12">
                  <c:v>18.60471346613598</c:v>
                </c:pt>
                <c:pt idx="13">
                  <c:v>22.985605313578915</c:v>
                </c:pt>
                <c:pt idx="14">
                  <c:v>28.401608738536027</c:v>
                </c:pt>
                <c:pt idx="15">
                  <c:v>35.098076255651343</c:v>
                </c:pt>
                <c:pt idx="16">
                  <c:v>43.378686852869599</c:v>
                </c:pt>
                <c:pt idx="17">
                  <c:v>53.619348953910503</c:v>
                </c:pt>
                <c:pt idx="18">
                  <c:v>66.285425482941505</c:v>
                </c:pt>
                <c:pt idx="19">
                  <c:v>81.953076612541665</c:v>
                </c:pt>
                <c:pt idx="20">
                  <c:v>101.33570668607211</c:v>
                </c:pt>
                <c:pt idx="21">
                  <c:v>125.31673860987443</c:v>
                </c:pt>
                <c:pt idx="22">
                  <c:v>154.99023276008774</c:v>
                </c:pt>
                <c:pt idx="23">
                  <c:v>105.84796141179943</c:v>
                </c:pt>
                <c:pt idx="24">
                  <c:v>119.68808546934416</c:v>
                </c:pt>
                <c:pt idx="25">
                  <c:v>133.48918256301928</c:v>
                </c:pt>
                <c:pt idx="26">
                  <c:v>147.2558609521659</c:v>
                </c:pt>
                <c:pt idx="27">
                  <c:v>160.9917946805476</c:v>
                </c:pt>
                <c:pt idx="28">
                  <c:v>174.69997838004591</c:v>
                </c:pt>
                <c:pt idx="29">
                  <c:v>188.38289757944074</c:v>
                </c:pt>
                <c:pt idx="30">
                  <c:v>163.58152579139198</c:v>
                </c:pt>
                <c:pt idx="31">
                  <c:v>177.39635491856583</c:v>
                </c:pt>
                <c:pt idx="32">
                  <c:v>191.18595300859181</c:v>
                </c:pt>
                <c:pt idx="33">
                  <c:v>204.95239713347596</c:v>
                </c:pt>
                <c:pt idx="34">
                  <c:v>218.69746225262691</c:v>
                </c:pt>
                <c:pt idx="35">
                  <c:v>232.422681796706</c:v>
                </c:pt>
                <c:pt idx="36">
                  <c:v>246.12939316547718</c:v>
                </c:pt>
                <c:pt idx="37">
                  <c:v>208.05729869353047</c:v>
                </c:pt>
                <c:pt idx="38">
                  <c:v>221.11601160784588</c:v>
                </c:pt>
                <c:pt idx="39">
                  <c:v>234.15702663802938</c:v>
                </c:pt>
                <c:pt idx="40">
                  <c:v>247.18146869431629</c:v>
                </c:pt>
                <c:pt idx="41">
                  <c:v>260.19033438240206</c:v>
                </c:pt>
                <c:pt idx="42">
                  <c:v>273.18451245863395</c:v>
                </c:pt>
                <c:pt idx="43">
                  <c:v>286.16480018577778</c:v>
                </c:pt>
                <c:pt idx="44">
                  <c:v>299.13191656343071</c:v>
                </c:pt>
                <c:pt idx="45">
                  <c:v>258.92899440875016</c:v>
                </c:pt>
                <c:pt idx="46">
                  <c:v>270.80568780661929</c:v>
                </c:pt>
                <c:pt idx="47">
                  <c:v>282.67066496782417</c:v>
                </c:pt>
                <c:pt idx="48">
                  <c:v>294.52448718845449</c:v>
                </c:pt>
                <c:pt idx="49">
                  <c:v>306.36766687219836</c:v>
                </c:pt>
                <c:pt idx="50">
                  <c:v>318.20067355505216</c:v>
                </c:pt>
                <c:pt idx="51">
                  <c:v>330.0239389865074</c:v>
                </c:pt>
                <c:pt idx="52">
                  <c:v>341.83786144418076</c:v>
                </c:pt>
                <c:pt idx="53">
                  <c:v>295.80363786843719</c:v>
                </c:pt>
                <c:pt idx="54">
                  <c:v>306.35542169661886</c:v>
                </c:pt>
                <c:pt idx="55">
                  <c:v>316.89912950339476</c:v>
                </c:pt>
                <c:pt idx="56">
                  <c:v>327.43506800740573</c:v>
                </c:pt>
                <c:pt idx="57">
                  <c:v>337.96352256705677</c:v>
                </c:pt>
                <c:pt idx="58">
                  <c:v>348.48475930149465</c:v>
                </c:pt>
                <c:pt idx="59">
                  <c:v>358.99902694195106</c:v>
                </c:pt>
                <c:pt idx="60">
                  <c:v>369.50655845478735</c:v>
                </c:pt>
                <c:pt idx="61">
                  <c:v>327.91069603390139</c:v>
                </c:pt>
                <c:pt idx="62">
                  <c:v>337.20503376871898</c:v>
                </c:pt>
                <c:pt idx="63">
                  <c:v>346.49373249164313</c:v>
                </c:pt>
                <c:pt idx="64">
                  <c:v>355.77696477978776</c:v>
                </c:pt>
                <c:pt idx="65">
                  <c:v>365.05489346385662</c:v>
                </c:pt>
                <c:pt idx="66">
                  <c:v>374.3276724176763</c:v>
                </c:pt>
                <c:pt idx="67">
                  <c:v>383.5954472653807</c:v>
                </c:pt>
                <c:pt idx="68">
                  <c:v>392.85835601665889</c:v>
                </c:pt>
                <c:pt idx="69">
                  <c:v>402.11652963894318</c:v>
                </c:pt>
                <c:pt idx="70">
                  <c:v>411.37009257413524</c:v>
                </c:pt>
                <c:pt idx="71">
                  <c:v>358.42885881924553</c:v>
                </c:pt>
                <c:pt idx="72">
                  <c:v>366.41856983155566</c:v>
                </c:pt>
                <c:pt idx="73">
                  <c:v>374.40447734287676</c:v>
                </c:pt>
                <c:pt idx="74">
                  <c:v>382.38667398041849</c:v>
                </c:pt>
                <c:pt idx="75">
                  <c:v>390.36524818605068</c:v>
                </c:pt>
                <c:pt idx="76">
                  <c:v>398.34028448897016</c:v>
                </c:pt>
                <c:pt idx="77">
                  <c:v>406.31186375538414</c:v>
                </c:pt>
                <c:pt idx="78">
                  <c:v>414.28006341756708</c:v>
                </c:pt>
                <c:pt idx="79">
                  <c:v>422.24495768437095</c:v>
                </c:pt>
                <c:pt idx="80">
                  <c:v>430.20661773501519</c:v>
                </c:pt>
                <c:pt idx="81">
                  <c:v>388.47113228473592</c:v>
                </c:pt>
                <c:pt idx="82">
                  <c:v>395.37669202749157</c:v>
                </c:pt>
                <c:pt idx="83">
                  <c:v>402.27963829194204</c:v>
                </c:pt>
                <c:pt idx="84">
                  <c:v>409.18002228513274</c:v>
                </c:pt>
                <c:pt idx="85">
                  <c:v>416.07789334479259</c:v>
                </c:pt>
                <c:pt idx="86">
                  <c:v>422.97329903811834</c:v>
                </c:pt>
                <c:pt idx="87">
                  <c:v>429.86628525377608</c:v>
                </c:pt>
                <c:pt idx="88">
                  <c:v>436.75689628769368</c:v>
                </c:pt>
                <c:pt idx="89">
                  <c:v>443.64517492315241</c:v>
                </c:pt>
                <c:pt idx="90">
                  <c:v>450.53116250564494</c:v>
                </c:pt>
                <c:pt idx="91">
                  <c:v>407.2501171995537</c:v>
                </c:pt>
                <c:pt idx="92">
                  <c:v>413.21685614804073</c:v>
                </c:pt>
                <c:pt idx="93">
                  <c:v>419.18173628431776</c:v>
                </c:pt>
                <c:pt idx="94">
                  <c:v>425.14478781308276</c:v>
                </c:pt>
                <c:pt idx="95">
                  <c:v>431.10604002190604</c:v>
                </c:pt>
                <c:pt idx="96">
                  <c:v>437.06552132165683</c:v>
                </c:pt>
                <c:pt idx="97">
                  <c:v>443.02325928460942</c:v>
                </c:pt>
                <c:pt idx="98">
                  <c:v>448.97928068039045</c:v>
                </c:pt>
                <c:pt idx="99">
                  <c:v>454.93361150991905</c:v>
                </c:pt>
                <c:pt idx="100">
                  <c:v>460.8862770374771</c:v>
                </c:pt>
                <c:pt idx="101">
                  <c:v>195.08270513965763</c:v>
                </c:pt>
                <c:pt idx="102">
                  <c:v>198.11729808134328</c:v>
                </c:pt>
                <c:pt idx="103">
                  <c:v>201.15081237442573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D52" sqref="D52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9" t="s">
        <v>291</v>
      </c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</row>
    <row r="13" spans="2:13" ht="15" customHeight="1" x14ac:dyDescent="0.3"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</row>
    <row r="14" spans="2:13" ht="15" customHeight="1" x14ac:dyDescent="0.3"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</row>
    <row r="15" spans="2:13" ht="18.75" customHeight="1" x14ac:dyDescent="0.3"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</row>
    <row r="16" spans="2:13" ht="18.75" customHeight="1" x14ac:dyDescent="0.3"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</row>
    <row r="18" spans="2:13" ht="12" customHeight="1" x14ac:dyDescent="0.3">
      <c r="B18" s="259" t="s">
        <v>292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</row>
    <row r="19" spans="2:13" ht="12" customHeight="1" x14ac:dyDescent="0.3"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</row>
    <row r="20" spans="2:13" ht="12" customHeight="1" x14ac:dyDescent="0.3"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</row>
    <row r="21" spans="2:13" ht="12" customHeight="1" x14ac:dyDescent="0.3"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</row>
    <row r="22" spans="2:13" ht="12" customHeight="1" x14ac:dyDescent="0.3"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</row>
    <row r="23" spans="2:13" ht="12" customHeight="1" x14ac:dyDescent="0.3"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</row>
    <row r="24" spans="2:13" ht="12" customHeight="1" x14ac:dyDescent="0.3"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</row>
    <row r="25" spans="2:13" ht="12" customHeight="1" x14ac:dyDescent="0.3"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</row>
    <row r="26" spans="2:13" ht="12" customHeight="1" x14ac:dyDescent="0.3"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</row>
    <row r="27" spans="2:13" ht="12" customHeight="1" x14ac:dyDescent="0.3"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</row>
    <row r="28" spans="2:13" ht="12" customHeight="1" x14ac:dyDescent="0.3"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</row>
    <row r="29" spans="2:13" ht="12" customHeight="1" x14ac:dyDescent="0.3"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</row>
    <row r="30" spans="2:13" ht="12" customHeight="1" x14ac:dyDescent="0.3"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</row>
    <row r="31" spans="2:13" ht="12" customHeight="1" x14ac:dyDescent="0.3"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" zoomScale="80" zoomScaleNormal="80" workbookViewId="0">
      <selection activeCell="F21" sqref="F2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4" t="s">
        <v>190</v>
      </c>
      <c r="D1" s="264"/>
      <c r="E1" s="26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5" t="s">
        <v>192</v>
      </c>
      <c r="C3" s="266"/>
      <c r="D3" s="266"/>
      <c r="E3" s="266"/>
      <c r="F3" s="267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0" t="s">
        <v>231</v>
      </c>
      <c r="B5" s="270"/>
      <c r="C5" s="24">
        <v>1.1399999999999999</v>
      </c>
      <c r="D5" s="271" t="s">
        <v>229</v>
      </c>
      <c r="E5" s="272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9" t="s">
        <v>226</v>
      </c>
      <c r="B7" s="269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0.68</v>
      </c>
      <c r="D9" s="33">
        <f t="shared" ref="D9:D18" si="0">C9*$C$5</f>
        <v>0.7752</v>
      </c>
      <c r="E9" s="34">
        <v>60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14</v>
      </c>
      <c r="C10" s="32">
        <v>0.12</v>
      </c>
      <c r="D10" s="33">
        <f t="shared" si="0"/>
        <v>0.13679999999999998</v>
      </c>
      <c r="E10" s="34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41</v>
      </c>
      <c r="C11" s="32">
        <v>0.2</v>
      </c>
      <c r="D11" s="33">
        <f t="shared" si="0"/>
        <v>0.22799999999999998</v>
      </c>
      <c r="E11" s="34">
        <v>103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1.1399999999999999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8" t="s">
        <v>232</v>
      </c>
      <c r="B22" s="268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9" t="s">
        <v>227</v>
      </c>
      <c r="B30" s="269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17</v>
      </c>
      <c r="B36" s="60">
        <v>122.32</v>
      </c>
      <c r="C36" s="60">
        <v>1</v>
      </c>
      <c r="D36" s="60">
        <v>40.76</v>
      </c>
      <c r="E36" s="51">
        <v>0</v>
      </c>
      <c r="F36" s="51">
        <v>1</v>
      </c>
      <c r="G36" s="51">
        <v>0</v>
      </c>
      <c r="H36" s="51">
        <v>0</v>
      </c>
      <c r="I36" s="49">
        <f>IFERROR(B36/A36,"")</f>
        <v>7.1952941176470588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23</v>
      </c>
      <c r="B37" s="60">
        <v>187.68</v>
      </c>
      <c r="C37" s="60">
        <v>2</v>
      </c>
      <c r="D37" s="60">
        <v>57.75</v>
      </c>
      <c r="E37" s="51">
        <v>0.1</v>
      </c>
      <c r="F37" s="51">
        <v>0.8</v>
      </c>
      <c r="G37" s="51">
        <v>0</v>
      </c>
      <c r="H37" s="51">
        <v>0.1</v>
      </c>
      <c r="I37" s="53">
        <f t="shared" ref="I37:I55" si="1">IF(A37&lt;&gt;0,(B37-(B36-D36))/(A37-A36),"")</f>
        <v>17.686666666666667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29</v>
      </c>
      <c r="B38" s="60">
        <v>241.61</v>
      </c>
      <c r="C38" s="60">
        <v>3</v>
      </c>
      <c r="D38" s="60">
        <v>54.64</v>
      </c>
      <c r="E38" s="51">
        <v>0.1</v>
      </c>
      <c r="F38" s="51">
        <v>0.8</v>
      </c>
      <c r="G38" s="51">
        <v>0</v>
      </c>
      <c r="H38" s="51">
        <v>0.1</v>
      </c>
      <c r="I38" s="53">
        <f t="shared" si="1"/>
        <v>18.613333333333333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36</v>
      </c>
      <c r="B39" s="60">
        <v>311.13</v>
      </c>
      <c r="C39" s="60">
        <v>4</v>
      </c>
      <c r="D39" s="60">
        <v>76.069999999999993</v>
      </c>
      <c r="E39" s="51">
        <v>0.3</v>
      </c>
      <c r="F39" s="51">
        <v>0.5</v>
      </c>
      <c r="G39" s="51">
        <v>0</v>
      </c>
      <c r="H39" s="51">
        <v>0.2</v>
      </c>
      <c r="I39" s="49">
        <f t="shared" si="1"/>
        <v>17.737142857142853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44</v>
      </c>
      <c r="B40" s="60">
        <v>367.35</v>
      </c>
      <c r="C40" s="60">
        <v>5</v>
      </c>
      <c r="D40" s="60">
        <v>77.91</v>
      </c>
      <c r="E40" s="51">
        <v>0.3</v>
      </c>
      <c r="F40" s="51">
        <v>0.5</v>
      </c>
      <c r="G40" s="51">
        <v>0</v>
      </c>
      <c r="H40" s="51">
        <v>0.2</v>
      </c>
      <c r="I40" s="49">
        <f t="shared" si="1"/>
        <v>16.536250000000003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52</v>
      </c>
      <c r="B41" s="60">
        <v>406.59</v>
      </c>
      <c r="C41" s="60">
        <v>6</v>
      </c>
      <c r="D41" s="60">
        <v>75.37</v>
      </c>
      <c r="E41" s="51">
        <v>0.7</v>
      </c>
      <c r="F41" s="51">
        <v>0.3</v>
      </c>
      <c r="G41" s="51">
        <v>0</v>
      </c>
      <c r="H41" s="51">
        <v>0</v>
      </c>
      <c r="I41" s="53">
        <f t="shared" si="1"/>
        <v>14.64374999999999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60</v>
      </c>
      <c r="B42" s="60">
        <v>436.34</v>
      </c>
      <c r="C42" s="60">
        <v>7</v>
      </c>
      <c r="D42" s="60">
        <v>436.34</v>
      </c>
      <c r="E42" s="51">
        <v>0.7</v>
      </c>
      <c r="F42" s="51">
        <v>0.3</v>
      </c>
      <c r="G42" s="51">
        <v>0</v>
      </c>
      <c r="H42" s="51">
        <v>0</v>
      </c>
      <c r="I42" s="53">
        <f t="shared" si="1"/>
        <v>13.14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42</v>
      </c>
      <c r="B62" s="60">
        <v>163.26</v>
      </c>
      <c r="C62" s="60">
        <v>1</v>
      </c>
      <c r="D62" s="60">
        <v>43.21</v>
      </c>
      <c r="E62" s="51">
        <v>0.3</v>
      </c>
      <c r="F62" s="51">
        <v>0</v>
      </c>
      <c r="G62" s="51">
        <v>0</v>
      </c>
      <c r="H62" s="51">
        <v>0.7</v>
      </c>
      <c r="I62" s="53">
        <f>IFERROR(B62/A62,"")</f>
        <v>3.887142857142857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50</v>
      </c>
      <c r="B63" s="60">
        <v>195.02</v>
      </c>
      <c r="C63" s="60">
        <v>2</v>
      </c>
      <c r="D63" s="60">
        <v>35.58</v>
      </c>
      <c r="E63" s="51">
        <v>0.3</v>
      </c>
      <c r="F63" s="51">
        <v>0</v>
      </c>
      <c r="G63" s="51">
        <v>0</v>
      </c>
      <c r="H63" s="51">
        <v>0.7</v>
      </c>
      <c r="I63" s="49">
        <f>IF(A63&lt;&gt;0,(B63-(B62-D62))/(A63-A62),"")</f>
        <v>9.3712500000000034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58</v>
      </c>
      <c r="B64" s="60">
        <v>235.87</v>
      </c>
      <c r="C64" s="60">
        <v>3</v>
      </c>
      <c r="D64" s="60">
        <v>44.93</v>
      </c>
      <c r="E64" s="51">
        <v>0.3</v>
      </c>
      <c r="F64" s="51">
        <v>0</v>
      </c>
      <c r="G64" s="51">
        <v>0</v>
      </c>
      <c r="H64" s="51">
        <v>0.7</v>
      </c>
      <c r="I64" s="49">
        <f>IF(A64&lt;&gt;0,(B64-(B63-D63))/(A64-A63),"")</f>
        <v>9.5537500000000009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66</v>
      </c>
      <c r="B65" s="60">
        <v>264.95999999999998</v>
      </c>
      <c r="C65" s="60">
        <v>4</v>
      </c>
      <c r="D65" s="60">
        <v>49.91</v>
      </c>
      <c r="E65" s="51">
        <v>0.6</v>
      </c>
      <c r="F65" s="51">
        <v>0</v>
      </c>
      <c r="G65" s="51">
        <v>0</v>
      </c>
      <c r="H65" s="51">
        <v>0.4</v>
      </c>
      <c r="I65" s="49">
        <f>IF(A65&lt;&gt;0,(B65-(B64-D64))/(A65-A64),"")</f>
        <v>9.2524999999999977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74</v>
      </c>
      <c r="B66" s="60">
        <v>285.98</v>
      </c>
      <c r="C66" s="60">
        <v>5</v>
      </c>
      <c r="D66" s="60">
        <v>47.4</v>
      </c>
      <c r="E66" s="51">
        <v>0.6</v>
      </c>
      <c r="F66" s="51">
        <v>0</v>
      </c>
      <c r="G66" s="51">
        <v>0</v>
      </c>
      <c r="H66" s="51">
        <v>0.4</v>
      </c>
      <c r="I66" s="49">
        <f t="shared" ref="I66:I81" si="2">IF(A66&lt;&gt;0,(B66-(B65-D65))/(A66-A65),"")</f>
        <v>8.8662500000000044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84</v>
      </c>
      <c r="B67" s="60">
        <v>325.35000000000002</v>
      </c>
      <c r="C67" s="60">
        <v>6</v>
      </c>
      <c r="D67" s="60">
        <v>61.47</v>
      </c>
      <c r="E67" s="51">
        <v>0.6</v>
      </c>
      <c r="F67" s="51">
        <v>0</v>
      </c>
      <c r="G67" s="51">
        <v>0</v>
      </c>
      <c r="H67" s="51">
        <v>0.4</v>
      </c>
      <c r="I67" s="49">
        <f t="shared" si="2"/>
        <v>8.6770000000000014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94</v>
      </c>
      <c r="B68" s="60">
        <v>346.79</v>
      </c>
      <c r="C68" s="60">
        <v>7</v>
      </c>
      <c r="D68" s="60">
        <v>61.85</v>
      </c>
      <c r="E68" s="51">
        <v>0.6</v>
      </c>
      <c r="F68" s="51">
        <v>0</v>
      </c>
      <c r="G68" s="51">
        <v>0</v>
      </c>
      <c r="H68" s="51">
        <v>0.4</v>
      </c>
      <c r="I68" s="49">
        <f t="shared" si="2"/>
        <v>8.2910000000000021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104</v>
      </c>
      <c r="B69" s="50">
        <v>365.41</v>
      </c>
      <c r="C69" s="50">
        <v>8</v>
      </c>
      <c r="D69" s="50">
        <v>60.19</v>
      </c>
      <c r="E69" s="51">
        <v>0.6</v>
      </c>
      <c r="F69" s="51">
        <v>0</v>
      </c>
      <c r="G69" s="51">
        <v>0</v>
      </c>
      <c r="H69" s="51">
        <v>0.4</v>
      </c>
      <c r="I69" s="49">
        <f t="shared" si="2"/>
        <v>8.0470000000000024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114</v>
      </c>
      <c r="B70" s="50">
        <v>384.57</v>
      </c>
      <c r="C70" s="50">
        <v>9</v>
      </c>
      <c r="D70" s="50">
        <v>56.07</v>
      </c>
      <c r="E70" s="51">
        <v>0.6</v>
      </c>
      <c r="F70" s="51">
        <v>0</v>
      </c>
      <c r="G70" s="51">
        <v>0</v>
      </c>
      <c r="H70" s="51">
        <v>0.4</v>
      </c>
      <c r="I70" s="49">
        <f t="shared" si="2"/>
        <v>7.9349999999999969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124</v>
      </c>
      <c r="B71" s="50">
        <v>408.42</v>
      </c>
      <c r="C71" s="50">
        <v>10</v>
      </c>
      <c r="D71" s="50">
        <v>52.53</v>
      </c>
      <c r="E71" s="51">
        <v>0.6</v>
      </c>
      <c r="F71" s="51">
        <v>0</v>
      </c>
      <c r="G71" s="51">
        <v>0</v>
      </c>
      <c r="H71" s="51">
        <v>0.4</v>
      </c>
      <c r="I71" s="49">
        <f t="shared" si="2"/>
        <v>7.9920000000000018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134</v>
      </c>
      <c r="B72" s="50">
        <v>436.59</v>
      </c>
      <c r="C72" s="50">
        <v>11</v>
      </c>
      <c r="D72" s="50">
        <v>54.95</v>
      </c>
      <c r="E72" s="51">
        <v>0.6</v>
      </c>
      <c r="F72" s="51">
        <v>0</v>
      </c>
      <c r="G72" s="51">
        <v>0</v>
      </c>
      <c r="H72" s="51">
        <v>0.4</v>
      </c>
      <c r="I72" s="49">
        <f t="shared" si="2"/>
        <v>8.0699999999999985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144</v>
      </c>
      <c r="B73" s="50">
        <v>463.23</v>
      </c>
      <c r="C73" s="50">
        <v>12</v>
      </c>
      <c r="D73" s="50">
        <v>56.01</v>
      </c>
      <c r="E73" s="51">
        <v>0.6</v>
      </c>
      <c r="F73" s="51">
        <v>0</v>
      </c>
      <c r="G73" s="51">
        <v>0</v>
      </c>
      <c r="H73" s="51">
        <v>0.4</v>
      </c>
      <c r="I73" s="49">
        <f t="shared" si="2"/>
        <v>8.1590000000000025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154</v>
      </c>
      <c r="B74" s="50">
        <v>490.47</v>
      </c>
      <c r="C74" s="50">
        <v>13</v>
      </c>
      <c r="D74" s="50">
        <v>55.13</v>
      </c>
      <c r="E74" s="51">
        <v>0.6</v>
      </c>
      <c r="F74" s="51">
        <v>0</v>
      </c>
      <c r="G74" s="51">
        <v>0</v>
      </c>
      <c r="H74" s="51">
        <v>0.4</v>
      </c>
      <c r="I74" s="49">
        <f t="shared" si="2"/>
        <v>8.3249999999999993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164</v>
      </c>
      <c r="B75" s="50">
        <v>519.77</v>
      </c>
      <c r="C75" s="50">
        <v>14</v>
      </c>
      <c r="D75" s="50">
        <v>59.58</v>
      </c>
      <c r="E75" s="51">
        <v>0.6</v>
      </c>
      <c r="F75" s="51">
        <v>0</v>
      </c>
      <c r="G75" s="51">
        <v>0</v>
      </c>
      <c r="H75" s="51">
        <v>0.4</v>
      </c>
      <c r="I75" s="49">
        <f t="shared" si="2"/>
        <v>8.4429999999999943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174</v>
      </c>
      <c r="B76" s="50">
        <v>545.65</v>
      </c>
      <c r="C76" s="50">
        <v>15</v>
      </c>
      <c r="D76" s="50">
        <v>214.77</v>
      </c>
      <c r="E76" s="51">
        <v>0.6</v>
      </c>
      <c r="F76" s="51">
        <v>0</v>
      </c>
      <c r="G76" s="51">
        <v>0</v>
      </c>
      <c r="H76" s="51">
        <v>0.4</v>
      </c>
      <c r="I76" s="49">
        <f t="shared" si="2"/>
        <v>8.5459999999999976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177</v>
      </c>
      <c r="B77" s="50">
        <v>347.04</v>
      </c>
      <c r="C77" s="50">
        <v>16</v>
      </c>
      <c r="D77" s="50">
        <v>115.19</v>
      </c>
      <c r="E77" s="51">
        <v>0.6</v>
      </c>
      <c r="F77" s="51">
        <v>0</v>
      </c>
      <c r="G77" s="51">
        <v>0</v>
      </c>
      <c r="H77" s="51">
        <v>0.4</v>
      </c>
      <c r="I77" s="49">
        <f t="shared" si="2"/>
        <v>5.3866666666666747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180</v>
      </c>
      <c r="B78" s="50">
        <v>241.62</v>
      </c>
      <c r="C78" s="50">
        <v>17</v>
      </c>
      <c r="D78" s="50">
        <v>77.72</v>
      </c>
      <c r="E78" s="51">
        <v>0.6</v>
      </c>
      <c r="F78" s="51">
        <v>0</v>
      </c>
      <c r="G78" s="51">
        <v>0</v>
      </c>
      <c r="H78" s="51">
        <v>0.4</v>
      </c>
      <c r="I78" s="49">
        <f t="shared" si="2"/>
        <v>3.2566666666666606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183</v>
      </c>
      <c r="B79" s="50">
        <v>169.76</v>
      </c>
      <c r="C79" s="50">
        <v>18</v>
      </c>
      <c r="D79" s="50">
        <v>169.76</v>
      </c>
      <c r="E79" s="51">
        <v>0.6</v>
      </c>
      <c r="F79" s="51">
        <v>0</v>
      </c>
      <c r="G79" s="51">
        <v>0</v>
      </c>
      <c r="H79" s="51">
        <v>0.4</v>
      </c>
      <c r="I79" s="49">
        <f t="shared" si="2"/>
        <v>1.9533333333333285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sylvestre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22</v>
      </c>
      <c r="B88" s="60">
        <v>121.42</v>
      </c>
      <c r="C88" s="60">
        <v>1</v>
      </c>
      <c r="D88" s="60">
        <v>50.38</v>
      </c>
      <c r="E88" s="51">
        <v>0</v>
      </c>
      <c r="F88" s="51">
        <v>1</v>
      </c>
      <c r="G88" s="51">
        <v>0</v>
      </c>
      <c r="H88" s="87">
        <v>0</v>
      </c>
      <c r="I88" s="53">
        <f>IFERROR(B88/A88,"")</f>
        <v>5.5190909090909095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29</v>
      </c>
      <c r="B89" s="60">
        <v>148.33000000000001</v>
      </c>
      <c r="C89" s="60">
        <v>2</v>
      </c>
      <c r="D89" s="60">
        <v>31.13</v>
      </c>
      <c r="E89" s="51">
        <v>0</v>
      </c>
      <c r="F89" s="51">
        <v>1</v>
      </c>
      <c r="G89" s="51">
        <v>0</v>
      </c>
      <c r="H89" s="87">
        <v>0</v>
      </c>
      <c r="I89" s="53">
        <f t="shared" ref="I89:I107" si="3">IF(A89&lt;&gt;0,(B89-(B88-D88))/(A89-A88),"")</f>
        <v>11.041428571428574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36</v>
      </c>
      <c r="B90" s="60">
        <v>195.12</v>
      </c>
      <c r="C90" s="60">
        <v>3</v>
      </c>
      <c r="D90" s="60">
        <v>41.46</v>
      </c>
      <c r="E90" s="87">
        <v>0</v>
      </c>
      <c r="F90" s="87">
        <v>1</v>
      </c>
      <c r="G90" s="87">
        <v>0</v>
      </c>
      <c r="H90" s="87">
        <v>0</v>
      </c>
      <c r="I90" s="53">
        <f t="shared" si="3"/>
        <v>11.13142857142857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44</v>
      </c>
      <c r="B91" s="60">
        <v>238.29</v>
      </c>
      <c r="C91" s="60">
        <v>4</v>
      </c>
      <c r="D91" s="60">
        <v>42.43</v>
      </c>
      <c r="E91" s="87">
        <v>0.5</v>
      </c>
      <c r="F91" s="87">
        <v>0.5</v>
      </c>
      <c r="G91" s="87">
        <v>0</v>
      </c>
      <c r="H91" s="87">
        <v>0</v>
      </c>
      <c r="I91" s="53">
        <f t="shared" si="3"/>
        <v>10.578749999999999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52</v>
      </c>
      <c r="B92" s="60">
        <v>273.2</v>
      </c>
      <c r="C92" s="60">
        <v>5</v>
      </c>
      <c r="D92" s="60">
        <v>46.24</v>
      </c>
      <c r="E92" s="87">
        <v>0.7</v>
      </c>
      <c r="F92" s="87">
        <v>0.3</v>
      </c>
      <c r="G92" s="87">
        <v>0</v>
      </c>
      <c r="H92" s="87">
        <v>0</v>
      </c>
      <c r="I92" s="53">
        <f t="shared" si="3"/>
        <v>9.6675000000000004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60</v>
      </c>
      <c r="B93" s="60">
        <v>295.87</v>
      </c>
      <c r="C93" s="60">
        <v>6</v>
      </c>
      <c r="D93" s="60">
        <v>41.67</v>
      </c>
      <c r="E93" s="87">
        <v>0.7</v>
      </c>
      <c r="F93" s="87">
        <v>0.3</v>
      </c>
      <c r="G93" s="87">
        <v>0</v>
      </c>
      <c r="H93" s="87">
        <v>0</v>
      </c>
      <c r="I93" s="53">
        <f t="shared" si="3"/>
        <v>8.6137500000000031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70</v>
      </c>
      <c r="B94" s="60">
        <v>330.24</v>
      </c>
      <c r="C94" s="60">
        <v>7</v>
      </c>
      <c r="D94" s="60">
        <v>50</v>
      </c>
      <c r="E94" s="87">
        <v>0.7</v>
      </c>
      <c r="F94" s="87">
        <v>0.3</v>
      </c>
      <c r="G94" s="87">
        <v>0</v>
      </c>
      <c r="H94" s="87">
        <v>0</v>
      </c>
      <c r="I94" s="53">
        <f t="shared" si="3"/>
        <v>7.6040000000000019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80</v>
      </c>
      <c r="B95" s="60">
        <v>345.73</v>
      </c>
      <c r="C95" s="60">
        <v>8</v>
      </c>
      <c r="D95" s="60">
        <v>39.97</v>
      </c>
      <c r="E95" s="87">
        <v>0.7</v>
      </c>
      <c r="F95" s="87">
        <v>0.3</v>
      </c>
      <c r="G95" s="87">
        <v>0</v>
      </c>
      <c r="H95" s="87">
        <v>0</v>
      </c>
      <c r="I95" s="53">
        <f t="shared" si="3"/>
        <v>6.5490000000000013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90</v>
      </c>
      <c r="B96" s="60">
        <v>362.46</v>
      </c>
      <c r="C96" s="60">
        <v>9</v>
      </c>
      <c r="D96" s="60">
        <v>40.51</v>
      </c>
      <c r="E96" s="87">
        <v>0.7</v>
      </c>
      <c r="F96" s="87">
        <v>0.3</v>
      </c>
      <c r="G96" s="87">
        <v>0</v>
      </c>
      <c r="H96" s="87">
        <v>0</v>
      </c>
      <c r="I96" s="53">
        <f t="shared" si="3"/>
        <v>5.669999999999999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100</v>
      </c>
      <c r="B97" s="60">
        <v>370.99</v>
      </c>
      <c r="C97" s="60">
        <v>10</v>
      </c>
      <c r="D97" s="60">
        <v>219.7</v>
      </c>
      <c r="E97" s="87">
        <v>0.7</v>
      </c>
      <c r="F97" s="87">
        <v>0.3</v>
      </c>
      <c r="G97" s="87">
        <v>0</v>
      </c>
      <c r="H97" s="87">
        <v>0</v>
      </c>
      <c r="I97" s="53">
        <f t="shared" si="3"/>
        <v>4.9040000000000017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103</v>
      </c>
      <c r="B98" s="60">
        <v>158.65</v>
      </c>
      <c r="C98" s="60">
        <v>11</v>
      </c>
      <c r="D98" s="60">
        <v>158.65</v>
      </c>
      <c r="E98" s="87">
        <v>0.7</v>
      </c>
      <c r="F98" s="87">
        <v>0.3</v>
      </c>
      <c r="G98" s="87">
        <v>0</v>
      </c>
      <c r="H98" s="87">
        <v>0</v>
      </c>
      <c r="I98" s="53">
        <f t="shared" si="3"/>
        <v>2.4533333333333283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C24" sqref="C24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4" t="s">
        <v>191</v>
      </c>
      <c r="C2" s="275"/>
      <c r="D2" s="275"/>
      <c r="E2" s="275"/>
      <c r="F2" s="275"/>
      <c r="G2" s="27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3"/>
      <c r="C4" s="273"/>
      <c r="D4" s="273"/>
      <c r="E4" s="273"/>
      <c r="F4" s="273"/>
      <c r="G4" s="27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0" t="s">
        <v>176</v>
      </c>
      <c r="C1" s="281"/>
      <c r="D1" s="281"/>
      <c r="E1" s="281"/>
      <c r="F1" s="281"/>
      <c r="G1" s="281"/>
      <c r="H1" s="282"/>
      <c r="I1" s="277" t="str">
        <f>IF('Données projet'!$B$9="","",'Données projet'!$B$9)</f>
        <v>Pin maritime</v>
      </c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9"/>
      <c r="AD1" s="278" t="str">
        <f>IF('Données projet'!$B$10="","",'Données projet'!$B$10)</f>
        <v>Chêne sessile</v>
      </c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9"/>
      <c r="AY1" s="277" t="str">
        <f>IF('Données projet'!$B$11="","",'Données projet'!$B$11)</f>
        <v>Pin sylvestre</v>
      </c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9"/>
      <c r="BT1" s="277" t="str">
        <f>IF('Données projet'!$B$12="","",'Données projet'!$B$12)</f>
        <v/>
      </c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9"/>
      <c r="CO1" s="277" t="str">
        <f>IF('Données projet'!$B$13="","",'Données projet'!$B$13)</f>
        <v/>
      </c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9"/>
      <c r="DJ1" s="277" t="str">
        <f>IF('Données projet'!$B$14="","",'Données projet'!$B$14)</f>
        <v/>
      </c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9"/>
      <c r="EE1" s="277" t="str">
        <f>IF('Données projet'!$B$15="","",'Données projet'!$B$15)</f>
        <v/>
      </c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9"/>
      <c r="EZ1" s="277" t="str">
        <f>IF('Données projet'!$B$16="","",'Données projet'!$B$16)</f>
        <v/>
      </c>
      <c r="FA1" s="278"/>
      <c r="FB1" s="278"/>
      <c r="FC1" s="278"/>
      <c r="FD1" s="278"/>
      <c r="FE1" s="278"/>
      <c r="FF1" s="278"/>
      <c r="FG1" s="278"/>
      <c r="FH1" s="278"/>
      <c r="FI1" s="278"/>
      <c r="FJ1" s="278"/>
      <c r="FK1" s="278"/>
      <c r="FL1" s="278"/>
      <c r="FM1" s="278"/>
      <c r="FN1" s="278"/>
      <c r="FO1" s="278"/>
      <c r="FP1" s="278"/>
      <c r="FQ1" s="278"/>
      <c r="FR1" s="278"/>
      <c r="FS1" s="278"/>
      <c r="FT1" s="279"/>
      <c r="FU1" s="277" t="str">
        <f>IF('Données projet'!$B$17="","",'Données projet'!$B$17)</f>
        <v/>
      </c>
      <c r="FV1" s="278"/>
      <c r="FW1" s="278"/>
      <c r="FX1" s="278"/>
      <c r="FY1" s="278"/>
      <c r="FZ1" s="278"/>
      <c r="GA1" s="278"/>
      <c r="GB1" s="278"/>
      <c r="GC1" s="278"/>
      <c r="GD1" s="278"/>
      <c r="GE1" s="278"/>
      <c r="GF1" s="278"/>
      <c r="GG1" s="278"/>
      <c r="GH1" s="278"/>
      <c r="GI1" s="278"/>
      <c r="GJ1" s="278"/>
      <c r="GK1" s="278"/>
      <c r="GL1" s="278"/>
      <c r="GM1" s="278"/>
      <c r="GN1" s="278"/>
      <c r="GO1" s="279"/>
      <c r="GP1" s="277" t="str">
        <f>IF('Données projet'!$B$18="","",'Données projet'!$B$18)</f>
        <v/>
      </c>
      <c r="GQ1" s="278"/>
      <c r="GR1" s="278"/>
      <c r="GS1" s="278"/>
      <c r="GT1" s="278"/>
      <c r="GU1" s="278"/>
      <c r="GV1" s="278"/>
      <c r="GW1" s="278"/>
      <c r="GX1" s="278"/>
      <c r="GY1" s="278"/>
      <c r="GZ1" s="278"/>
      <c r="HA1" s="278"/>
      <c r="HB1" s="278"/>
      <c r="HC1" s="278"/>
      <c r="HD1" s="278"/>
      <c r="HE1" s="278"/>
      <c r="HF1" s="278"/>
      <c r="HG1" s="278"/>
      <c r="HH1" s="278"/>
      <c r="HI1" s="278"/>
      <c r="HJ1" s="279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300.80663531652721</v>
      </c>
      <c r="T3" s="59">
        <f>IF('Données projet'!E9&gt;30,$R$33-$H$33,LOOKUP('Données projet'!$E$9,$A$3:$A$203,R3:R203)-LOOKUP('Données projet'!$E$9,$A$3:$A$203,$H$3:$H$203))</f>
        <v>306.01967513533549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581.88778927327667</v>
      </c>
      <c r="AO3" s="59">
        <f>IF('Données projet'!E10&gt;30,$AM$33-$H$33,LOOKUP('Données projet'!$E$10,$A$3:$A$203,AM3:AM203)-LOOKUP('Données projet'!$E$10,$A$3:$A$203,$H$3:$H$203))</f>
        <v>269.67340993773422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292.09131652373259</v>
      </c>
      <c r="BJ3" s="59">
        <f>IF('Données projet'!E11&gt;30,$BH$33-$H$33,LOOKUP('Données projet'!$E$11,$A$3:$A$203,BH3:BH203)-LOOKUP('Données projet'!$E$11,$A$3:$A$203,$H$3:$H$203))</f>
        <v>200.24819245805861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7.1952941176470588</v>
      </c>
      <c r="N4" s="13">
        <f>IF('Données projet'!$A$36&gt;35,N3+M4-V3,IF(A4&lt;'Données projet'!$A$36,$K$205^A4,IF(A4='Données projet'!$A$36,'Données projet'!$B$36,N3+M4-V3)))</f>
        <v>1.3267648858502221</v>
      </c>
      <c r="O4" s="13">
        <f>N4*VLOOKUP('Données projet'!$B$9,Paramètres!$A$1:$I$89,3,0)*VLOOKUP('Données projet'!$B$9,Paramètres!$A$1:$I$89,5,0)</f>
        <v>0.79340540173843288</v>
      </c>
      <c r="P4" s="13">
        <f>EXP(-1.0587+0.8836*LN(O4)+0.284)</f>
        <v>0.37561764201183739</v>
      </c>
      <c r="Q4" s="20">
        <f t="shared" ref="Q4:Q34" si="2">(O4+P4)*0.475*44/12</f>
        <v>2.0360484678650539</v>
      </c>
      <c r="R4" s="59">
        <f t="shared" si="0"/>
        <v>259.9249373567539</v>
      </c>
      <c r="S4" s="59">
        <f ca="1">AVERAGE(OFFSET($R$3,0,0,'Données projet'!$E$9+1,1))-AVERAGE(OFFSET($H$3,0,0,'Données projet'!$E$9+1,1))</f>
        <v>300.80663531652721</v>
      </c>
      <c r="T4" s="59">
        <f>$T$3</f>
        <v>306.01967513533549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3.887142857142857</v>
      </c>
      <c r="AI4" s="13">
        <f>IF('Données projet'!$A$62&gt;35,AI3+AH4-AQ3,IF(A4&lt;'Données projet'!$A$62,$AF$205^A4,IF(A4='Données projet'!$A$62,'Données projet'!$B$62,AI3+AH4-AQ3)))</f>
        <v>3.887142857142857</v>
      </c>
      <c r="AJ4" s="13">
        <f>AI4*VLOOKUP('Données projet'!$B$10,Paramètres!$A$1:$I$89,3,0)*VLOOKUP('Données projet'!$B$10,Paramètres!$A$1:$I$89,5,0)</f>
        <v>3.5170868571428571</v>
      </c>
      <c r="AK4" s="13">
        <f>EXP(-1.0587+0.8836*LN(AJ4)+0.284)</f>
        <v>1.400101260019349</v>
      </c>
      <c r="AL4" s="20">
        <f t="shared" ref="AL4:AL67" si="4">(AJ4+AK4)*0.475*44/12</f>
        <v>8.5641026373908407</v>
      </c>
      <c r="AM4" s="59">
        <f t="shared" ref="AM4:AM67" si="5">AL4+(AD4+AE4)*44/12</f>
        <v>266.45299152627967</v>
      </c>
      <c r="AN4" s="59">
        <f ca="1">AVERAGE(OFFSET($AM$3,0,0,'Données projet'!$E$10+1,1))-AVERAGE(OFFSET($H$3,0,0,'Données projet'!$E$10+1,1))</f>
        <v>581.88778927327667</v>
      </c>
      <c r="AO4" s="59">
        <f>$AO$3</f>
        <v>269.67340993773422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5.5190909090909095</v>
      </c>
      <c r="BD4" s="12">
        <f>IF('Données projet'!$A$88&gt;35,BD3+BC4-BL3,IF(A4&lt;'Données projet'!$A$88,$BA$205^A4,IF(A4='Données projet'!$A$88,'Données projet'!$B$88,BD3+BC4-BL3)))</f>
        <v>1.2437711100600062</v>
      </c>
      <c r="BE4" s="13">
        <f>BD4*VLOOKUP('Données projet'!$B$11,Paramètres!$A$1:$I$89,3,0)*VLOOKUP('Données projet'!$B$11,Paramètres!$A$1:$I$89,5,0)</f>
        <v>0.71143707495432351</v>
      </c>
      <c r="BF4" s="13">
        <f>EXP(-1.0587+0.8836*LN(BE4)+0.284)</f>
        <v>0.34111425655752986</v>
      </c>
      <c r="BG4" s="20">
        <f t="shared" ref="BG4:BG67" si="7">(BE4+BF4)*0.475*44/12</f>
        <v>1.8331935690498111</v>
      </c>
      <c r="BH4" s="59">
        <f t="shared" ref="BH4:BH67" si="8">BG4+(AY4+AZ4)*44/12</f>
        <v>259.72208245793865</v>
      </c>
      <c r="BI4" s="59">
        <f ca="1">AVERAGE(OFFSET($BH$3,0,0,'Données projet'!$E$11+1,1))-AVERAGE(OFFSET($H$3,0,0,'Données projet'!$E$11+1,1))</f>
        <v>292.09131652373259</v>
      </c>
      <c r="BJ4" s="59">
        <f>$BJ$3</f>
        <v>200.24819245805861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7.1952941176470588</v>
      </c>
      <c r="N5" s="13">
        <f>IF('Données projet'!$A$36&gt;35,N4+M5-V4,IF(A5&lt;'Données projet'!$A$36,$K$205^A5,IF(A5='Données projet'!$A$36,'Données projet'!$B$36,N4+M5-V4)))</f>
        <v>1.7603050623251528</v>
      </c>
      <c r="O5" s="13">
        <f>N5*VLOOKUP('Données projet'!$B$9,Paramètres!$A$1:$I$89,3,0)*VLOOKUP('Données projet'!$B$9,Paramètres!$A$1:$I$89,5,0)</f>
        <v>1.0526624272704415</v>
      </c>
      <c r="P5" s="13">
        <f t="shared" ref="P5:P68" si="33">EXP(-1.0587+0.8836*LN(O5)+0.284)</f>
        <v>0.48222168139326793</v>
      </c>
      <c r="Q5" s="20">
        <f t="shared" si="2"/>
        <v>2.6732564892559605</v>
      </c>
      <c r="R5" s="59">
        <f t="shared" si="0"/>
        <v>261.78436760036709</v>
      </c>
      <c r="S5" s="59">
        <f ca="1">AVERAGE(OFFSET($R$3,0,0,'Données projet'!$E$9+1,1))-AVERAGE(OFFSET($H$3,0,0,'Données projet'!$E$9+1,1))</f>
        <v>300.80663531652721</v>
      </c>
      <c r="T5" s="59">
        <f t="shared" ref="T5:T68" si="34">$T$3</f>
        <v>306.01967513533549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3.887142857142857</v>
      </c>
      <c r="AI5" s="13">
        <f>IF('Données projet'!$A$62&gt;35,AI4+AH5-AQ4,IF(A5&lt;'Données projet'!$A$62,$AF$205^A5,IF(A5='Données projet'!$A$62,'Données projet'!$B$62,AI4+AH5-AQ4)))</f>
        <v>7.774285714285714</v>
      </c>
      <c r="AJ5" s="13">
        <f>AI5*VLOOKUP('Données projet'!$B$10,Paramètres!$A$1:$I$89,3,0)*VLOOKUP('Données projet'!$B$10,Paramètres!$A$1:$I$89,5,0)</f>
        <v>7.0341737142857141</v>
      </c>
      <c r="AK5" s="13">
        <f t="shared" ref="AK5:AK68" si="35">EXP(-1.0587+0.8836*LN(AJ5)+0.284)</f>
        <v>2.5831495528484112</v>
      </c>
      <c r="AL5" s="20">
        <f t="shared" si="4"/>
        <v>16.750171356925268</v>
      </c>
      <c r="AM5" s="59">
        <f t="shared" si="5"/>
        <v>275.86128246803639</v>
      </c>
      <c r="AN5" s="59">
        <f ca="1">AVERAGE(OFFSET($AM$3,0,0,'Données projet'!$E$10+1,1))-AVERAGE(OFFSET($H$3,0,0,'Données projet'!$E$10+1,1))</f>
        <v>581.88778927327667</v>
      </c>
      <c r="AO5" s="59">
        <f t="shared" ref="AO5:AO68" si="36">$AO$3</f>
        <v>269.67340993773422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5.5190909090909095</v>
      </c>
      <c r="BD5" s="12">
        <f>IF('Données projet'!$A$88&gt;35,BD4+BC5-BL4,IF(A5&lt;'Données projet'!$A$88,$BA$205^A5,IF(A5='Données projet'!$A$88,'Données projet'!$B$88,BD4+BC5-BL4)))</f>
        <v>1.5469665742198999</v>
      </c>
      <c r="BE5" s="13">
        <f>BD5*VLOOKUP('Données projet'!$B$11,Paramètres!$A$1:$I$89,3,0)*VLOOKUP('Données projet'!$B$11,Paramètres!$A$1:$I$89,5,0)</f>
        <v>0.88486488045378286</v>
      </c>
      <c r="BF5" s="13">
        <f t="shared" ref="BF5:BF68" si="37">EXP(-1.0587+0.8836*LN(BE5)+0.284)</f>
        <v>0.41363049101726423</v>
      </c>
      <c r="BG5" s="20">
        <f t="shared" si="7"/>
        <v>2.2615461053120742</v>
      </c>
      <c r="BH5" s="59">
        <f t="shared" si="8"/>
        <v>261.37265721642319</v>
      </c>
      <c r="BI5" s="59">
        <f ca="1">AVERAGE(OFFSET($BH$3,0,0,'Données projet'!$E$11+1,1))-AVERAGE(OFFSET($H$3,0,0,'Données projet'!$E$11+1,1))</f>
        <v>292.09131652373259</v>
      </c>
      <c r="BJ5" s="59">
        <f t="shared" ref="BJ5:BJ68" si="38">$BJ$3</f>
        <v>200.24819245805861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7.1952941176470588</v>
      </c>
      <c r="N6" s="13">
        <f>IF('Données projet'!$A$36&gt;35,N5+M6-V5,IF(A6&lt;'Données projet'!$A$36,$K$205^A6,IF(A6='Données projet'!$A$36,'Données projet'!$B$36,N5+M6-V5)))</f>
        <v>2.3355109450773996</v>
      </c>
      <c r="O6" s="13">
        <f>N6*VLOOKUP('Données projet'!$B$9,Paramètres!$A$1:$I$89,3,0)*VLOOKUP('Données projet'!$B$9,Paramètres!$A$1:$I$89,5,0)</f>
        <v>1.3966355451562853</v>
      </c>
      <c r="P6" s="13">
        <f t="shared" si="33"/>
        <v>0.61908101217040834</v>
      </c>
      <c r="Q6" s="20">
        <f t="shared" si="2"/>
        <v>3.5107063373439913</v>
      </c>
      <c r="R6" s="59">
        <f t="shared" si="0"/>
        <v>263.84403967067732</v>
      </c>
      <c r="S6" s="59">
        <f ca="1">AVERAGE(OFFSET($R$3,0,0,'Données projet'!$E$9+1,1))-AVERAGE(OFFSET($H$3,0,0,'Données projet'!$E$9+1,1))</f>
        <v>300.80663531652721</v>
      </c>
      <c r="T6" s="59">
        <f t="shared" si="34"/>
        <v>306.01967513533549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3.887142857142857</v>
      </c>
      <c r="AI6" s="13">
        <f>IF('Données projet'!$A$62&gt;35,AI5+AH6-AQ5,IF(A6&lt;'Données projet'!$A$62,$AF$205^A6,IF(A6='Données projet'!$A$62,'Données projet'!$B$62,AI5+AH6-AQ5)))</f>
        <v>11.661428571428571</v>
      </c>
      <c r="AJ6" s="13">
        <f>AI6*VLOOKUP('Données projet'!$B$10,Paramètres!$A$1:$I$89,3,0)*VLOOKUP('Données projet'!$B$10,Paramètres!$A$1:$I$89,5,0)</f>
        <v>10.551260571428571</v>
      </c>
      <c r="AK6" s="13">
        <f t="shared" si="35"/>
        <v>3.6961006326523931</v>
      </c>
      <c r="AL6" s="20">
        <f t="shared" si="4"/>
        <v>24.814154097107675</v>
      </c>
      <c r="AM6" s="59">
        <f t="shared" si="5"/>
        <v>285.147487430441</v>
      </c>
      <c r="AN6" s="59">
        <f ca="1">AVERAGE(OFFSET($AM$3,0,0,'Données projet'!$E$10+1,1))-AVERAGE(OFFSET($H$3,0,0,'Données projet'!$E$10+1,1))</f>
        <v>581.88778927327667</v>
      </c>
      <c r="AO6" s="59">
        <f t="shared" si="36"/>
        <v>269.67340993773422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5.5190909090909095</v>
      </c>
      <c r="BD6" s="12">
        <f>IF('Données projet'!$A$88&gt;35,BD5+BC6-BL5,IF(A6&lt;'Données projet'!$A$88,$BA$205^A6,IF(A6='Données projet'!$A$88,'Données projet'!$B$88,BD5+BC6-BL5)))</f>
        <v>1.9240723332432099</v>
      </c>
      <c r="BE6" s="13">
        <f>BD6*VLOOKUP('Données projet'!$B$11,Paramètres!$A$1:$I$89,3,0)*VLOOKUP('Données projet'!$B$11,Paramètres!$A$1:$I$89,5,0)</f>
        <v>1.1005693746151162</v>
      </c>
      <c r="BF6" s="13">
        <f t="shared" si="37"/>
        <v>0.50156268701812023</v>
      </c>
      <c r="BG6" s="20">
        <f t="shared" si="7"/>
        <v>2.7903800073445528</v>
      </c>
      <c r="BH6" s="59">
        <f t="shared" si="8"/>
        <v>263.12371334067785</v>
      </c>
      <c r="BI6" s="59">
        <f ca="1">AVERAGE(OFFSET($BH$3,0,0,'Données projet'!$E$11+1,1))-AVERAGE(OFFSET($H$3,0,0,'Données projet'!$E$11+1,1))</f>
        <v>292.09131652373259</v>
      </c>
      <c r="BJ6" s="59">
        <f t="shared" si="38"/>
        <v>200.24819245805861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7.1952941176470588</v>
      </c>
      <c r="N7" s="13">
        <f>IF('Données projet'!$A$36&gt;35,N6+M7-V6,IF(A7&lt;'Données projet'!$A$36,$K$205^A7,IF(A7='Données projet'!$A$36,'Données projet'!$B$36,N6+M7-V6)))</f>
        <v>3.09867391244756</v>
      </c>
      <c r="O7" s="13">
        <f>N7*VLOOKUP('Données projet'!$B$9,Paramètres!$A$1:$I$89,3,0)*VLOOKUP('Données projet'!$B$9,Paramètres!$A$1:$I$89,5,0)</f>
        <v>1.8530069996436409</v>
      </c>
      <c r="P7" s="13">
        <f t="shared" si="33"/>
        <v>0.79478238830446668</v>
      </c>
      <c r="Q7" s="20">
        <f t="shared" si="2"/>
        <v>4.6115665173429541</v>
      </c>
      <c r="R7" s="59">
        <f t="shared" si="0"/>
        <v>266.16712207289851</v>
      </c>
      <c r="S7" s="59">
        <f ca="1">AVERAGE(OFFSET($R$3,0,0,'Données projet'!$E$9+1,1))-AVERAGE(OFFSET($H$3,0,0,'Données projet'!$E$9+1,1))</f>
        <v>300.80663531652721</v>
      </c>
      <c r="T7" s="59">
        <f t="shared" si="34"/>
        <v>306.01967513533549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3.887142857142857</v>
      </c>
      <c r="AI7" s="13">
        <f>IF('Données projet'!$A$62&gt;35,AI6+AH7-AQ6,IF(A7&lt;'Données projet'!$A$62,$AF$205^A7,IF(A7='Données projet'!$A$62,'Données projet'!$B$62,AI6+AH7-AQ6)))</f>
        <v>15.548571428571428</v>
      </c>
      <c r="AJ7" s="13">
        <f>AI7*VLOOKUP('Données projet'!$B$10,Paramètres!$A$1:$I$89,3,0)*VLOOKUP('Données projet'!$B$10,Paramètres!$A$1:$I$89,5,0)</f>
        <v>14.068347428571428</v>
      </c>
      <c r="AK7" s="13">
        <f t="shared" si="35"/>
        <v>4.7658421593654818</v>
      </c>
      <c r="AL7" s="20">
        <f t="shared" si="4"/>
        <v>32.802880198990124</v>
      </c>
      <c r="AM7" s="59">
        <f t="shared" si="5"/>
        <v>294.35843575454567</v>
      </c>
      <c r="AN7" s="59">
        <f ca="1">AVERAGE(OFFSET($AM$3,0,0,'Données projet'!$E$10+1,1))-AVERAGE(OFFSET($H$3,0,0,'Données projet'!$E$10+1,1))</f>
        <v>581.88778927327667</v>
      </c>
      <c r="AO7" s="59">
        <f t="shared" si="36"/>
        <v>269.67340993773422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5.5190909090909095</v>
      </c>
      <c r="BD7" s="12">
        <f>IF('Données projet'!$A$88&gt;35,BD6+BC7-BL6,IF(A7&lt;'Données projet'!$A$88,$BA$205^A7,IF(A7='Données projet'!$A$88,'Données projet'!$B$88,BD6+BC7-BL6)))</f>
        <v>2.3931055817536531</v>
      </c>
      <c r="BE7" s="13">
        <f>BD7*VLOOKUP('Données projet'!$B$11,Paramètres!$A$1:$I$89,3,0)*VLOOKUP('Données projet'!$B$11,Paramètres!$A$1:$I$89,5,0)</f>
        <v>1.3688563927630897</v>
      </c>
      <c r="BF7" s="13">
        <f t="shared" si="37"/>
        <v>0.60818806754344634</v>
      </c>
      <c r="BG7" s="20">
        <f t="shared" si="7"/>
        <v>3.4433524350338836</v>
      </c>
      <c r="BH7" s="59">
        <f t="shared" si="8"/>
        <v>264.99890799058943</v>
      </c>
      <c r="BI7" s="59">
        <f ca="1">AVERAGE(OFFSET($BH$3,0,0,'Données projet'!$E$11+1,1))-AVERAGE(OFFSET($H$3,0,0,'Données projet'!$E$11+1,1))</f>
        <v>292.09131652373259</v>
      </c>
      <c r="BJ7" s="59">
        <f t="shared" si="38"/>
        <v>200.24819245805861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7.1952941176470588</v>
      </c>
      <c r="N8" s="13">
        <f>IF('Données projet'!$A$36&gt;35,N7+M8-V7,IF(A8&lt;'Données projet'!$A$36,$K$205^A8,IF(A8='Données projet'!$A$36,'Données projet'!$B$36,N7+M8-V7)))</f>
        <v>4.1112117397355483</v>
      </c>
      <c r="O8" s="13">
        <f>N8*VLOOKUP('Données projet'!$B$9,Paramètres!$A$1:$I$89,3,0)*VLOOKUP('Données projet'!$B$9,Paramètres!$A$1:$I$89,5,0)</f>
        <v>2.4585046203618579</v>
      </c>
      <c r="P8" s="13">
        <f t="shared" si="33"/>
        <v>1.0203495703161323</v>
      </c>
      <c r="Q8" s="20">
        <f t="shared" si="2"/>
        <v>6.0590043820974993</v>
      </c>
      <c r="R8" s="59">
        <f t="shared" si="0"/>
        <v>268.83678215987527</v>
      </c>
      <c r="S8" s="59">
        <f ca="1">AVERAGE(OFFSET($R$3,0,0,'Données projet'!$E$9+1,1))-AVERAGE(OFFSET($H$3,0,0,'Données projet'!$E$9+1,1))</f>
        <v>300.80663531652721</v>
      </c>
      <c r="T8" s="59">
        <f t="shared" si="34"/>
        <v>306.01967513533549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3.887142857142857</v>
      </c>
      <c r="AI8" s="13">
        <f>IF('Données projet'!$A$62&gt;35,AI7+AH8-AQ7,IF(A8&lt;'Données projet'!$A$62,$AF$205^A8,IF(A8='Données projet'!$A$62,'Données projet'!$B$62,AI7+AH8-AQ7)))</f>
        <v>19.435714285714283</v>
      </c>
      <c r="AJ8" s="13">
        <f>AI8*VLOOKUP('Données projet'!$B$10,Paramètres!$A$1:$I$89,3,0)*VLOOKUP('Données projet'!$B$10,Paramètres!$A$1:$I$89,5,0)</f>
        <v>17.585434285714282</v>
      </c>
      <c r="AK8" s="13">
        <f t="shared" si="35"/>
        <v>5.804560501905633</v>
      </c>
      <c r="AL8" s="20">
        <f t="shared" si="4"/>
        <v>40.737574255104683</v>
      </c>
      <c r="AM8" s="59">
        <f t="shared" si="5"/>
        <v>303.51535203288245</v>
      </c>
      <c r="AN8" s="59">
        <f ca="1">AVERAGE(OFFSET($AM$3,0,0,'Données projet'!$E$10+1,1))-AVERAGE(OFFSET($H$3,0,0,'Données projet'!$E$10+1,1))</f>
        <v>581.88778927327667</v>
      </c>
      <c r="AO8" s="59">
        <f t="shared" si="36"/>
        <v>269.67340993773422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5.5190909090909095</v>
      </c>
      <c r="BD8" s="12">
        <f>IF('Données projet'!$A$88&gt;35,BD7+BC8-BL7,IF(A8&lt;'Données projet'!$A$88,$BA$205^A8,IF(A8='Données projet'!$A$88,'Données projet'!$B$88,BD7+BC8-BL7)))</f>
        <v>2.9764755859085379</v>
      </c>
      <c r="BE8" s="13">
        <f>BD8*VLOOKUP('Données projet'!$B$11,Paramètres!$A$1:$I$89,3,0)*VLOOKUP('Données projet'!$B$11,Paramètres!$A$1:$I$89,5,0)</f>
        <v>1.7025440351396839</v>
      </c>
      <c r="BF8" s="13">
        <f t="shared" si="37"/>
        <v>0.73748054844611766</v>
      </c>
      <c r="BG8" s="20">
        <f t="shared" si="7"/>
        <v>4.249709483078604</v>
      </c>
      <c r="BH8" s="59">
        <f t="shared" si="8"/>
        <v>267.02748726085639</v>
      </c>
      <c r="BI8" s="59">
        <f ca="1">AVERAGE(OFFSET($BH$3,0,0,'Données projet'!$E$11+1,1))-AVERAGE(OFFSET($H$3,0,0,'Données projet'!$E$11+1,1))</f>
        <v>292.09131652373259</v>
      </c>
      <c r="BJ8" s="59">
        <f t="shared" si="38"/>
        <v>200.24819245805861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7.1952941176470588</v>
      </c>
      <c r="N9" s="13">
        <f>IF('Données projet'!$A$36&gt;35,N8+M9-V8,IF(A9&lt;'Données projet'!$A$36,$K$205^A9,IF(A9='Données projet'!$A$36,'Données projet'!$B$36,N8+M9-V8)))</f>
        <v>5.4546113745763272</v>
      </c>
      <c r="O9" s="13">
        <f>N9*VLOOKUP('Données projet'!$B$9,Paramètres!$A$1:$I$89,3,0)*VLOOKUP('Données projet'!$B$9,Paramètres!$A$1:$I$89,5,0)</f>
        <v>3.2618576019966441</v>
      </c>
      <c r="P9" s="13">
        <f t="shared" si="33"/>
        <v>1.3099349720938758</v>
      </c>
      <c r="Q9" s="20">
        <f t="shared" si="2"/>
        <v>7.962538733207654</v>
      </c>
      <c r="R9" s="59">
        <f t="shared" si="0"/>
        <v>271.96253873320768</v>
      </c>
      <c r="S9" s="59">
        <f ca="1">AVERAGE(OFFSET($R$3,0,0,'Données projet'!$E$9+1,1))-AVERAGE(OFFSET($H$3,0,0,'Données projet'!$E$9+1,1))</f>
        <v>300.80663531652721</v>
      </c>
      <c r="T9" s="59">
        <f t="shared" si="34"/>
        <v>306.01967513533549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3.887142857142857</v>
      </c>
      <c r="AI9" s="13">
        <f>IF('Données projet'!$A$62&gt;35,AI8+AH9-AQ8,IF(A9&lt;'Données projet'!$A$62,$AF$205^A9,IF(A9='Données projet'!$A$62,'Données projet'!$B$62,AI8+AH9-AQ8)))</f>
        <v>23.322857142857139</v>
      </c>
      <c r="AJ9" s="13">
        <f>AI9*VLOOKUP('Données projet'!$B$10,Paramètres!$A$1:$I$89,3,0)*VLOOKUP('Données projet'!$B$10,Paramètres!$A$1:$I$89,5,0)</f>
        <v>21.102521142857139</v>
      </c>
      <c r="AK9" s="13">
        <f t="shared" si="35"/>
        <v>6.8192072738987575</v>
      </c>
      <c r="AL9" s="20">
        <f t="shared" si="4"/>
        <v>48.630343659183183</v>
      </c>
      <c r="AM9" s="59">
        <f t="shared" si="5"/>
        <v>312.63034365918315</v>
      </c>
      <c r="AN9" s="59">
        <f ca="1">AVERAGE(OFFSET($AM$3,0,0,'Données projet'!$E$10+1,1))-AVERAGE(OFFSET($H$3,0,0,'Données projet'!$E$10+1,1))</f>
        <v>581.88778927327667</v>
      </c>
      <c r="AO9" s="59">
        <f t="shared" si="36"/>
        <v>269.67340993773422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5.5190909090909095</v>
      </c>
      <c r="BD9" s="12">
        <f>IF('Données projet'!$A$88&gt;35,BD8+BC9-BL8,IF(A9&lt;'Données projet'!$A$88,$BA$205^A9,IF(A9='Données projet'!$A$88,'Données projet'!$B$88,BD8+BC9-BL8)))</f>
        <v>3.7020543435519695</v>
      </c>
      <c r="BE9" s="13">
        <f>BD9*VLOOKUP('Données projet'!$B$11,Paramètres!$A$1:$I$89,3,0)*VLOOKUP('Données projet'!$B$11,Paramètres!$A$1:$I$89,5,0)</f>
        <v>2.1175750845117265</v>
      </c>
      <c r="BF9" s="13">
        <f t="shared" si="37"/>
        <v>0.89425884584217707</v>
      </c>
      <c r="BG9" s="20">
        <f t="shared" si="7"/>
        <v>5.2456107620330483</v>
      </c>
      <c r="BH9" s="59">
        <f t="shared" si="8"/>
        <v>269.24561076203304</v>
      </c>
      <c r="BI9" s="59">
        <f ca="1">AVERAGE(OFFSET($BH$3,0,0,'Données projet'!$E$11+1,1))-AVERAGE(OFFSET($H$3,0,0,'Données projet'!$E$11+1,1))</f>
        <v>292.09131652373259</v>
      </c>
      <c r="BJ9" s="59">
        <f t="shared" si="38"/>
        <v>200.24819245805861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7.1952941176470588</v>
      </c>
      <c r="N10" s="13">
        <f>IF('Données projet'!$A$36&gt;35,N9+M10-V9,IF(A10&lt;'Données projet'!$A$36,$K$205^A10,IF(A10='Données projet'!$A$36,'Données projet'!$B$36,N9+M10-V9)))</f>
        <v>7.2369868377470841</v>
      </c>
      <c r="O10" s="13">
        <f>N10*VLOOKUP('Données projet'!$B$9,Paramètres!$A$1:$I$89,3,0)*VLOOKUP('Données projet'!$B$9,Paramètres!$A$1:$I$89,5,0)</f>
        <v>4.3277181289727569</v>
      </c>
      <c r="P10" s="13">
        <f t="shared" si="33"/>
        <v>1.6817076039762937</v>
      </c>
      <c r="Q10" s="20">
        <f t="shared" si="2"/>
        <v>10.466416484886262</v>
      </c>
      <c r="R10" s="59">
        <f t="shared" si="0"/>
        <v>275.68863870710851</v>
      </c>
      <c r="S10" s="59">
        <f ca="1">AVERAGE(OFFSET($R$3,0,0,'Données projet'!$E$9+1,1))-AVERAGE(OFFSET($H$3,0,0,'Données projet'!$E$9+1,1))</f>
        <v>300.80663531652721</v>
      </c>
      <c r="T10" s="59">
        <f t="shared" si="34"/>
        <v>306.01967513533549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3.887142857142857</v>
      </c>
      <c r="AI10" s="13">
        <f>IF('Données projet'!$A$62&gt;35,AI9+AH10-AQ9,IF(A10&lt;'Données projet'!$A$62,$AF$205^A10,IF(A10='Données projet'!$A$62,'Données projet'!$B$62,AI9+AH10-AQ9)))</f>
        <v>27.209999999999994</v>
      </c>
      <c r="AJ10" s="13">
        <f>AI10*VLOOKUP('Données projet'!$B$10,Paramètres!$A$1:$I$89,3,0)*VLOOKUP('Données projet'!$B$10,Paramètres!$A$1:$I$89,5,0)</f>
        <v>24.619607999999992</v>
      </c>
      <c r="AK10" s="13">
        <f t="shared" si="35"/>
        <v>7.8142639118614152</v>
      </c>
      <c r="AL10" s="20">
        <f t="shared" si="4"/>
        <v>56.488993579825284</v>
      </c>
      <c r="AM10" s="59">
        <f t="shared" si="5"/>
        <v>321.71121580204749</v>
      </c>
      <c r="AN10" s="59">
        <f ca="1">AVERAGE(OFFSET($AM$3,0,0,'Données projet'!$E$10+1,1))-AVERAGE(OFFSET($H$3,0,0,'Données projet'!$E$10+1,1))</f>
        <v>581.88778927327667</v>
      </c>
      <c r="AO10" s="59">
        <f t="shared" si="36"/>
        <v>269.67340993773422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5.5190909090909095</v>
      </c>
      <c r="BD10" s="12">
        <f>IF('Données projet'!$A$88&gt;35,BD9+BC10-BL9,IF(A10&lt;'Données projet'!$A$88,$BA$205^A10,IF(A10='Données projet'!$A$88,'Données projet'!$B$88,BD9+BC10-BL9)))</f>
        <v>4.6045082403821009</v>
      </c>
      <c r="BE10" s="13">
        <f>BD10*VLOOKUP('Données projet'!$B$11,Paramètres!$A$1:$I$89,3,0)*VLOOKUP('Données projet'!$B$11,Paramètres!$A$1:$I$89,5,0)</f>
        <v>2.633778713498562</v>
      </c>
      <c r="BF10" s="13">
        <f t="shared" si="37"/>
        <v>1.0843660691145822</v>
      </c>
      <c r="BG10" s="20">
        <f t="shared" si="7"/>
        <v>6.475768829717893</v>
      </c>
      <c r="BH10" s="59">
        <f t="shared" si="8"/>
        <v>271.69799105194011</v>
      </c>
      <c r="BI10" s="59">
        <f ca="1">AVERAGE(OFFSET($BH$3,0,0,'Données projet'!$E$11+1,1))-AVERAGE(OFFSET($H$3,0,0,'Données projet'!$E$11+1,1))</f>
        <v>292.09131652373259</v>
      </c>
      <c r="BJ10" s="59">
        <f t="shared" si="38"/>
        <v>200.24819245805861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7.1952941176470588</v>
      </c>
      <c r="N11" s="13">
        <f>IF('Données projet'!$A$36&gt;35,N10+M11-V10,IF(A11&lt;'Données projet'!$A$36,$K$205^A11,IF(A11='Données projet'!$A$36,'Données projet'!$B$36,N10+M11-V10)))</f>
        <v>9.6017800156830688</v>
      </c>
      <c r="O11" s="13">
        <f>N11*VLOOKUP('Données projet'!$B$9,Paramètres!$A$1:$I$89,3,0)*VLOOKUP('Données projet'!$B$9,Paramètres!$A$1:$I$89,5,0)</f>
        <v>5.7418644493784763</v>
      </c>
      <c r="P11" s="13">
        <f t="shared" si="33"/>
        <v>2.1589930229521412</v>
      </c>
      <c r="Q11" s="20">
        <f t="shared" si="2"/>
        <v>13.760660097642491</v>
      </c>
      <c r="R11" s="59">
        <f t="shared" si="0"/>
        <v>280.20510454208693</v>
      </c>
      <c r="S11" s="59">
        <f ca="1">AVERAGE(OFFSET($R$3,0,0,'Données projet'!$E$9+1,1))-AVERAGE(OFFSET($H$3,0,0,'Données projet'!$E$9+1,1))</f>
        <v>300.80663531652721</v>
      </c>
      <c r="T11" s="59">
        <f t="shared" si="34"/>
        <v>306.01967513533549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3.887142857142857</v>
      </c>
      <c r="AI11" s="13">
        <f>IF('Données projet'!$A$62&gt;35,AI10+AH11-AQ10,IF(A11&lt;'Données projet'!$A$62,$AF$205^A11,IF(A11='Données projet'!$A$62,'Données projet'!$B$62,AI10+AH11-AQ10)))</f>
        <v>31.097142857142849</v>
      </c>
      <c r="AJ11" s="13">
        <f>AI11*VLOOKUP('Données projet'!$B$10,Paramètres!$A$1:$I$89,3,0)*VLOOKUP('Données projet'!$B$10,Paramètres!$A$1:$I$89,5,0)</f>
        <v>28.136694857142849</v>
      </c>
      <c r="AK11" s="13">
        <f t="shared" si="35"/>
        <v>8.792851913254415</v>
      </c>
      <c r="AL11" s="20">
        <f t="shared" si="4"/>
        <v>64.318960625108559</v>
      </c>
      <c r="AM11" s="59">
        <f t="shared" si="5"/>
        <v>330.76340506955302</v>
      </c>
      <c r="AN11" s="59">
        <f ca="1">AVERAGE(OFFSET($AM$3,0,0,'Données projet'!$E$10+1,1))-AVERAGE(OFFSET($H$3,0,0,'Données projet'!$E$10+1,1))</f>
        <v>581.88778927327667</v>
      </c>
      <c r="AO11" s="59">
        <f t="shared" si="36"/>
        <v>269.67340993773422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5.5190909090909095</v>
      </c>
      <c r="BD11" s="12">
        <f>IF('Données projet'!$A$88&gt;35,BD10+BC11-BL10,IF(A11&lt;'Données projet'!$A$88,$BA$205^A11,IF(A11='Données projet'!$A$88,'Données projet'!$B$88,BD10+BC11-BL10)))</f>
        <v>5.7269543254204907</v>
      </c>
      <c r="BE11" s="13">
        <f>BD11*VLOOKUP('Données projet'!$B$11,Paramètres!$A$1:$I$89,3,0)*VLOOKUP('Données projet'!$B$11,Paramètres!$A$1:$I$89,5,0)</f>
        <v>3.2758178741405208</v>
      </c>
      <c r="BF11" s="13">
        <f t="shared" si="37"/>
        <v>1.3148874929379564</v>
      </c>
      <c r="BG11" s="20">
        <f t="shared" si="7"/>
        <v>7.9954785143283473</v>
      </c>
      <c r="BH11" s="59">
        <f t="shared" si="8"/>
        <v>274.4399229587728</v>
      </c>
      <c r="BI11" s="59">
        <f ca="1">AVERAGE(OFFSET($BH$3,0,0,'Données projet'!$E$11+1,1))-AVERAGE(OFFSET($H$3,0,0,'Données projet'!$E$11+1,1))</f>
        <v>292.09131652373259</v>
      </c>
      <c r="BJ11" s="59">
        <f t="shared" si="38"/>
        <v>200.24819245805861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7.1952941176470588</v>
      </c>
      <c r="N12" s="13">
        <f>IF('Données projet'!$A$36&gt;35,N11+M12-V11,IF(A12&lt;'Données projet'!$A$36,$K$205^A12,IF(A12='Données projet'!$A$36,'Données projet'!$B$36,N11+M12-V11)))</f>
        <v>12.739304566466691</v>
      </c>
      <c r="O12" s="13">
        <f>N12*VLOOKUP('Données projet'!$B$9,Paramètres!$A$1:$I$89,3,0)*VLOOKUP('Données projet'!$B$9,Paramètres!$A$1:$I$89,5,0)</f>
        <v>7.6181041307470823</v>
      </c>
      <c r="P12" s="13">
        <f t="shared" si="33"/>
        <v>2.7717368121157255</v>
      </c>
      <c r="Q12" s="20">
        <f t="shared" si="2"/>
        <v>18.095639642152722</v>
      </c>
      <c r="R12" s="59">
        <f t="shared" si="0"/>
        <v>285.7623063088194</v>
      </c>
      <c r="S12" s="59">
        <f ca="1">AVERAGE(OFFSET($R$3,0,0,'Données projet'!$E$9+1,1))-AVERAGE(OFFSET($H$3,0,0,'Données projet'!$E$9+1,1))</f>
        <v>300.80663531652721</v>
      </c>
      <c r="T12" s="59">
        <f t="shared" si="34"/>
        <v>306.01967513533549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3.887142857142857</v>
      </c>
      <c r="AI12" s="13">
        <f>IF('Données projet'!$A$62&gt;35,AI11+AH12-AQ11,IF(A12&lt;'Données projet'!$A$62,$AF$205^A12,IF(A12='Données projet'!$A$62,'Données projet'!$B$62,AI11+AH12-AQ11)))</f>
        <v>34.984285714285704</v>
      </c>
      <c r="AJ12" s="13">
        <f>AI12*VLOOKUP('Données projet'!$B$10,Paramètres!$A$1:$I$89,3,0)*VLOOKUP('Données projet'!$B$10,Paramètres!$A$1:$I$89,5,0)</f>
        <v>31.653781714285703</v>
      </c>
      <c r="AK12" s="13">
        <f t="shared" si="35"/>
        <v>9.757265618420071</v>
      </c>
      <c r="AL12" s="20">
        <f t="shared" si="4"/>
        <v>72.124240771129223</v>
      </c>
      <c r="AM12" s="59">
        <f t="shared" si="5"/>
        <v>339.79090743779591</v>
      </c>
      <c r="AN12" s="59">
        <f ca="1">AVERAGE(OFFSET($AM$3,0,0,'Données projet'!$E$10+1,1))-AVERAGE(OFFSET($H$3,0,0,'Données projet'!$E$10+1,1))</f>
        <v>581.88778927327667</v>
      </c>
      <c r="AO12" s="59">
        <f t="shared" si="36"/>
        <v>269.67340993773422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5.5190909090909095</v>
      </c>
      <c r="BD12" s="12">
        <f>IF('Données projet'!$A$88&gt;35,BD11+BC12-BL11,IF(A12&lt;'Données projet'!$A$88,$BA$205^A12,IF(A12='Données projet'!$A$88,'Données projet'!$B$88,BD11+BC12-BL11)))</f>
        <v>7.1230203385911972</v>
      </c>
      <c r="BE12" s="13">
        <f>BD12*VLOOKUP('Données projet'!$B$11,Paramètres!$A$1:$I$89,3,0)*VLOOKUP('Données projet'!$B$11,Paramètres!$A$1:$I$89,5,0)</f>
        <v>4.0743676336741652</v>
      </c>
      <c r="BF12" s="13">
        <f t="shared" si="37"/>
        <v>1.5944146246630417</v>
      </c>
      <c r="BG12" s="20">
        <f t="shared" si="7"/>
        <v>9.8731290999373016</v>
      </c>
      <c r="BH12" s="59">
        <f t="shared" si="8"/>
        <v>277.53979576660402</v>
      </c>
      <c r="BI12" s="59">
        <f ca="1">AVERAGE(OFFSET($BH$3,0,0,'Données projet'!$E$11+1,1))-AVERAGE(OFFSET($H$3,0,0,'Données projet'!$E$11+1,1))</f>
        <v>292.09131652373259</v>
      </c>
      <c r="BJ12" s="59">
        <f t="shared" si="38"/>
        <v>200.24819245805861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7.1952941176470588</v>
      </c>
      <c r="N13" s="13">
        <f>IF('Données projet'!$A$36&gt;35,N12+M13-V12,IF(A13&lt;'Données projet'!$A$36,$K$205^A13,IF(A13='Données projet'!$A$36,'Données projet'!$B$36,N12+M13-V12)))</f>
        <v>16.902061968939393</v>
      </c>
      <c r="O13" s="13">
        <f>N13*VLOOKUP('Données projet'!$B$9,Paramètres!$A$1:$I$89,3,0)*VLOOKUP('Données projet'!$B$9,Paramètres!$A$1:$I$89,5,0)</f>
        <v>10.107433057425759</v>
      </c>
      <c r="P13" s="13">
        <f t="shared" si="33"/>
        <v>3.5583834102125023</v>
      </c>
      <c r="Q13" s="20">
        <f t="shared" si="2"/>
        <v>23.80129701446997</v>
      </c>
      <c r="R13" s="59">
        <f t="shared" si="0"/>
        <v>292.69018590335884</v>
      </c>
      <c r="S13" s="59">
        <f ca="1">AVERAGE(OFFSET($R$3,0,0,'Données projet'!$E$9+1,1))-AVERAGE(OFFSET($H$3,0,0,'Données projet'!$E$9+1,1))</f>
        <v>300.80663531652721</v>
      </c>
      <c r="T13" s="59">
        <f t="shared" si="34"/>
        <v>306.01967513533549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3.887142857142857</v>
      </c>
      <c r="AI13" s="13">
        <f>IF('Données projet'!$A$62&gt;35,AI12+AH13-AQ12,IF(A13&lt;'Données projet'!$A$62,$AF$205^A13,IF(A13='Données projet'!$A$62,'Données projet'!$B$62,AI12+AH13-AQ12)))</f>
        <v>38.871428571428559</v>
      </c>
      <c r="AJ13" s="13">
        <f>AI13*VLOOKUP('Données projet'!$B$10,Paramètres!$A$1:$I$89,3,0)*VLOOKUP('Données projet'!$B$10,Paramètres!$A$1:$I$89,5,0)</f>
        <v>35.170868571428556</v>
      </c>
      <c r="AK13" s="13">
        <f t="shared" si="35"/>
        <v>10.709259603674569</v>
      </c>
      <c r="AL13" s="20">
        <f t="shared" si="4"/>
        <v>79.90788990497127</v>
      </c>
      <c r="AM13" s="59">
        <f t="shared" si="5"/>
        <v>348.79677879386014</v>
      </c>
      <c r="AN13" s="59">
        <f ca="1">AVERAGE(OFFSET($AM$3,0,0,'Données projet'!$E$10+1,1))-AVERAGE(OFFSET($H$3,0,0,'Données projet'!$E$10+1,1))</f>
        <v>581.88778927327667</v>
      </c>
      <c r="AO13" s="59">
        <f t="shared" si="36"/>
        <v>269.67340993773422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5.5190909090909095</v>
      </c>
      <c r="BD13" s="12">
        <f>IF('Données projet'!$A$88&gt;35,BD12+BC13-BL12,IF(A13&lt;'Données projet'!$A$88,$BA$205^A13,IF(A13='Données projet'!$A$88,'Données projet'!$B$88,BD12+BC13-BL12)))</f>
        <v>8.8594069135095737</v>
      </c>
      <c r="BE13" s="13">
        <f>BD13*VLOOKUP('Données projet'!$B$11,Paramètres!$A$1:$I$89,3,0)*VLOOKUP('Données projet'!$B$11,Paramètres!$A$1:$I$89,5,0)</f>
        <v>5.0675807545274765</v>
      </c>
      <c r="BF13" s="13">
        <f t="shared" si="37"/>
        <v>1.9333654088223506</v>
      </c>
      <c r="BG13" s="20">
        <f t="shared" si="7"/>
        <v>12.19331456783428</v>
      </c>
      <c r="BH13" s="59">
        <f t="shared" si="8"/>
        <v>281.08220345672316</v>
      </c>
      <c r="BI13" s="59">
        <f ca="1">AVERAGE(OFFSET($BH$3,0,0,'Données projet'!$E$11+1,1))-AVERAGE(OFFSET($H$3,0,0,'Données projet'!$E$11+1,1))</f>
        <v>292.09131652373259</v>
      </c>
      <c r="BJ13" s="59">
        <f t="shared" si="38"/>
        <v>200.24819245805861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7.1952941176470588</v>
      </c>
      <c r="N14" s="13">
        <f>IF('Données projet'!$A$36&gt;35,N13+M14-V13,IF(A14&lt;'Données projet'!$A$36,$K$205^A14,IF(A14='Données projet'!$A$36,'Données projet'!$B$36,N13+M14-V13)))</f>
        <v>22.425062318853254</v>
      </c>
      <c r="O14" s="13">
        <f>N14*VLOOKUP('Données projet'!$B$9,Paramètres!$A$1:$I$89,3,0)*VLOOKUP('Données projet'!$B$9,Paramètres!$A$1:$I$89,5,0)</f>
        <v>13.410187266674248</v>
      </c>
      <c r="P14" s="13">
        <f t="shared" si="33"/>
        <v>4.5682881717800319</v>
      </c>
      <c r="Q14" s="20">
        <f t="shared" si="2"/>
        <v>31.312511388641202</v>
      </c>
      <c r="R14" s="59">
        <f t="shared" si="0"/>
        <v>301.42362249975235</v>
      </c>
      <c r="S14" s="59">
        <f ca="1">AVERAGE(OFFSET($R$3,0,0,'Données projet'!$E$9+1,1))-AVERAGE(OFFSET($H$3,0,0,'Données projet'!$E$9+1,1))</f>
        <v>300.80663531652721</v>
      </c>
      <c r="T14" s="59">
        <f t="shared" si="34"/>
        <v>306.01967513533549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3.887142857142857</v>
      </c>
      <c r="AI14" s="13">
        <f>IF('Données projet'!$A$62&gt;35,AI13+AH14-AQ13,IF(A14&lt;'Données projet'!$A$62,$AF$205^A14,IF(A14='Données projet'!$A$62,'Données projet'!$B$62,AI13+AH14-AQ13)))</f>
        <v>42.758571428571415</v>
      </c>
      <c r="AJ14" s="13">
        <f>AI14*VLOOKUP('Données projet'!$B$10,Paramètres!$A$1:$I$89,3,0)*VLOOKUP('Données projet'!$B$10,Paramètres!$A$1:$I$89,5,0)</f>
        <v>38.687955428571414</v>
      </c>
      <c r="AK14" s="13">
        <f t="shared" si="35"/>
        <v>11.650217223542473</v>
      </c>
      <c r="AL14" s="20">
        <f t="shared" si="4"/>
        <v>87.672317369098337</v>
      </c>
      <c r="AM14" s="59">
        <f t="shared" si="5"/>
        <v>357.78342848020947</v>
      </c>
      <c r="AN14" s="59">
        <f ca="1">AVERAGE(OFFSET($AM$3,0,0,'Données projet'!$E$10+1,1))-AVERAGE(OFFSET($H$3,0,0,'Données projet'!$E$10+1,1))</f>
        <v>581.88778927327667</v>
      </c>
      <c r="AO14" s="59">
        <f t="shared" si="36"/>
        <v>269.67340993773422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5.5190909090909095</v>
      </c>
      <c r="BD14" s="12">
        <f>IF('Données projet'!$A$88&gt;35,BD13+BC14-BL13,IF(A14&lt;'Données projet'!$A$88,$BA$205^A14,IF(A14='Données projet'!$A$88,'Données projet'!$B$88,BD13+BC14-BL13)))</f>
        <v>11.019074371289097</v>
      </c>
      <c r="BE14" s="13">
        <f>BD14*VLOOKUP('Données projet'!$B$11,Paramètres!$A$1:$I$89,3,0)*VLOOKUP('Données projet'!$B$11,Paramètres!$A$1:$I$89,5,0)</f>
        <v>6.302910540377364</v>
      </c>
      <c r="BF14" s="13">
        <f t="shared" si="37"/>
        <v>2.3443725027426736</v>
      </c>
      <c r="BG14" s="20">
        <f t="shared" si="7"/>
        <v>15.060684633434063</v>
      </c>
      <c r="BH14" s="59">
        <f t="shared" si="8"/>
        <v>285.17179574454519</v>
      </c>
      <c r="BI14" s="59">
        <f ca="1">AVERAGE(OFFSET($BH$3,0,0,'Données projet'!$E$11+1,1))-AVERAGE(OFFSET($H$3,0,0,'Données projet'!$E$11+1,1))</f>
        <v>292.09131652373259</v>
      </c>
      <c r="BJ14" s="59">
        <f t="shared" si="38"/>
        <v>200.24819245805861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7.1952941176470588</v>
      </c>
      <c r="N15" s="13">
        <f>IF('Données projet'!$A$36&gt;35,N14+M15-V14,IF(A15&lt;'Données projet'!$A$36,$K$205^A15,IF(A15='Données projet'!$A$36,'Données projet'!$B$36,N14+M15-V14)))</f>
        <v>29.752785247657449</v>
      </c>
      <c r="O15" s="13">
        <f>N15*VLOOKUP('Données projet'!$B$9,Paramètres!$A$1:$I$89,3,0)*VLOOKUP('Données projet'!$B$9,Paramètres!$A$1:$I$89,5,0)</f>
        <v>17.792165578099155</v>
      </c>
      <c r="P15" s="13">
        <f t="shared" si="33"/>
        <v>5.8648139940544119</v>
      </c>
      <c r="Q15" s="20">
        <f t="shared" si="2"/>
        <v>41.202572754834129</v>
      </c>
      <c r="R15" s="59">
        <f t="shared" si="0"/>
        <v>312.53590608816745</v>
      </c>
      <c r="S15" s="59">
        <f ca="1">AVERAGE(OFFSET($R$3,0,0,'Données projet'!$E$9+1,1))-AVERAGE(OFFSET($H$3,0,0,'Données projet'!$E$9+1,1))</f>
        <v>300.80663531652721</v>
      </c>
      <c r="T15" s="59">
        <f t="shared" si="34"/>
        <v>306.01967513533549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3.887142857142857</v>
      </c>
      <c r="AI15" s="13">
        <f>IF('Données projet'!$A$62&gt;35,AI14+AH15-AQ14,IF(A15&lt;'Données projet'!$A$62,$AF$205^A15,IF(A15='Données projet'!$A$62,'Données projet'!$B$62,AI14+AH15-AQ14)))</f>
        <v>46.64571428571427</v>
      </c>
      <c r="AJ15" s="13">
        <f>AI15*VLOOKUP('Données projet'!$B$10,Paramètres!$A$1:$I$89,3,0)*VLOOKUP('Données projet'!$B$10,Paramètres!$A$1:$I$89,5,0)</f>
        <v>42.205042285714271</v>
      </c>
      <c r="AK15" s="13">
        <f t="shared" si="35"/>
        <v>12.581255887241159</v>
      </c>
      <c r="AL15" s="20">
        <f t="shared" si="4"/>
        <v>95.419469317897367</v>
      </c>
      <c r="AM15" s="59">
        <f t="shared" si="5"/>
        <v>366.7528026512307</v>
      </c>
      <c r="AN15" s="59">
        <f ca="1">AVERAGE(OFFSET($AM$3,0,0,'Données projet'!$E$10+1,1))-AVERAGE(OFFSET($H$3,0,0,'Données projet'!$E$10+1,1))</f>
        <v>581.88778927327667</v>
      </c>
      <c r="AO15" s="59">
        <f t="shared" si="36"/>
        <v>269.67340993773422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5.5190909090909095</v>
      </c>
      <c r="BD15" s="12">
        <f>IF('Données projet'!$A$88&gt;35,BD14+BC15-BL14,IF(A15&lt;'Données projet'!$A$88,$BA$205^A15,IF(A15='Données projet'!$A$88,'Données projet'!$B$88,BD14+BC15-BL14)))</f>
        <v>13.705206362612003</v>
      </c>
      <c r="BE15" s="13">
        <f>BD15*VLOOKUP('Données projet'!$B$11,Paramètres!$A$1:$I$89,3,0)*VLOOKUP('Données projet'!$B$11,Paramètres!$A$1:$I$89,5,0)</f>
        <v>7.8393780394140666</v>
      </c>
      <c r="BF15" s="13">
        <f t="shared" si="37"/>
        <v>2.842754094252526</v>
      </c>
      <c r="BG15" s="20">
        <f t="shared" si="7"/>
        <v>18.60471346613598</v>
      </c>
      <c r="BH15" s="59">
        <f t="shared" si="8"/>
        <v>289.9380467994693</v>
      </c>
      <c r="BI15" s="59">
        <f ca="1">AVERAGE(OFFSET($BH$3,0,0,'Données projet'!$E$11+1,1))-AVERAGE(OFFSET($H$3,0,0,'Données projet'!$E$11+1,1))</f>
        <v>292.09131652373259</v>
      </c>
      <c r="BJ15" s="59">
        <f t="shared" si="38"/>
        <v>200.24819245805861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7.1952941176470588</v>
      </c>
      <c r="N16" s="13">
        <f>IF('Données projet'!$A$36&gt;35,N15+M16-V15,IF(A16&lt;'Données projet'!$A$36,$K$205^A16,IF(A16='Données projet'!$A$36,'Données projet'!$B$36,N15+M16-V15)))</f>
        <v>39.474950722834407</v>
      </c>
      <c r="O16" s="13">
        <f>N16*VLOOKUP('Données projet'!$B$9,Paramètres!$A$1:$I$89,3,0)*VLOOKUP('Données projet'!$B$9,Paramètres!$A$1:$I$89,5,0)</f>
        <v>23.606020532254977</v>
      </c>
      <c r="P16" s="13">
        <f t="shared" si="33"/>
        <v>7.5293067975293804</v>
      </c>
      <c r="Q16" s="20">
        <f t="shared" si="2"/>
        <v>54.227361766041078</v>
      </c>
      <c r="R16" s="59">
        <f t="shared" si="0"/>
        <v>326.78291732159664</v>
      </c>
      <c r="S16" s="59">
        <f ca="1">AVERAGE(OFFSET($R$3,0,0,'Données projet'!$E$9+1,1))-AVERAGE(OFFSET($H$3,0,0,'Données projet'!$E$9+1,1))</f>
        <v>300.80663531652721</v>
      </c>
      <c r="T16" s="59">
        <f t="shared" si="34"/>
        <v>306.01967513533549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3.887142857142857</v>
      </c>
      <c r="AI16" s="13">
        <f>IF('Données projet'!$A$62&gt;35,AI15+AH16-AQ15,IF(A16&lt;'Données projet'!$A$62,$AF$205^A16,IF(A16='Données projet'!$A$62,'Données projet'!$B$62,AI15+AH16-AQ15)))</f>
        <v>50.532857142857125</v>
      </c>
      <c r="AJ16" s="13">
        <f>AI16*VLOOKUP('Données projet'!$B$10,Paramètres!$A$1:$I$89,3,0)*VLOOKUP('Données projet'!$B$10,Paramètres!$A$1:$I$89,5,0)</f>
        <v>45.722129142857128</v>
      </c>
      <c r="AK16" s="13">
        <f t="shared" si="35"/>
        <v>13.50329614922042</v>
      </c>
      <c r="AL16" s="20">
        <f t="shared" si="4"/>
        <v>103.1509490503684</v>
      </c>
      <c r="AM16" s="59">
        <f t="shared" si="5"/>
        <v>375.70650460592395</v>
      </c>
      <c r="AN16" s="59">
        <f ca="1">AVERAGE(OFFSET($AM$3,0,0,'Données projet'!$E$10+1,1))-AVERAGE(OFFSET($H$3,0,0,'Données projet'!$E$10+1,1))</f>
        <v>581.88778927327667</v>
      </c>
      <c r="AO16" s="59">
        <f t="shared" si="36"/>
        <v>269.67340993773422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5.5190909090909095</v>
      </c>
      <c r="BD16" s="12">
        <f>IF('Données projet'!$A$88&gt;35,BD15+BC16-BL15,IF(A16&lt;'Données projet'!$A$88,$BA$205^A16,IF(A16='Données projet'!$A$88,'Données projet'!$B$88,BD15+BC16-BL15)))</f>
        <v>17.046139731227392</v>
      </c>
      <c r="BE16" s="13">
        <f>BD16*VLOOKUP('Données projet'!$B$11,Paramètres!$A$1:$I$89,3,0)*VLOOKUP('Données projet'!$B$11,Paramètres!$A$1:$I$89,5,0)</f>
        <v>9.7503919262620684</v>
      </c>
      <c r="BF16" s="13">
        <f t="shared" si="37"/>
        <v>3.4470848088071655</v>
      </c>
      <c r="BG16" s="20">
        <f t="shared" si="7"/>
        <v>22.985605313578915</v>
      </c>
      <c r="BH16" s="59">
        <f t="shared" si="8"/>
        <v>295.54116086913444</v>
      </c>
      <c r="BI16" s="59">
        <f ca="1">AVERAGE(OFFSET($BH$3,0,0,'Données projet'!$E$11+1,1))-AVERAGE(OFFSET($H$3,0,0,'Données projet'!$E$11+1,1))</f>
        <v>292.09131652373259</v>
      </c>
      <c r="BJ16" s="59">
        <f t="shared" si="38"/>
        <v>200.24819245805861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7.1952941176470588</v>
      </c>
      <c r="N17" s="13">
        <f>IF('Données projet'!$A$36&gt;35,N16+M17-V16,IF(A17&lt;'Données projet'!$A$36,$K$205^A17,IF(A17='Données projet'!$A$36,'Données projet'!$B$36,N16+M17-V16)))</f>
        <v>52.373978489724536</v>
      </c>
      <c r="O17" s="13">
        <f>N17*VLOOKUP('Données projet'!$B$9,Paramètres!$A$1:$I$89,3,0)*VLOOKUP('Données projet'!$B$9,Paramètres!$A$1:$I$89,5,0)</f>
        <v>31.319639136855276</v>
      </c>
      <c r="P17" s="13">
        <f t="shared" si="33"/>
        <v>9.6661992876148126</v>
      </c>
      <c r="Q17" s="20">
        <f t="shared" si="2"/>
        <v>71.383668589285392</v>
      </c>
      <c r="R17" s="59">
        <f t="shared" si="0"/>
        <v>345.16144636706315</v>
      </c>
      <c r="S17" s="59">
        <f ca="1">AVERAGE(OFFSET($R$3,0,0,'Données projet'!$E$9+1,1))-AVERAGE(OFFSET($H$3,0,0,'Données projet'!$E$9+1,1))</f>
        <v>300.80663531652721</v>
      </c>
      <c r="T17" s="59">
        <f t="shared" si="34"/>
        <v>306.01967513533549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3.887142857142857</v>
      </c>
      <c r="AI17" s="13">
        <f>IF('Données projet'!$A$62&gt;35,AI16+AH17-AQ16,IF(A17&lt;'Données projet'!$A$62,$AF$205^A17,IF(A17='Données projet'!$A$62,'Données projet'!$B$62,AI16+AH17-AQ16)))</f>
        <v>54.41999999999998</v>
      </c>
      <c r="AJ17" s="13">
        <f>AI17*VLOOKUP('Données projet'!$B$10,Paramètres!$A$1:$I$89,3,0)*VLOOKUP('Données projet'!$B$10,Paramètres!$A$1:$I$89,5,0)</f>
        <v>49.239215999999978</v>
      </c>
      <c r="AK17" s="13">
        <f t="shared" si="35"/>
        <v>14.417108895027585</v>
      </c>
      <c r="AL17" s="20">
        <f t="shared" si="4"/>
        <v>110.86809919217301</v>
      </c>
      <c r="AM17" s="59">
        <f t="shared" si="5"/>
        <v>384.64587696995079</v>
      </c>
      <c r="AN17" s="59">
        <f ca="1">AVERAGE(OFFSET($AM$3,0,0,'Données projet'!$E$10+1,1))-AVERAGE(OFFSET($H$3,0,0,'Données projet'!$E$10+1,1))</f>
        <v>581.88778927327667</v>
      </c>
      <c r="AO17" s="59">
        <f t="shared" si="36"/>
        <v>269.67340993773422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5.5190909090909095</v>
      </c>
      <c r="BD17" s="12">
        <f>IF('Données projet'!$A$88&gt;35,BD16+BC17-BL16,IF(A17&lt;'Données projet'!$A$88,$BA$205^A17,IF(A17='Données projet'!$A$88,'Données projet'!$B$88,BD16+BC17-BL16)))</f>
        <v>21.201496135746666</v>
      </c>
      <c r="BE17" s="13">
        <f>BD17*VLOOKUP('Données projet'!$B$11,Paramètres!$A$1:$I$89,3,0)*VLOOKUP('Données projet'!$B$11,Paramètres!$A$1:$I$89,5,0)</f>
        <v>12.127255789647092</v>
      </c>
      <c r="BF17" s="13">
        <f t="shared" si="37"/>
        <v>4.1798879836750276</v>
      </c>
      <c r="BG17" s="20">
        <f t="shared" si="7"/>
        <v>28.401608738536027</v>
      </c>
      <c r="BH17" s="59">
        <f t="shared" si="8"/>
        <v>302.1793865163138</v>
      </c>
      <c r="BI17" s="59">
        <f ca="1">AVERAGE(OFFSET($BH$3,0,0,'Données projet'!$E$11+1,1))-AVERAGE(OFFSET($H$3,0,0,'Données projet'!$E$11+1,1))</f>
        <v>292.09131652373259</v>
      </c>
      <c r="BJ17" s="59">
        <f t="shared" si="38"/>
        <v>200.24819245805861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7.1952941176470588</v>
      </c>
      <c r="N18" s="13">
        <f>IF('Données projet'!$A$36&gt;35,N17+M18-V17,IF(A18&lt;'Données projet'!$A$36,$K$205^A18,IF(A18='Données projet'!$A$36,'Données projet'!$B$36,N17+M18-V17)))</f>
        <v>69.487955592441367</v>
      </c>
      <c r="O18" s="13">
        <f>N18*VLOOKUP('Données projet'!$B$9,Paramètres!$A$1:$I$89,3,0)*VLOOKUP('Données projet'!$B$9,Paramètres!$A$1:$I$89,5,0)</f>
        <v>41.553797444279937</v>
      </c>
      <c r="P18" s="13">
        <f t="shared" si="33"/>
        <v>12.409563214842624</v>
      </c>
      <c r="Q18" s="20">
        <f t="shared" si="2"/>
        <v>93.986186481305097</v>
      </c>
      <c r="R18" s="59">
        <f t="shared" si="0"/>
        <v>368.98618648130508</v>
      </c>
      <c r="S18" s="59">
        <f ca="1">AVERAGE(OFFSET($R$3,0,0,'Données projet'!$E$9+1,1))-AVERAGE(OFFSET($H$3,0,0,'Données projet'!$E$9+1,1))</f>
        <v>300.80663531652721</v>
      </c>
      <c r="T18" s="59">
        <f t="shared" si="34"/>
        <v>306.01967513533549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3.887142857142857</v>
      </c>
      <c r="AI18" s="13">
        <f>IF('Données projet'!$A$62&gt;35,AI17+AH18-AQ17,IF(A18&lt;'Données projet'!$A$62,$AF$205^A18,IF(A18='Données projet'!$A$62,'Données projet'!$B$62,AI17+AH18-AQ17)))</f>
        <v>58.307142857142836</v>
      </c>
      <c r="AJ18" s="13">
        <f>AI18*VLOOKUP('Données projet'!$B$10,Paramètres!$A$1:$I$89,3,0)*VLOOKUP('Données projet'!$B$10,Paramètres!$A$1:$I$89,5,0)</f>
        <v>52.756302857142842</v>
      </c>
      <c r="AK18" s="13">
        <f t="shared" si="35"/>
        <v>15.323348643415981</v>
      </c>
      <c r="AL18" s="20">
        <f t="shared" si="4"/>
        <v>118.57205969680662</v>
      </c>
      <c r="AM18" s="59">
        <f t="shared" si="5"/>
        <v>393.5720596968066</v>
      </c>
      <c r="AN18" s="59">
        <f ca="1">AVERAGE(OFFSET($AM$3,0,0,'Données projet'!$E$10+1,1))-AVERAGE(OFFSET($H$3,0,0,'Données projet'!$E$10+1,1))</f>
        <v>581.88778927327667</v>
      </c>
      <c r="AO18" s="59">
        <f t="shared" si="36"/>
        <v>269.67340993773422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5.5190909090909095</v>
      </c>
      <c r="BD18" s="12">
        <f>IF('Données projet'!$A$88&gt;35,BD17+BC18-BL17,IF(A18&lt;'Données projet'!$A$88,$BA$205^A18,IF(A18='Données projet'!$A$88,'Données projet'!$B$88,BD17+BC18-BL17)))</f>
        <v>26.369808383690565</v>
      </c>
      <c r="BE18" s="13">
        <f>BD18*VLOOKUP('Données projet'!$B$11,Paramètres!$A$1:$I$89,3,0)*VLOOKUP('Données projet'!$B$11,Paramètres!$A$1:$I$89,5,0)</f>
        <v>15.083530395471003</v>
      </c>
      <c r="BF18" s="13">
        <f t="shared" si="37"/>
        <v>5.0684751101661325</v>
      </c>
      <c r="BG18" s="20">
        <f t="shared" si="7"/>
        <v>35.098076255651343</v>
      </c>
      <c r="BH18" s="59">
        <f t="shared" si="8"/>
        <v>310.09807625565134</v>
      </c>
      <c r="BI18" s="59">
        <f ca="1">AVERAGE(OFFSET($BH$3,0,0,'Données projet'!$E$11+1,1))-AVERAGE(OFFSET($H$3,0,0,'Données projet'!$E$11+1,1))</f>
        <v>292.09131652373259</v>
      </c>
      <c r="BJ18" s="59">
        <f t="shared" si="38"/>
        <v>200.24819245805861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7.1952941176470588</v>
      </c>
      <c r="N19" s="13">
        <f>IF('Données projet'!$A$36&gt;35,N18+M19-V18,IF(A19&lt;'Données projet'!$A$36,$K$205^A19,IF(A19='Données projet'!$A$36,'Données projet'!$B$36,N18+M19-V18)))</f>
        <v>92.194179469570756</v>
      </c>
      <c r="O19" s="13">
        <f>N19*VLOOKUP('Données projet'!$B$9,Paramètres!$A$1:$I$89,3,0)*VLOOKUP('Données projet'!$B$9,Paramètres!$A$1:$I$89,5,0)</f>
        <v>55.13211932280332</v>
      </c>
      <c r="P19" s="13">
        <f t="shared" si="33"/>
        <v>15.931521231978957</v>
      </c>
      <c r="Q19" s="20">
        <f t="shared" si="2"/>
        <v>123.76917396624582</v>
      </c>
      <c r="R19" s="59">
        <f t="shared" si="0"/>
        <v>399.99139618846806</v>
      </c>
      <c r="S19" s="59">
        <f ca="1">AVERAGE(OFFSET($R$3,0,0,'Données projet'!$E$9+1,1))-AVERAGE(OFFSET($H$3,0,0,'Données projet'!$E$9+1,1))</f>
        <v>300.80663531652721</v>
      </c>
      <c r="T19" s="59">
        <f t="shared" si="34"/>
        <v>306.01967513533549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3.887142857142857</v>
      </c>
      <c r="AI19" s="13">
        <f>IF('Données projet'!$A$62&gt;35,AI18+AH19-AQ18,IF(A19&lt;'Données projet'!$A$62,$AF$205^A19,IF(A19='Données projet'!$A$62,'Données projet'!$B$62,AI18+AH19-AQ18)))</f>
        <v>62.194285714285691</v>
      </c>
      <c r="AJ19" s="13">
        <f>AI19*VLOOKUP('Données projet'!$B$10,Paramètres!$A$1:$I$89,3,0)*VLOOKUP('Données projet'!$B$10,Paramètres!$A$1:$I$89,5,0)</f>
        <v>56.273389714285692</v>
      </c>
      <c r="AK19" s="13">
        <f t="shared" si="35"/>
        <v>16.222577706752112</v>
      </c>
      <c r="AL19" s="20">
        <f t="shared" si="4"/>
        <v>126.26380992497417</v>
      </c>
      <c r="AM19" s="59">
        <f t="shared" si="5"/>
        <v>402.4860321471964</v>
      </c>
      <c r="AN19" s="59">
        <f ca="1">AVERAGE(OFFSET($AM$3,0,0,'Données projet'!$E$10+1,1))-AVERAGE(OFFSET($H$3,0,0,'Données projet'!$E$10+1,1))</f>
        <v>581.88778927327667</v>
      </c>
      <c r="AO19" s="59">
        <f t="shared" si="36"/>
        <v>269.67340993773422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5.5190909090909095</v>
      </c>
      <c r="BD19" s="12">
        <f>IF('Données projet'!$A$88&gt;35,BD18+BC19-BL18,IF(A19&lt;'Données projet'!$A$88,$BA$205^A19,IF(A19='Données projet'!$A$88,'Données projet'!$B$88,BD18+BC19-BL18)))</f>
        <v>32.798005845452465</v>
      </c>
      <c r="BE19" s="13">
        <f>BD19*VLOOKUP('Données projet'!$B$11,Paramètres!$A$1:$I$89,3,0)*VLOOKUP('Données projet'!$B$11,Paramètres!$A$1:$I$89,5,0)</f>
        <v>18.760459343598811</v>
      </c>
      <c r="BF19" s="13">
        <f t="shared" si="37"/>
        <v>6.1459637298191412</v>
      </c>
      <c r="BG19" s="20">
        <f t="shared" si="7"/>
        <v>43.378686852869599</v>
      </c>
      <c r="BH19" s="59">
        <f t="shared" si="8"/>
        <v>319.60090907509181</v>
      </c>
      <c r="BI19" s="59">
        <f ca="1">AVERAGE(OFFSET($BH$3,0,0,'Données projet'!$E$11+1,1))-AVERAGE(OFFSET($H$3,0,0,'Données projet'!$E$11+1,1))</f>
        <v>292.09131652373259</v>
      </c>
      <c r="BJ19" s="59">
        <f t="shared" si="38"/>
        <v>200.24819245805861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122.32</v>
      </c>
      <c r="L20" s="12">
        <f>VLOOKUP(A20,'Données projet'!$A$35:$I$55,9,0)</f>
        <v>7.1952941176470588</v>
      </c>
      <c r="M20" s="12">
        <f t="array" ref="M20">INDEX(L:L,MIN(IF(ISNUMBER(L20:L216),ROW(L20:L216),"")))</f>
        <v>7.1952941176470588</v>
      </c>
      <c r="N20" s="13">
        <f>IF('Données projet'!$A$36&gt;35,N19+M20-V19,IF(A20&lt;'Données projet'!$A$36,$K$205^A20,IF(A20='Données projet'!$A$36,'Données projet'!$B$36,N19+M20-V19)))</f>
        <v>122.32</v>
      </c>
      <c r="O20" s="13">
        <f>N20*VLOOKUP('Données projet'!$B$9,Paramètres!$A$1:$I$89,3,0)*VLOOKUP('Données projet'!$B$9,Paramètres!$A$1:$I$89,5,0)</f>
        <v>73.147360000000006</v>
      </c>
      <c r="P20" s="13">
        <f t="shared" si="33"/>
        <v>20.453046120222783</v>
      </c>
      <c r="Q20" s="20">
        <f t="shared" si="2"/>
        <v>163.02070732605469</v>
      </c>
      <c r="R20" s="59">
        <f t="shared" si="0"/>
        <v>440.46515177049912</v>
      </c>
      <c r="S20" s="59">
        <f ca="1">AVERAGE(OFFSET($R$3,0,0,'Données projet'!$E$9+1,1))-AVERAGE(OFFSET($H$3,0,0,'Données projet'!$E$9+1,1))</f>
        <v>300.80663531652721</v>
      </c>
      <c r="T20" s="59">
        <f t="shared" si="34"/>
        <v>306.01967513533549</v>
      </c>
      <c r="U20" s="15">
        <f>IF(ISNA(VLOOKUP(A20,'Données projet'!$A$35:$I$55,3,0)),0,VLOOKUP(A20,'Données projet'!$A$35:$I$55,3,0))</f>
        <v>1</v>
      </c>
      <c r="V20" s="15">
        <f>IF(ISNA(VLOOKUP(A20,'Données projet'!$A$35:$I$55,4,0)),0,VLOOKUP(A20,'Données projet'!$A$35:$I$55,4,0))</f>
        <v>40.76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0.45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14.49315281448583</v>
      </c>
      <c r="AB20" s="21">
        <f>EXP(-LN(2)/2)*AB19+(1-EXP(-LN(2)/2))/(LN(2)/2)*V20*Y20*VLOOKUP('Données projet'!$B$9,Paramètres!$A$1:$I$89,3,0)*0.475*44/12</f>
        <v>0</v>
      </c>
      <c r="AC20" s="22">
        <f t="shared" si="3"/>
        <v>14.49315281448583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3.887142857142857</v>
      </c>
      <c r="AI20" s="13">
        <f>IF('Données projet'!$A$62&gt;35,AI19+AH20-AQ19,IF(A20&lt;'Données projet'!$A$62,$AF$205^A20,IF(A20='Données projet'!$A$62,'Données projet'!$B$62,AI19+AH20-AQ19)))</f>
        <v>66.081428571428546</v>
      </c>
      <c r="AJ20" s="13">
        <f>AI20*VLOOKUP('Données projet'!$B$10,Paramètres!$A$1:$I$89,3,0)*VLOOKUP('Données projet'!$B$10,Paramètres!$A$1:$I$89,5,0)</f>
        <v>59.790476571428549</v>
      </c>
      <c r="AK20" s="13">
        <f t="shared" si="35"/>
        <v>17.115284135607041</v>
      </c>
      <c r="AL20" s="20">
        <f t="shared" si="4"/>
        <v>133.94419989808699</v>
      </c>
      <c r="AM20" s="59">
        <f t="shared" si="5"/>
        <v>411.38864434253145</v>
      </c>
      <c r="AN20" s="59">
        <f ca="1">AVERAGE(OFFSET($AM$3,0,0,'Données projet'!$E$10+1,1))-AVERAGE(OFFSET($H$3,0,0,'Données projet'!$E$10+1,1))</f>
        <v>581.88778927327667</v>
      </c>
      <c r="AO20" s="59">
        <f t="shared" si="36"/>
        <v>269.67340993773422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5.5190909090909095</v>
      </c>
      <c r="BD20" s="12">
        <f>IF('Données projet'!$A$88&gt;35,BD19+BC20-BL19,IF(A20&lt;'Données projet'!$A$88,$BA$205^A20,IF(A20='Données projet'!$A$88,'Données projet'!$B$88,BD19+BC20-BL19)))</f>
        <v>40.793212138152981</v>
      </c>
      <c r="BE20" s="13">
        <f>BD20*VLOOKUP('Données projet'!$B$11,Paramètres!$A$1:$I$89,3,0)*VLOOKUP('Données projet'!$B$11,Paramètres!$A$1:$I$89,5,0)</f>
        <v>23.333717343023505</v>
      </c>
      <c r="BF20" s="13">
        <f t="shared" si="37"/>
        <v>7.4525117214227166</v>
      </c>
      <c r="BG20" s="20">
        <f t="shared" si="7"/>
        <v>53.619348953910503</v>
      </c>
      <c r="BH20" s="59">
        <f t="shared" si="8"/>
        <v>331.06379339835496</v>
      </c>
      <c r="BI20" s="59">
        <f ca="1">AVERAGE(OFFSET($BH$3,0,0,'Données projet'!$E$11+1,1))-AVERAGE(OFFSET($H$3,0,0,'Données projet'!$E$11+1,1))</f>
        <v>292.09131652373259</v>
      </c>
      <c r="BJ20" s="59">
        <f t="shared" si="38"/>
        <v>200.24819245805861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17.686666666666667</v>
      </c>
      <c r="N21" s="13">
        <f>IF('Données projet'!$A$36&gt;35,N20+M21-V20,IF(A21&lt;'Données projet'!$A$36,$K$205^A21,IF(A21='Données projet'!$A$36,'Données projet'!$B$36,N20+M21-V20)))</f>
        <v>99.24666666666667</v>
      </c>
      <c r="O21" s="13">
        <f>N21*VLOOKUP('Données projet'!$B$9,Paramètres!$A$1:$I$89,3,0)*VLOOKUP('Données projet'!$B$9,Paramètres!$A$1:$I$89,5,0)</f>
        <v>59.34950666666667</v>
      </c>
      <c r="P21" s="13">
        <f t="shared" si="33"/>
        <v>17.003699693551216</v>
      </c>
      <c r="Q21" s="20">
        <f t="shared" si="2"/>
        <v>132.98183441071282</v>
      </c>
      <c r="R21" s="59">
        <f t="shared" si="0"/>
        <v>411.64850107737948</v>
      </c>
      <c r="S21" s="59">
        <f ca="1">AVERAGE(OFFSET($R$3,0,0,'Données projet'!$E$9+1,1))-AVERAGE(OFFSET($H$3,0,0,'Données projet'!$E$9+1,1))</f>
        <v>300.80663531652721</v>
      </c>
      <c r="T21" s="59">
        <f t="shared" si="34"/>
        <v>306.01967513533549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14.096836788611933</v>
      </c>
      <c r="AB21" s="21">
        <f>EXP(-LN(2)/2)*AB20+(1-EXP(-LN(2)/2))/(LN(2)/2)*V21*Y21*VLOOKUP('Données projet'!$B$9,Paramètres!$A$1:$I$89,3,0)*0.475*44/12</f>
        <v>0</v>
      </c>
      <c r="AC21" s="22">
        <f t="shared" si="3"/>
        <v>14.096836788611933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3.887142857142857</v>
      </c>
      <c r="AI21" s="13">
        <f>IF('Données projet'!$A$62&gt;35,AI20+AH21-AQ20,IF(A21&lt;'Données projet'!$A$62,$AF$205^A21,IF(A21='Données projet'!$A$62,'Données projet'!$B$62,AI20+AH21-AQ20)))</f>
        <v>69.968571428571408</v>
      </c>
      <c r="AJ21" s="13">
        <f>AI21*VLOOKUP('Données projet'!$B$10,Paramètres!$A$1:$I$89,3,0)*VLOOKUP('Données projet'!$B$10,Paramètres!$A$1:$I$89,5,0)</f>
        <v>63.307563428571406</v>
      </c>
      <c r="AK21" s="13">
        <f t="shared" si="35"/>
        <v>18.001895319269028</v>
      </c>
      <c r="AL21" s="20">
        <f t="shared" si="4"/>
        <v>141.61397398582207</v>
      </c>
      <c r="AM21" s="59">
        <f t="shared" si="5"/>
        <v>420.28064065248873</v>
      </c>
      <c r="AN21" s="59">
        <f ca="1">AVERAGE(OFFSET($AM$3,0,0,'Données projet'!$E$10+1,1))-AVERAGE(OFFSET($H$3,0,0,'Données projet'!$E$10+1,1))</f>
        <v>581.88778927327667</v>
      </c>
      <c r="AO21" s="59">
        <f t="shared" si="36"/>
        <v>269.67340993773422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5.5190909090909095</v>
      </c>
      <c r="BD21" s="12">
        <f>IF('Données projet'!$A$88&gt;35,BD20+BC21-BL20,IF(A21&lt;'Données projet'!$A$88,$BA$205^A21,IF(A21='Données projet'!$A$88,'Données projet'!$B$88,BD20+BC21-BL20)))</f>
        <v>50.737418743983852</v>
      </c>
      <c r="BE21" s="13">
        <f>BD21*VLOOKUP('Données projet'!$B$11,Paramètres!$A$1:$I$89,3,0)*VLOOKUP('Données projet'!$B$11,Paramètres!$A$1:$I$89,5,0)</f>
        <v>29.021803521558766</v>
      </c>
      <c r="BF21" s="13">
        <f t="shared" si="37"/>
        <v>9.0368139806086045</v>
      </c>
      <c r="BG21" s="20">
        <f t="shared" si="7"/>
        <v>66.285425482941505</v>
      </c>
      <c r="BH21" s="59">
        <f t="shared" si="8"/>
        <v>344.95209214960818</v>
      </c>
      <c r="BI21" s="59">
        <f ca="1">AVERAGE(OFFSET($BH$3,0,0,'Données projet'!$E$11+1,1))-AVERAGE(OFFSET($H$3,0,0,'Données projet'!$E$11+1,1))</f>
        <v>292.09131652373259</v>
      </c>
      <c r="BJ21" s="59">
        <f t="shared" si="38"/>
        <v>200.24819245805861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17.686666666666667</v>
      </c>
      <c r="N22" s="13">
        <f>IF('Données projet'!$A$36&gt;35,N21+M22-V21,IF(A22&lt;'Données projet'!$A$36,$K$205^A22,IF(A22='Données projet'!$A$36,'Données projet'!$B$36,N21+M22-V21)))</f>
        <v>116.93333333333334</v>
      </c>
      <c r="O22" s="13">
        <f>N22*VLOOKUP('Données projet'!$B$9,Paramètres!$A$1:$I$89,3,0)*VLOOKUP('Données projet'!$B$9,Paramètres!$A$1:$I$89,5,0)</f>
        <v>69.92613333333334</v>
      </c>
      <c r="P22" s="13">
        <f t="shared" si="33"/>
        <v>19.655112747639016</v>
      </c>
      <c r="Q22" s="20">
        <f t="shared" si="2"/>
        <v>156.02067025769352</v>
      </c>
      <c r="R22" s="59">
        <f t="shared" si="0"/>
        <v>435.90955914658241</v>
      </c>
      <c r="S22" s="59">
        <f ca="1">AVERAGE(OFFSET($R$3,0,0,'Données projet'!$E$9+1,1))-AVERAGE(OFFSET($H$3,0,0,'Données projet'!$E$9+1,1))</f>
        <v>300.80663531652721</v>
      </c>
      <c r="T22" s="59">
        <f t="shared" si="34"/>
        <v>306.01967513533549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13.711358045306911</v>
      </c>
      <c r="AB22" s="21">
        <f>EXP(-LN(2)/2)*AB21+(1-EXP(-LN(2)/2))/(LN(2)/2)*V22*Y22*VLOOKUP('Données projet'!$B$9,Paramètres!$A$1:$I$89,3,0)*0.475*44/12</f>
        <v>0</v>
      </c>
      <c r="AC22" s="22">
        <f t="shared" si="3"/>
        <v>13.711358045306911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3.887142857142857</v>
      </c>
      <c r="AI22" s="13">
        <f>IF('Données projet'!$A$62&gt;35,AI21+AH22-AQ21,IF(A22&lt;'Données projet'!$A$62,$AF$205^A22,IF(A22='Données projet'!$A$62,'Données projet'!$B$62,AI21+AH22-AQ21)))</f>
        <v>73.855714285714271</v>
      </c>
      <c r="AJ22" s="13">
        <f>AI22*VLOOKUP('Données projet'!$B$10,Paramètres!$A$1:$I$89,3,0)*VLOOKUP('Données projet'!$B$10,Paramètres!$A$1:$I$89,5,0)</f>
        <v>66.82465028571427</v>
      </c>
      <c r="AK22" s="13">
        <f t="shared" si="35"/>
        <v>18.882788477272459</v>
      </c>
      <c r="AL22" s="20">
        <f t="shared" si="4"/>
        <v>149.27378917886855</v>
      </c>
      <c r="AM22" s="59">
        <f t="shared" si="5"/>
        <v>429.16267806775738</v>
      </c>
      <c r="AN22" s="59">
        <f ca="1">AVERAGE(OFFSET($AM$3,0,0,'Données projet'!$E$10+1,1))-AVERAGE(OFFSET($H$3,0,0,'Données projet'!$E$10+1,1))</f>
        <v>581.88778927327667</v>
      </c>
      <c r="AO22" s="59">
        <f t="shared" si="36"/>
        <v>269.67340993773422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5.5190909090909095</v>
      </c>
      <c r="BD22" s="12">
        <f>IF('Données projet'!$A$88&gt;35,BD21+BC22-BL21,IF(A22&lt;'Données projet'!$A$88,$BA$205^A22,IF(A22='Données projet'!$A$88,'Données projet'!$B$88,BD21+BC22-BL21)))</f>
        <v>63.10573563278416</v>
      </c>
      <c r="BE22" s="13">
        <f>BD22*VLOOKUP('Données projet'!$B$11,Paramètres!$A$1:$I$89,3,0)*VLOOKUP('Données projet'!$B$11,Paramètres!$A$1:$I$89,5,0)</f>
        <v>36.096480781952543</v>
      </c>
      <c r="BF22" s="13">
        <f t="shared" si="37"/>
        <v>10.957917273095294</v>
      </c>
      <c r="BG22" s="20">
        <f t="shared" si="7"/>
        <v>81.953076612541665</v>
      </c>
      <c r="BH22" s="59">
        <f t="shared" si="8"/>
        <v>361.84196550143054</v>
      </c>
      <c r="BI22" s="59">
        <f ca="1">AVERAGE(OFFSET($BH$3,0,0,'Données projet'!$E$11+1,1))-AVERAGE(OFFSET($H$3,0,0,'Données projet'!$E$11+1,1))</f>
        <v>292.09131652373259</v>
      </c>
      <c r="BJ22" s="59">
        <f t="shared" si="38"/>
        <v>200.24819245805861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17.686666666666667</v>
      </c>
      <c r="N23" s="13">
        <f>IF('Données projet'!$A$36&gt;35,N22+M23-V22,IF(A23&lt;'Données projet'!$A$36,$K$205^A23,IF(A23='Données projet'!$A$36,'Données projet'!$B$36,N22+M23-V22)))</f>
        <v>134.62</v>
      </c>
      <c r="O23" s="13">
        <f>N23*VLOOKUP('Données projet'!$B$9,Paramètres!$A$1:$I$89,3,0)*VLOOKUP('Données projet'!$B$9,Paramètres!$A$1:$I$89,5,0)</f>
        <v>80.502760000000009</v>
      </c>
      <c r="P23" s="13">
        <f t="shared" si="33"/>
        <v>22.260066705482632</v>
      </c>
      <c r="Q23" s="20">
        <f t="shared" si="2"/>
        <v>178.97858984538223</v>
      </c>
      <c r="R23" s="59">
        <f t="shared" si="0"/>
        <v>460.0897009564934</v>
      </c>
      <c r="S23" s="59">
        <f ca="1">AVERAGE(OFFSET($R$3,0,0,'Données projet'!$E$9+1,1))-AVERAGE(OFFSET($H$3,0,0,'Données projet'!$E$9+1,1))</f>
        <v>300.80663531652721</v>
      </c>
      <c r="T23" s="59">
        <f t="shared" si="34"/>
        <v>306.01967513533549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13.336420238509012</v>
      </c>
      <c r="AB23" s="21">
        <f>EXP(-LN(2)/2)*AB22+(1-EXP(-LN(2)/2))/(LN(2)/2)*V23*Y23*VLOOKUP('Données projet'!$B$9,Paramètres!$A$1:$I$89,3,0)*0.475*44/12</f>
        <v>0</v>
      </c>
      <c r="AC23" s="22">
        <f t="shared" si="3"/>
        <v>13.336420238509012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3.887142857142857</v>
      </c>
      <c r="AI23" s="13">
        <f>IF('Données projet'!$A$62&gt;35,AI22+AH23-AQ22,IF(A23&lt;'Données projet'!$A$62,$AF$205^A23,IF(A23='Données projet'!$A$62,'Données projet'!$B$62,AI22+AH23-AQ22)))</f>
        <v>77.742857142857133</v>
      </c>
      <c r="AJ23" s="13">
        <f>AI23*VLOOKUP('Données projet'!$B$10,Paramètres!$A$1:$I$89,3,0)*VLOOKUP('Données projet'!$B$10,Paramètres!$A$1:$I$89,5,0)</f>
        <v>70.341737142857127</v>
      </c>
      <c r="AK23" s="13">
        <f t="shared" si="35"/>
        <v>19.758298879173367</v>
      </c>
      <c r="AL23" s="20">
        <f t="shared" si="4"/>
        <v>156.92422940503644</v>
      </c>
      <c r="AM23" s="59">
        <f t="shared" si="5"/>
        <v>438.03534051614758</v>
      </c>
      <c r="AN23" s="59">
        <f ca="1">AVERAGE(OFFSET($AM$3,0,0,'Données projet'!$E$10+1,1))-AVERAGE(OFFSET($H$3,0,0,'Données projet'!$E$10+1,1))</f>
        <v>581.88778927327667</v>
      </c>
      <c r="AO23" s="59">
        <f t="shared" si="36"/>
        <v>269.67340993773422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5.5190909090909095</v>
      </c>
      <c r="BD23" s="12">
        <f>IF('Données projet'!$A$88&gt;35,BD22+BC23-BL22,IF(A23&lt;'Données projet'!$A$88,$BA$205^A23,IF(A23='Données projet'!$A$88,'Données projet'!$B$88,BD22+BC23-BL22)))</f>
        <v>78.489090859141243</v>
      </c>
      <c r="BE23" s="13">
        <f>BD23*VLOOKUP('Données projet'!$B$11,Paramètres!$A$1:$I$89,3,0)*VLOOKUP('Données projet'!$B$11,Paramètres!$A$1:$I$89,5,0)</f>
        <v>44.895759971428795</v>
      </c>
      <c r="BF23" s="13">
        <f t="shared" si="37"/>
        <v>13.287420900957107</v>
      </c>
      <c r="BG23" s="20">
        <f t="shared" si="7"/>
        <v>101.33570668607211</v>
      </c>
      <c r="BH23" s="59">
        <f t="shared" si="8"/>
        <v>382.44681779718326</v>
      </c>
      <c r="BI23" s="59">
        <f ca="1">AVERAGE(OFFSET($BH$3,0,0,'Données projet'!$E$11+1,1))-AVERAGE(OFFSET($H$3,0,0,'Données projet'!$E$11+1,1))</f>
        <v>292.09131652373259</v>
      </c>
      <c r="BJ23" s="59">
        <f t="shared" si="38"/>
        <v>200.24819245805861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17.686666666666667</v>
      </c>
      <c r="N24" s="13">
        <f>IF('Données projet'!$A$36&gt;35,N23+M24-V23,IF(A24&lt;'Données projet'!$A$36,$K$205^A24,IF(A24='Données projet'!$A$36,'Données projet'!$B$36,N23+M24-V23)))</f>
        <v>152.30666666666667</v>
      </c>
      <c r="O24" s="13">
        <f>N24*VLOOKUP('Données projet'!$B$9,Paramètres!$A$1:$I$89,3,0)*VLOOKUP('Données projet'!$B$9,Paramètres!$A$1:$I$89,5,0)</f>
        <v>91.079386666666679</v>
      </c>
      <c r="P24" s="13">
        <f t="shared" si="33"/>
        <v>24.825366166504242</v>
      </c>
      <c r="Q24" s="20">
        <f t="shared" si="2"/>
        <v>201.8674445177727</v>
      </c>
      <c r="R24" s="59">
        <f t="shared" si="0"/>
        <v>484.20077785110601</v>
      </c>
      <c r="S24" s="59">
        <f ca="1">AVERAGE(OFFSET($R$3,0,0,'Données projet'!$E$9+1,1))-AVERAGE(OFFSET($H$3,0,0,'Données projet'!$E$9+1,1))</f>
        <v>300.80663531652721</v>
      </c>
      <c r="T24" s="59">
        <f t="shared" si="34"/>
        <v>306.01967513533549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12.971735125755124</v>
      </c>
      <c r="AB24" s="21">
        <f>EXP(-LN(2)/2)*AB23+(1-EXP(-LN(2)/2))/(LN(2)/2)*V24*Y24*VLOOKUP('Données projet'!$B$9,Paramètres!$A$1:$I$89,3,0)*0.475*44/12</f>
        <v>0</v>
      </c>
      <c r="AC24" s="22">
        <f t="shared" si="3"/>
        <v>12.971735125755124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3.887142857142857</v>
      </c>
      <c r="AI24" s="13">
        <f>IF('Données projet'!$A$62&gt;35,AI23+AH24-AQ23,IF(A24&lt;'Données projet'!$A$62,$AF$205^A24,IF(A24='Données projet'!$A$62,'Données projet'!$B$62,AI23+AH24-AQ23)))</f>
        <v>81.63</v>
      </c>
      <c r="AJ24" s="13">
        <f>AI24*VLOOKUP('Données projet'!$B$10,Paramètres!$A$1:$I$89,3,0)*VLOOKUP('Données projet'!$B$10,Paramètres!$A$1:$I$89,5,0)</f>
        <v>73.858823999999984</v>
      </c>
      <c r="AK24" s="13">
        <f t="shared" si="35"/>
        <v>20.628726373651425</v>
      </c>
      <c r="AL24" s="20">
        <f t="shared" si="4"/>
        <v>164.56581690077618</v>
      </c>
      <c r="AM24" s="59">
        <f t="shared" si="5"/>
        <v>446.89915023410947</v>
      </c>
      <c r="AN24" s="59">
        <f ca="1">AVERAGE(OFFSET($AM$3,0,0,'Données projet'!$E$10+1,1))-AVERAGE(OFFSET($H$3,0,0,'Données projet'!$E$10+1,1))</f>
        <v>581.88778927327667</v>
      </c>
      <c r="AO24" s="59">
        <f t="shared" si="36"/>
        <v>269.67340993773422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5.5190909090909095</v>
      </c>
      <c r="BD24" s="12">
        <f>IF('Données projet'!$A$88&gt;35,BD23+BC24-BL23,IF(A24&lt;'Données projet'!$A$88,$BA$205^A24,IF(A24='Données projet'!$A$88,'Données projet'!$B$88,BD23+BC24-BL23)))</f>
        <v>97.622463665474783</v>
      </c>
      <c r="BE24" s="13">
        <f>BD24*VLOOKUP('Données projet'!$B$11,Paramètres!$A$1:$I$89,3,0)*VLOOKUP('Données projet'!$B$11,Paramètres!$A$1:$I$89,5,0)</f>
        <v>55.840049216651579</v>
      </c>
      <c r="BF24" s="13">
        <f t="shared" si="37"/>
        <v>16.112145200501214</v>
      </c>
      <c r="BG24" s="20">
        <f t="shared" si="7"/>
        <v>125.31673860987443</v>
      </c>
      <c r="BH24" s="59">
        <f t="shared" si="8"/>
        <v>407.65007194320776</v>
      </c>
      <c r="BI24" s="59">
        <f ca="1">AVERAGE(OFFSET($BH$3,0,0,'Données projet'!$E$11+1,1))-AVERAGE(OFFSET($H$3,0,0,'Données projet'!$E$11+1,1))</f>
        <v>292.09131652373259</v>
      </c>
      <c r="BJ24" s="59">
        <f t="shared" si="38"/>
        <v>200.24819245805861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17.686666666666667</v>
      </c>
      <c r="N25" s="13">
        <f>IF('Données projet'!$A$36&gt;35,N24+M25-V24,IF(A25&lt;'Données projet'!$A$36,$K$205^A25,IF(A25='Données projet'!$A$36,'Données projet'!$B$36,N24+M25-V24)))</f>
        <v>169.99333333333334</v>
      </c>
      <c r="O25" s="13">
        <f>N25*VLOOKUP('Données projet'!$B$9,Paramètres!$A$1:$I$89,3,0)*VLOOKUP('Données projet'!$B$9,Paramètres!$A$1:$I$89,5,0)</f>
        <v>101.65601333333333</v>
      </c>
      <c r="P25" s="13">
        <f t="shared" si="33"/>
        <v>27.356141971554642</v>
      </c>
      <c r="Q25" s="20">
        <f t="shared" si="2"/>
        <v>224.6961704893466</v>
      </c>
      <c r="R25" s="59">
        <f t="shared" si="0"/>
        <v>508.25172604490217</v>
      </c>
      <c r="S25" s="59">
        <f ca="1">AVERAGE(OFFSET($R$3,0,0,'Données projet'!$E$9+1,1))-AVERAGE(OFFSET($H$3,0,0,'Données projet'!$E$9+1,1))</f>
        <v>300.80663531652721</v>
      </c>
      <c r="T25" s="59">
        <f t="shared" si="34"/>
        <v>306.01967513533549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12.617022346587447</v>
      </c>
      <c r="AB25" s="21">
        <f>EXP(-LN(2)/2)*AB24+(1-EXP(-LN(2)/2))/(LN(2)/2)*V25*Y25*VLOOKUP('Données projet'!$B$9,Paramètres!$A$1:$I$89,3,0)*0.475*44/12</f>
        <v>0</v>
      </c>
      <c r="AC25" s="22">
        <f t="shared" si="3"/>
        <v>12.617022346587447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3.887142857142857</v>
      </c>
      <c r="AI25" s="13">
        <f>IF('Données projet'!$A$62&gt;35,AI24+AH25-AQ24,IF(A25&lt;'Données projet'!$A$62,$AF$205^A25,IF(A25='Données projet'!$A$62,'Données projet'!$B$62,AI24+AH25-AQ24)))</f>
        <v>85.517142857142858</v>
      </c>
      <c r="AJ25" s="13">
        <f>AI25*VLOOKUP('Données projet'!$B$10,Paramètres!$A$1:$I$89,3,0)*VLOOKUP('Données projet'!$B$10,Paramètres!$A$1:$I$89,5,0)</f>
        <v>77.375910857142856</v>
      </c>
      <c r="AK25" s="13">
        <f t="shared" si="35"/>
        <v>21.49434063873689</v>
      </c>
      <c r="AL25" s="20">
        <f t="shared" si="4"/>
        <v>172.19902135532388</v>
      </c>
      <c r="AM25" s="59">
        <f t="shared" si="5"/>
        <v>455.75457691087945</v>
      </c>
      <c r="AN25" s="59">
        <f ca="1">AVERAGE(OFFSET($AM$3,0,0,'Données projet'!$E$10+1,1))-AVERAGE(OFFSET($H$3,0,0,'Données projet'!$E$10+1,1))</f>
        <v>581.88778927327667</v>
      </c>
      <c r="AO25" s="59">
        <f t="shared" si="36"/>
        <v>269.67340993773422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>
        <f>VLOOKUP(A25,'Données projet'!$A$87:$I$107,2,0)</f>
        <v>121.42</v>
      </c>
      <c r="BB25" s="12">
        <f>VLOOKUP(A25,'Données projet'!$A$87:$I$107,9,0)</f>
        <v>5.5190909090909095</v>
      </c>
      <c r="BC25" s="12">
        <f t="array" ref="BC25">INDEX(BB:BB,MIN(IF(ISNUMBER(BB25:BB221),ROW(BB25:BB221),"")))</f>
        <v>5.5190909090909095</v>
      </c>
      <c r="BD25" s="12">
        <f>IF('Données projet'!$A$88&gt;35,BD24+BC25-BL24,IF(A25&lt;'Données projet'!$A$88,$BA$205^A25,IF(A25='Données projet'!$A$88,'Données projet'!$B$88,BD24+BC25-BL24)))</f>
        <v>121.42</v>
      </c>
      <c r="BE25" s="13">
        <f>BD25*VLOOKUP('Données projet'!$B$11,Paramètres!$A$1:$I$89,3,0)*VLOOKUP('Données projet'!$B$11,Paramètres!$A$1:$I$89,5,0)</f>
        <v>69.452240000000003</v>
      </c>
      <c r="BF25" s="13">
        <f t="shared" si="37"/>
        <v>19.537367326366169</v>
      </c>
      <c r="BG25" s="20">
        <f t="shared" si="7"/>
        <v>154.99023276008774</v>
      </c>
      <c r="BH25" s="59">
        <f t="shared" si="8"/>
        <v>438.54578831564328</v>
      </c>
      <c r="BI25" s="59">
        <f ca="1">AVERAGE(OFFSET($BH$3,0,0,'Données projet'!$E$11+1,1))-AVERAGE(OFFSET($H$3,0,0,'Données projet'!$E$11+1,1))</f>
        <v>292.09131652373259</v>
      </c>
      <c r="BJ25" s="59">
        <f t="shared" si="38"/>
        <v>200.24819245805861</v>
      </c>
      <c r="BK25" s="15">
        <f>IF(ISNA(VLOOKUP(A25,'Données projet'!$A$87:$I$107,3,0)),0,VLOOKUP(A25,'Données projet'!$A$87:$I$107,3,0))</f>
        <v>1</v>
      </c>
      <c r="BL25" s="15">
        <f>IF(ISNA(VLOOKUP(A25,'Données projet'!$A$87:$I$107,4,0)),0,VLOOKUP(A25,'Données projet'!$A$87:$I$107,4,0))</f>
        <v>50.38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0.45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17.134905121670343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17.134905121670343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>
        <f>VLOOKUP(A26,'Données projet'!$A$35:$I$55,2,0)</f>
        <v>187.68</v>
      </c>
      <c r="L26" s="12">
        <f>VLOOKUP(A26,'Données projet'!$A$35:$I$55,9,0)</f>
        <v>17.686666666666667</v>
      </c>
      <c r="M26" s="12">
        <f t="array" ref="M26">INDEX(L:L,MIN(IF(ISNUMBER(L26:L222),ROW(L26:L222),"")))</f>
        <v>17.686666666666667</v>
      </c>
      <c r="N26" s="13">
        <f>IF('Données projet'!$A$36&gt;35,N25+M26-V25,IF(A26&lt;'Données projet'!$A$36,$K$205^A26,IF(A26='Données projet'!$A$36,'Données projet'!$B$36,N25+M26-V25)))</f>
        <v>187.68</v>
      </c>
      <c r="O26" s="13">
        <f>N26*VLOOKUP('Données projet'!$B$9,Paramètres!$A$1:$I$89,3,0)*VLOOKUP('Données projet'!$B$9,Paramètres!$A$1:$I$89,5,0)</f>
        <v>112.23264000000002</v>
      </c>
      <c r="P26" s="13">
        <f t="shared" si="33"/>
        <v>29.85639523393861</v>
      </c>
      <c r="Q26" s="20">
        <f t="shared" si="2"/>
        <v>247.47173636577645</v>
      </c>
      <c r="R26" s="59">
        <f t="shared" si="0"/>
        <v>532.24951414355428</v>
      </c>
      <c r="S26" s="59">
        <f ca="1">AVERAGE(OFFSET($R$3,0,0,'Données projet'!$E$9+1,1))-AVERAGE(OFFSET($H$3,0,0,'Données projet'!$E$9+1,1))</f>
        <v>300.80663531652721</v>
      </c>
      <c r="T26" s="59">
        <f t="shared" si="34"/>
        <v>306.01967513533549</v>
      </c>
      <c r="U26" s="15">
        <f>IF(ISNA(VLOOKUP(A26,'Données projet'!$A$35:$I$55,3,0)),0,VLOOKUP(A26,'Données projet'!$A$35:$I$55,3,0))</f>
        <v>2</v>
      </c>
      <c r="V26" s="15">
        <f>IF(ISNA(VLOOKUP(A26,'Données projet'!$A$35:$I$55,4,0)),0,VLOOKUP(A26,'Données projet'!$A$35:$I$55,4,0))</f>
        <v>57.75</v>
      </c>
      <c r="W26" s="16">
        <f>IF(ISNA(VLOOKUP(A26,'Données projet'!$A$35:$I$55,5,0)),0%,VLOOKUP(A26,'Données projet'!$A$35:$I$55,5,0)*VLOOKUP('Données projet'!$B$9,Paramètres!$A$1:$I$89,7,0))</f>
        <v>4.5000000000000005E-2</v>
      </c>
      <c r="X26" s="16">
        <f>IF(ISNA(VLOOKUP(A26,'Données projet'!$A$35:$I$55,6,0)),0%,VLOOKUP(A26,'Données projet'!$A$35:$I$55,6,0)*VLOOKUP('Données projet'!$B$9,Paramètres!$A$1:$I$89,7,0))</f>
        <v>0.36000000000000004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2.0615508083869565</v>
      </c>
      <c r="AA26" s="21">
        <f>EXP(-LN(2)/25)*AA25+(1-EXP(-LN(2)/25))/(LN(2)/25)*Calculateur!V26*Calculateur!X26*VLOOKUP('Données projet'!$B$9,Paramètres!$A$1:$I$89,3,0)*0.475*44/12</f>
        <v>28.699478785754813</v>
      </c>
      <c r="AB26" s="21">
        <f>EXP(-LN(2)/2)*AB25+(1-EXP(-LN(2)/2))/(LN(2)/2)*V26*Y26*VLOOKUP('Données projet'!$B$9,Paramètres!$A$1:$I$89,3,0)*0.475*44/12</f>
        <v>0</v>
      </c>
      <c r="AC26" s="22">
        <f t="shared" si="3"/>
        <v>30.761029594141771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3.887142857142857</v>
      </c>
      <c r="AI26" s="13">
        <f>IF('Données projet'!$A$62&gt;35,AI25+AH26-AQ25,IF(A26&lt;'Données projet'!$A$62,$AF$205^A26,IF(A26='Données projet'!$A$62,'Données projet'!$B$62,AI25+AH26-AQ25)))</f>
        <v>89.40428571428572</v>
      </c>
      <c r="AJ26" s="13">
        <f>AI26*VLOOKUP('Données projet'!$B$10,Paramètres!$A$1:$I$89,3,0)*VLOOKUP('Données projet'!$B$10,Paramètres!$A$1:$I$89,5,0)</f>
        <v>80.892997714285713</v>
      </c>
      <c r="AK26" s="13">
        <f t="shared" si="35"/>
        <v>22.355385450466887</v>
      </c>
      <c r="AL26" s="20">
        <f t="shared" si="4"/>
        <v>179.82426734527743</v>
      </c>
      <c r="AM26" s="59">
        <f t="shared" si="5"/>
        <v>464.60204512305518</v>
      </c>
      <c r="AN26" s="59">
        <f ca="1">AVERAGE(OFFSET($AM$3,0,0,'Données projet'!$E$10+1,1))-AVERAGE(OFFSET($H$3,0,0,'Données projet'!$E$10+1,1))</f>
        <v>581.88778927327667</v>
      </c>
      <c r="AO26" s="59">
        <f t="shared" si="36"/>
        <v>269.67340993773422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11.041428571428574</v>
      </c>
      <c r="BD26" s="12">
        <f>IF('Données projet'!$A$88&gt;35,BD25+BC26-BL25,IF(A26&lt;'Données projet'!$A$88,$BA$205^A26,IF(A26='Données projet'!$A$88,'Données projet'!$B$88,BD25+BC26-BL25)))</f>
        <v>82.081428571428575</v>
      </c>
      <c r="BE26" s="13">
        <f>BD26*VLOOKUP('Données projet'!$B$11,Paramètres!$A$1:$I$89,3,0)*VLOOKUP('Données projet'!$B$11,Paramètres!$A$1:$I$89,5,0)</f>
        <v>46.950577142857149</v>
      </c>
      <c r="BF26" s="13">
        <f t="shared" si="37"/>
        <v>13.82337199310426</v>
      </c>
      <c r="BG26" s="20">
        <f t="shared" si="7"/>
        <v>105.84796141179943</v>
      </c>
      <c r="BH26" s="59">
        <f t="shared" si="8"/>
        <v>390.62573918957719</v>
      </c>
      <c r="BI26" s="59">
        <f ca="1">AVERAGE(OFFSET($BH$3,0,0,'Données projet'!$E$11+1,1))-AVERAGE(OFFSET($H$3,0,0,'Données projet'!$E$11+1,1))</f>
        <v>292.09131652373259</v>
      </c>
      <c r="BJ26" s="59">
        <f t="shared" si="38"/>
        <v>200.24819245805861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16.66635024003277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16.66635024003277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18.613333333333333</v>
      </c>
      <c r="N27" s="13">
        <f>IF('Données projet'!$A$36&gt;35,N26+M27-V26,IF(A27&lt;'Données projet'!$A$36,$K$205^A27,IF(A27='Données projet'!$A$36,'Données projet'!$B$36,N26+M27-V26)))</f>
        <v>148.54333333333335</v>
      </c>
      <c r="O27" s="13">
        <f>N27*VLOOKUP('Données projet'!$B$9,Paramètres!$A$1:$I$89,3,0)*VLOOKUP('Données projet'!$B$9,Paramètres!$A$1:$I$89,5,0)</f>
        <v>88.828913333333347</v>
      </c>
      <c r="P27" s="13">
        <f t="shared" si="33"/>
        <v>24.282572155728136</v>
      </c>
      <c r="Q27" s="20">
        <f t="shared" si="2"/>
        <v>197.00250389344876</v>
      </c>
      <c r="R27" s="59">
        <f t="shared" si="0"/>
        <v>483.00250389344876</v>
      </c>
      <c r="S27" s="59">
        <f ca="1">AVERAGE(OFFSET($R$3,0,0,'Données projet'!$E$9+1,1))-AVERAGE(OFFSET($H$3,0,0,'Données projet'!$E$9+1,1))</f>
        <v>300.80663531652721</v>
      </c>
      <c r="T27" s="59">
        <f t="shared" si="34"/>
        <v>306.01967513533549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2.0211250544563213</v>
      </c>
      <c r="AA27" s="21">
        <f>EXP(-LN(2)/25)*AA26+(1-EXP(-LN(2)/25))/(LN(2)/25)*Calculateur!V27*Calculateur!X27*VLOOKUP('Données projet'!$B$9,Paramètres!$A$1:$I$89,3,0)*0.475*44/12</f>
        <v>27.914690029118351</v>
      </c>
      <c r="AB27" s="21">
        <f>EXP(-LN(2)/2)*AB26+(1-EXP(-LN(2)/2))/(LN(2)/2)*V27*Y27*VLOOKUP('Données projet'!$B$9,Paramètres!$A$1:$I$89,3,0)*0.475*44/12</f>
        <v>0</v>
      </c>
      <c r="AC27" s="22">
        <f t="shared" si="3"/>
        <v>29.935815083574671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3.887142857142857</v>
      </c>
      <c r="AI27" s="13">
        <f>IF('Données projet'!$A$62&gt;35,AI26+AH27-AQ26,IF(A27&lt;'Données projet'!$A$62,$AF$205^A27,IF(A27='Données projet'!$A$62,'Données projet'!$B$62,AI26+AH27-AQ26)))</f>
        <v>93.291428571428582</v>
      </c>
      <c r="AJ27" s="13">
        <f>AI27*VLOOKUP('Données projet'!$B$10,Paramètres!$A$1:$I$89,3,0)*VLOOKUP('Données projet'!$B$10,Paramètres!$A$1:$I$89,5,0)</f>
        <v>84.410084571428584</v>
      </c>
      <c r="AK27" s="13">
        <f t="shared" si="35"/>
        <v>23.212082188219242</v>
      </c>
      <c r="AL27" s="20">
        <f t="shared" si="4"/>
        <v>187.44194043971996</v>
      </c>
      <c r="AM27" s="59">
        <f t="shared" si="5"/>
        <v>473.44194043971993</v>
      </c>
      <c r="AN27" s="59">
        <f ca="1">AVERAGE(OFFSET($AM$3,0,0,'Données projet'!$E$10+1,1))-AVERAGE(OFFSET($H$3,0,0,'Données projet'!$E$10+1,1))</f>
        <v>581.88778927327667</v>
      </c>
      <c r="AO27" s="59">
        <f t="shared" si="36"/>
        <v>269.67340993773422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11.041428571428574</v>
      </c>
      <c r="BD27" s="12">
        <f>IF('Données projet'!$A$88&gt;35,BD26+BC27-BL26,IF(A27&lt;'Données projet'!$A$88,$BA$205^A27,IF(A27='Données projet'!$A$88,'Données projet'!$B$88,BD26+BC27-BL26)))</f>
        <v>93.122857142857143</v>
      </c>
      <c r="BE27" s="13">
        <f>BD27*VLOOKUP('Données projet'!$B$11,Paramètres!$A$1:$I$89,3,0)*VLOOKUP('Données projet'!$B$11,Paramètres!$A$1:$I$89,5,0)</f>
        <v>53.266274285714289</v>
      </c>
      <c r="BF27" s="13">
        <f t="shared" si="37"/>
        <v>15.454157562712979</v>
      </c>
      <c r="BG27" s="20">
        <f t="shared" si="7"/>
        <v>119.68808546934416</v>
      </c>
      <c r="BH27" s="59">
        <f t="shared" si="8"/>
        <v>405.68808546934417</v>
      </c>
      <c r="BI27" s="59">
        <f ca="1">AVERAGE(OFFSET($BH$3,0,0,'Données projet'!$E$11+1,1))-AVERAGE(OFFSET($H$3,0,0,'Données projet'!$E$11+1,1))</f>
        <v>292.09131652373259</v>
      </c>
      <c r="BJ27" s="59">
        <f t="shared" si="38"/>
        <v>200.24819245805861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16.210608016273806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16.210608016273806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18.613333333333333</v>
      </c>
      <c r="N28" s="13">
        <f>IF('Données projet'!$A$36&gt;35,N27+M28-V27,IF(A28&lt;'Données projet'!$A$36,$K$205^A28,IF(A28='Données projet'!$A$36,'Données projet'!$B$36,N27+M28-V27)))</f>
        <v>167.15666666666669</v>
      </c>
      <c r="O28" s="13">
        <f>N28*VLOOKUP('Données projet'!$B$9,Paramètres!$A$1:$I$89,3,0)*VLOOKUP('Données projet'!$B$9,Paramètres!$A$1:$I$89,5,0)</f>
        <v>99.959686666666684</v>
      </c>
      <c r="P28" s="13">
        <f t="shared" si="33"/>
        <v>26.952393227223038</v>
      </c>
      <c r="Q28" s="20">
        <f t="shared" si="2"/>
        <v>221.03853914852459</v>
      </c>
      <c r="R28" s="59">
        <f t="shared" si="0"/>
        <v>508.26076137074682</v>
      </c>
      <c r="S28" s="59">
        <f ca="1">AVERAGE(OFFSET($R$3,0,0,'Données projet'!$E$9+1,1))-AVERAGE(OFFSET($H$3,0,0,'Données projet'!$E$9+1,1))</f>
        <v>300.80663531652721</v>
      </c>
      <c r="T28" s="59">
        <f t="shared" si="34"/>
        <v>306.01967513533549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1.9814920249029906</v>
      </c>
      <c r="AA28" s="21">
        <f>EXP(-LN(2)/25)*AA27+(1-EXP(-LN(2)/25))/(LN(2)/25)*Calculateur!V28*Calculateur!X28*VLOOKUP('Données projet'!$B$9,Paramètres!$A$1:$I$89,3,0)*0.475*44/12</f>
        <v>27.15136136230236</v>
      </c>
      <c r="AB28" s="21">
        <f>EXP(-LN(2)/2)*AB27+(1-EXP(-LN(2)/2))/(LN(2)/2)*V28*Y28*VLOOKUP('Données projet'!$B$9,Paramètres!$A$1:$I$89,3,0)*0.475*44/12</f>
        <v>0</v>
      </c>
      <c r="AC28" s="22">
        <f t="shared" si="3"/>
        <v>29.132853387205351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3.887142857142857</v>
      </c>
      <c r="AI28" s="13">
        <f>IF('Données projet'!$A$62&gt;35,AI27+AH28-AQ27,IF(A28&lt;'Données projet'!$A$62,$AF$205^A28,IF(A28='Données projet'!$A$62,'Données projet'!$B$62,AI27+AH28-AQ27)))</f>
        <v>97.178571428571445</v>
      </c>
      <c r="AJ28" s="13">
        <f>AI28*VLOOKUP('Données projet'!$B$10,Paramètres!$A$1:$I$89,3,0)*VLOOKUP('Données projet'!$B$10,Paramètres!$A$1:$I$89,5,0)</f>
        <v>87.927171428571441</v>
      </c>
      <c r="AK28" s="13">
        <f t="shared" si="35"/>
        <v>24.06463273936156</v>
      </c>
      <c r="AL28" s="20">
        <f t="shared" si="4"/>
        <v>195.05239225914997</v>
      </c>
      <c r="AM28" s="59">
        <f t="shared" si="5"/>
        <v>482.27461448137217</v>
      </c>
      <c r="AN28" s="59">
        <f ca="1">AVERAGE(OFFSET($AM$3,0,0,'Données projet'!$E$10+1,1))-AVERAGE(OFFSET($H$3,0,0,'Données projet'!$E$10+1,1))</f>
        <v>581.88778927327667</v>
      </c>
      <c r="AO28" s="59">
        <f t="shared" si="36"/>
        <v>269.67340993773422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11.041428571428574</v>
      </c>
      <c r="BD28" s="12">
        <f>IF('Données projet'!$A$88&gt;35,BD27+BC28-BL27,IF(A28&lt;'Données projet'!$A$88,$BA$205^A28,IF(A28='Données projet'!$A$88,'Données projet'!$B$88,BD27+BC28-BL27)))</f>
        <v>104.16428571428571</v>
      </c>
      <c r="BE28" s="13">
        <f>BD28*VLOOKUP('Données projet'!$B$11,Paramètres!$A$1:$I$89,3,0)*VLOOKUP('Données projet'!$B$11,Paramètres!$A$1:$I$89,5,0)</f>
        <v>59.581971428571428</v>
      </c>
      <c r="BF28" s="13">
        <f t="shared" si="37"/>
        <v>17.062535306176482</v>
      </c>
      <c r="BG28" s="20">
        <f t="shared" si="7"/>
        <v>133.48918256301928</v>
      </c>
      <c r="BH28" s="59">
        <f t="shared" si="8"/>
        <v>420.71140478524148</v>
      </c>
      <c r="BI28" s="59">
        <f ca="1">AVERAGE(OFFSET($BH$3,0,0,'Données projet'!$E$11+1,1))-AVERAGE(OFFSET($H$3,0,0,'Données projet'!$E$11+1,1))</f>
        <v>292.09131652373259</v>
      </c>
      <c r="BJ28" s="59">
        <f t="shared" si="38"/>
        <v>200.24819245805861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15.767328087589974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15.767328087589974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18.613333333333333</v>
      </c>
      <c r="N29" s="13">
        <f>IF('Données projet'!$A$36&gt;35,N28+M29-V28,IF(A29&lt;'Données projet'!$A$36,$K$205^A29,IF(A29='Données projet'!$A$36,'Données projet'!$B$36,N28+M29-V28)))</f>
        <v>185.77000000000004</v>
      </c>
      <c r="O29" s="13">
        <f>N29*VLOOKUP('Données projet'!$B$9,Paramètres!$A$1:$I$89,3,0)*VLOOKUP('Données projet'!$B$9,Paramètres!$A$1:$I$89,5,0)</f>
        <v>111.09046000000004</v>
      </c>
      <c r="P29" s="13">
        <f t="shared" si="33"/>
        <v>29.587757766677999</v>
      </c>
      <c r="Q29" s="20">
        <f t="shared" si="2"/>
        <v>245.01456261029759</v>
      </c>
      <c r="R29" s="59">
        <f t="shared" si="0"/>
        <v>533.45900705474207</v>
      </c>
      <c r="S29" s="59">
        <f ca="1">AVERAGE(OFFSET($R$3,0,0,'Données projet'!$E$9+1,1))-AVERAGE(OFFSET($H$3,0,0,'Données projet'!$E$9+1,1))</f>
        <v>300.80663531652721</v>
      </c>
      <c r="T29" s="59">
        <f t="shared" si="34"/>
        <v>306.01967513533549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1.9426361748854397</v>
      </c>
      <c r="AA29" s="21">
        <f>EXP(-LN(2)/25)*AA28+(1-EXP(-LN(2)/25))/(LN(2)/25)*Calculateur!V29*Calculateur!X29*VLOOKUP('Données projet'!$B$9,Paramètres!$A$1:$I$89,3,0)*0.475*44/12</f>
        <v>26.408905958022164</v>
      </c>
      <c r="AB29" s="21">
        <f>EXP(-LN(2)/2)*AB28+(1-EXP(-LN(2)/2))/(LN(2)/2)*V29*Y29*VLOOKUP('Données projet'!$B$9,Paramètres!$A$1:$I$89,3,0)*0.475*44/12</f>
        <v>0</v>
      </c>
      <c r="AC29" s="22">
        <f t="shared" si="3"/>
        <v>28.351542132907603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3.887142857142857</v>
      </c>
      <c r="AI29" s="13">
        <f>IF('Données projet'!$A$62&gt;35,AI28+AH29-AQ28,IF(A29&lt;'Données projet'!$A$62,$AF$205^A29,IF(A29='Données projet'!$A$62,'Données projet'!$B$62,AI28+AH29-AQ28)))</f>
        <v>101.06571428571431</v>
      </c>
      <c r="AJ29" s="13">
        <f>AI29*VLOOKUP('Données projet'!$B$10,Paramètres!$A$1:$I$89,3,0)*VLOOKUP('Données projet'!$B$10,Paramètres!$A$1:$I$89,5,0)</f>
        <v>91.444258285714298</v>
      </c>
      <c r="AK29" s="13">
        <f t="shared" si="35"/>
        <v>24.913221926074399</v>
      </c>
      <c r="AL29" s="20">
        <f t="shared" si="4"/>
        <v>202.65594470219867</v>
      </c>
      <c r="AM29" s="59">
        <f t="shared" si="5"/>
        <v>491.10038914664312</v>
      </c>
      <c r="AN29" s="59">
        <f ca="1">AVERAGE(OFFSET($AM$3,0,0,'Données projet'!$E$10+1,1))-AVERAGE(OFFSET($H$3,0,0,'Données projet'!$E$10+1,1))</f>
        <v>581.88778927327667</v>
      </c>
      <c r="AO29" s="59">
        <f t="shared" si="36"/>
        <v>269.67340993773422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11.041428571428574</v>
      </c>
      <c r="BD29" s="12">
        <f>IF('Données projet'!$A$88&gt;35,BD28+BC29-BL28,IF(A29&lt;'Données projet'!$A$88,$BA$205^A29,IF(A29='Données projet'!$A$88,'Données projet'!$B$88,BD28+BC29-BL28)))</f>
        <v>115.20571428571428</v>
      </c>
      <c r="BE29" s="13">
        <f>BD29*VLOOKUP('Données projet'!$B$11,Paramètres!$A$1:$I$89,3,0)*VLOOKUP('Données projet'!$B$11,Paramètres!$A$1:$I$89,5,0)</f>
        <v>65.897668571428568</v>
      </c>
      <c r="BF29" s="13">
        <f t="shared" si="37"/>
        <v>18.651151114025541</v>
      </c>
      <c r="BG29" s="20">
        <f t="shared" si="7"/>
        <v>147.2558609521659</v>
      </c>
      <c r="BH29" s="59">
        <f t="shared" si="8"/>
        <v>435.70030539661036</v>
      </c>
      <c r="BI29" s="59">
        <f ca="1">AVERAGE(OFFSET($BH$3,0,0,'Données projet'!$E$11+1,1))-AVERAGE(OFFSET($H$3,0,0,'Données projet'!$E$11+1,1))</f>
        <v>292.09131652373259</v>
      </c>
      <c r="BJ29" s="59">
        <f t="shared" si="38"/>
        <v>200.24819245805861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15.336169671867077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15.336169671867077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18.613333333333333</v>
      </c>
      <c r="N30" s="13">
        <f>IF('Données projet'!$A$36&gt;35,N29+M30-V29,IF(A30&lt;'Données projet'!$A$36,$K$205^A30,IF(A30='Données projet'!$A$36,'Données projet'!$B$36,N29+M30-V29)))</f>
        <v>204.38333333333338</v>
      </c>
      <c r="O30" s="13">
        <f>N30*VLOOKUP('Données projet'!$B$9,Paramètres!$A$1:$I$89,3,0)*VLOOKUP('Données projet'!$B$9,Paramètres!$A$1:$I$89,5,0)</f>
        <v>122.22123333333337</v>
      </c>
      <c r="P30" s="13">
        <f t="shared" si="33"/>
        <v>32.192511187778997</v>
      </c>
      <c r="Q30" s="20">
        <f t="shared" si="2"/>
        <v>268.937271707604</v>
      </c>
      <c r="R30" s="59">
        <f t="shared" si="0"/>
        <v>558.60393837427068</v>
      </c>
      <c r="S30" s="59">
        <f ca="1">AVERAGE(OFFSET($R$3,0,0,'Données projet'!$E$9+1,1))-AVERAGE(OFFSET($H$3,0,0,'Données projet'!$E$9+1,1))</f>
        <v>300.80663531652721</v>
      </c>
      <c r="T30" s="59">
        <f t="shared" si="34"/>
        <v>306.01967513533549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1.9045422643870047</v>
      </c>
      <c r="AA30" s="21">
        <f>EXP(-LN(2)/25)*AA29+(1-EXP(-LN(2)/25))/(LN(2)/25)*Calculateur!V30*Calculateur!X30*VLOOKUP('Données projet'!$B$9,Paramètres!$A$1:$I$89,3,0)*0.475*44/12</f>
        <v>25.686753035816043</v>
      </c>
      <c r="AB30" s="21">
        <f>EXP(-LN(2)/2)*AB29+(1-EXP(-LN(2)/2))/(LN(2)/2)*V30*Y30*VLOOKUP('Données projet'!$B$9,Paramètres!$A$1:$I$89,3,0)*0.475*44/12</f>
        <v>0</v>
      </c>
      <c r="AC30" s="22">
        <f t="shared" si="3"/>
        <v>27.591295300203047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3.887142857142857</v>
      </c>
      <c r="AI30" s="13">
        <f>IF('Données projet'!$A$62&gt;35,AI29+AH30-AQ29,IF(A30&lt;'Données projet'!$A$62,$AF$205^A30,IF(A30='Données projet'!$A$62,'Données projet'!$B$62,AI29+AH30-AQ29)))</f>
        <v>104.95285714285717</v>
      </c>
      <c r="AJ30" s="13">
        <f>AI30*VLOOKUP('Données projet'!$B$10,Paramètres!$A$1:$I$89,3,0)*VLOOKUP('Données projet'!$B$10,Paramètres!$A$1:$I$89,5,0)</f>
        <v>94.961345142857169</v>
      </c>
      <c r="AK30" s="13">
        <f t="shared" si="35"/>
        <v>25.758019548315733</v>
      </c>
      <c r="AL30" s="20">
        <f t="shared" si="4"/>
        <v>210.25289350379276</v>
      </c>
      <c r="AM30" s="59">
        <f t="shared" si="5"/>
        <v>499.91956017045948</v>
      </c>
      <c r="AN30" s="59">
        <f ca="1">AVERAGE(OFFSET($AM$3,0,0,'Données projet'!$E$10+1,1))-AVERAGE(OFFSET($H$3,0,0,'Données projet'!$E$10+1,1))</f>
        <v>581.88778927327667</v>
      </c>
      <c r="AO30" s="59">
        <f t="shared" si="36"/>
        <v>269.67340993773422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11.041428571428574</v>
      </c>
      <c r="BD30" s="12">
        <f>IF('Données projet'!$A$88&gt;35,BD29+BC30-BL29,IF(A30&lt;'Données projet'!$A$88,$BA$205^A30,IF(A30='Données projet'!$A$88,'Données projet'!$B$88,BD29+BC30-BL29)))</f>
        <v>126.24714285714285</v>
      </c>
      <c r="BE30" s="13">
        <f>BD30*VLOOKUP('Données projet'!$B$11,Paramètres!$A$1:$I$89,3,0)*VLOOKUP('Données projet'!$B$11,Paramètres!$A$1:$I$89,5,0)</f>
        <v>72.213365714285715</v>
      </c>
      <c r="BF30" s="13">
        <f t="shared" si="37"/>
        <v>20.222114485071764</v>
      </c>
      <c r="BG30" s="20">
        <f t="shared" si="7"/>
        <v>160.9917946805476</v>
      </c>
      <c r="BH30" s="59">
        <f t="shared" si="8"/>
        <v>450.65846134721426</v>
      </c>
      <c r="BI30" s="59">
        <f ca="1">AVERAGE(OFFSET($BH$3,0,0,'Données projet'!$E$11+1,1))-AVERAGE(OFFSET($H$3,0,0,'Données projet'!$E$11+1,1))</f>
        <v>292.09131652373259</v>
      </c>
      <c r="BJ30" s="59">
        <f t="shared" si="38"/>
        <v>200.24819245805861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14.91680130569576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14.91680130569576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18.613333333333333</v>
      </c>
      <c r="N31" s="13">
        <f>IF('Données projet'!$A$36&gt;35,N30+M31-V30,IF(A31&lt;'Données projet'!$A$36,$K$205^A31,IF(A31='Données projet'!$A$36,'Données projet'!$B$36,N30+M31-V30)))</f>
        <v>222.99666666666673</v>
      </c>
      <c r="O31" s="13">
        <f>N31*VLOOKUP('Données projet'!$B$9,Paramètres!$A$1:$I$89,3,0)*VLOOKUP('Données projet'!$B$9,Paramètres!$A$1:$I$89,5,0)</f>
        <v>133.35200666666671</v>
      </c>
      <c r="P31" s="13">
        <f t="shared" si="33"/>
        <v>34.769758316414304</v>
      </c>
      <c r="Q31" s="20">
        <f t="shared" si="2"/>
        <v>292.81207401219939</v>
      </c>
      <c r="R31" s="59">
        <f t="shared" si="0"/>
        <v>583.70096290108825</v>
      </c>
      <c r="S31" s="59">
        <f ca="1">AVERAGE(OFFSET($R$3,0,0,'Données projet'!$E$9+1,1))-AVERAGE(OFFSET($H$3,0,0,'Données projet'!$E$9+1,1))</f>
        <v>300.80663531652721</v>
      </c>
      <c r="T31" s="59">
        <f t="shared" si="34"/>
        <v>306.01967513533549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1.8671953522384528</v>
      </c>
      <c r="AA31" s="21">
        <f>EXP(-LN(2)/25)*AA30+(1-EXP(-LN(2)/25))/(LN(2)/25)*Calculateur!V31*Calculateur!X31*VLOOKUP('Données projet'!$B$9,Paramètres!$A$1:$I$89,3,0)*0.475*44/12</f>
        <v>24.984347423244017</v>
      </c>
      <c r="AB31" s="21">
        <f>EXP(-LN(2)/2)*AB30+(1-EXP(-LN(2)/2))/(LN(2)/2)*V31*Y31*VLOOKUP('Données projet'!$B$9,Paramètres!$A$1:$I$89,3,0)*0.475*44/12</f>
        <v>0</v>
      </c>
      <c r="AC31" s="22">
        <f t="shared" si="3"/>
        <v>26.851542775482471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3.887142857142857</v>
      </c>
      <c r="AI31" s="13">
        <f>IF('Données projet'!$A$62&gt;35,AI30+AH31-AQ30,IF(A31&lt;'Données projet'!$A$62,$AF$205^A31,IF(A31='Données projet'!$A$62,'Données projet'!$B$62,AI30+AH31-AQ30)))</f>
        <v>108.84000000000003</v>
      </c>
      <c r="AJ31" s="13">
        <f>AI31*VLOOKUP('Données projet'!$B$10,Paramètres!$A$1:$I$89,3,0)*VLOOKUP('Données projet'!$B$10,Paramètres!$A$1:$I$89,5,0)</f>
        <v>98.478432000000026</v>
      </c>
      <c r="AK31" s="13">
        <f t="shared" si="35"/>
        <v>26.599182115615513</v>
      </c>
      <c r="AL31" s="20">
        <f t="shared" si="4"/>
        <v>217.84351125136371</v>
      </c>
      <c r="AM31" s="59">
        <f t="shared" si="5"/>
        <v>508.73240014025259</v>
      </c>
      <c r="AN31" s="59">
        <f ca="1">AVERAGE(OFFSET($AM$3,0,0,'Données projet'!$E$10+1,1))-AVERAGE(OFFSET($H$3,0,0,'Données projet'!$E$10+1,1))</f>
        <v>581.88778927327667</v>
      </c>
      <c r="AO31" s="59">
        <f t="shared" si="36"/>
        <v>269.67340993773422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11.041428571428574</v>
      </c>
      <c r="BD31" s="12">
        <f>IF('Données projet'!$A$88&gt;35,BD30+BC31-BL30,IF(A31&lt;'Données projet'!$A$88,$BA$205^A31,IF(A31='Données projet'!$A$88,'Données projet'!$B$88,BD30+BC31-BL30)))</f>
        <v>137.28857142857143</v>
      </c>
      <c r="BE31" s="13">
        <f>BD31*VLOOKUP('Données projet'!$B$11,Paramètres!$A$1:$I$89,3,0)*VLOOKUP('Données projet'!$B$11,Paramètres!$A$1:$I$89,5,0)</f>
        <v>78.529062857142861</v>
      </c>
      <c r="BF31" s="13">
        <f t="shared" si="37"/>
        <v>21.777144825180152</v>
      </c>
      <c r="BG31" s="20">
        <f t="shared" si="7"/>
        <v>174.69997838004591</v>
      </c>
      <c r="BH31" s="59">
        <f t="shared" si="8"/>
        <v>465.58886726893479</v>
      </c>
      <c r="BI31" s="59">
        <f ca="1">AVERAGE(OFFSET($BH$3,0,0,'Données projet'!$E$11+1,1))-AVERAGE(OFFSET($H$3,0,0,'Données projet'!$E$11+1,1))</f>
        <v>292.09131652373259</v>
      </c>
      <c r="BJ31" s="59">
        <f t="shared" si="38"/>
        <v>200.24819245805861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14.508900589551022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14.508900589551022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>
        <f>VLOOKUP(A32,'Données projet'!$A$35:$I$55,2,0)</f>
        <v>241.61</v>
      </c>
      <c r="L32" s="12">
        <f>VLOOKUP(A32,'Données projet'!$A$35:$I$55,9,0)</f>
        <v>18.613333333333333</v>
      </c>
      <c r="M32" s="12">
        <f t="array" ref="M32">INDEX(L:L,MIN(IF(ISNUMBER(L32:L228),ROW(L32:L228),"")))</f>
        <v>18.613333333333333</v>
      </c>
      <c r="N32" s="13">
        <f>IF('Données projet'!$A$36&gt;35,N31+M32-V31,IF(A32&lt;'Données projet'!$A$36,$K$205^A32,IF(A32='Données projet'!$A$36,'Données projet'!$B$36,N31+M32-V31)))</f>
        <v>241.61000000000007</v>
      </c>
      <c r="O32" s="13">
        <f>N32*VLOOKUP('Données projet'!$B$9,Paramètres!$A$1:$I$89,3,0)*VLOOKUP('Données projet'!$B$9,Paramètres!$A$1:$I$89,5,0)</f>
        <v>144.48278000000005</v>
      </c>
      <c r="P32" s="13">
        <f t="shared" si="33"/>
        <v>37.322056105193219</v>
      </c>
      <c r="Q32" s="20">
        <f t="shared" si="2"/>
        <v>316.6434228832116</v>
      </c>
      <c r="R32" s="59">
        <f t="shared" si="0"/>
        <v>608.75453399432274</v>
      </c>
      <c r="S32" s="59">
        <f ca="1">AVERAGE(OFFSET($R$3,0,0,'Données projet'!$E$9+1,1))-AVERAGE(OFFSET($H$3,0,0,'Données projet'!$E$9+1,1))</f>
        <v>300.80663531652721</v>
      </c>
      <c r="T32" s="59">
        <f t="shared" si="34"/>
        <v>306.01967513533549</v>
      </c>
      <c r="U32" s="15">
        <f>IF(ISNA(VLOOKUP(A32,'Données projet'!$A$35:$I$55,3,0)),0,VLOOKUP(A32,'Données projet'!$A$35:$I$55,3,0))</f>
        <v>3</v>
      </c>
      <c r="V32" s="15">
        <f>IF(ISNA(VLOOKUP(A32,'Données projet'!$A$35:$I$55,4,0)),0,VLOOKUP(A32,'Données projet'!$A$35:$I$55,4,0))</f>
        <v>54.64</v>
      </c>
      <c r="W32" s="16">
        <f>IF(ISNA(VLOOKUP(A32,'Données projet'!$A$35:$I$55,5,0)),0%,VLOOKUP(A32,'Données projet'!$A$35:$I$55,5,0)*VLOOKUP('Données projet'!$B$9,Paramètres!$A$1:$I$89,7,0))</f>
        <v>4.5000000000000005E-2</v>
      </c>
      <c r="X32" s="16">
        <f>IF(ISNA(VLOOKUP(A32,'Données projet'!$A$35:$I$55,6,0)),0%,VLOOKUP(A32,'Données projet'!$A$35:$I$55,6,0)*VLOOKUP('Données projet'!$B$9,Paramètres!$A$1:$I$89,7,0))</f>
        <v>0.36000000000000004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3.7811112867125427</v>
      </c>
      <c r="AA32" s="21">
        <f>EXP(-LN(2)/25)*AA31+(1-EXP(-LN(2)/25))/(LN(2)/25)*Calculateur!V32*Calculateur!X32*VLOOKUP('Données projet'!$B$9,Paramètres!$A$1:$I$89,3,0)*0.475*44/12</f>
        <v>39.843953246524457</v>
      </c>
      <c r="AB32" s="21">
        <f>EXP(-LN(2)/2)*AB31+(1-EXP(-LN(2)/2))/(LN(2)/2)*V32*Y32*VLOOKUP('Données projet'!$B$9,Paramètres!$A$1:$I$89,3,0)*0.475*44/12</f>
        <v>0</v>
      </c>
      <c r="AC32" s="22">
        <f t="shared" si="3"/>
        <v>43.625064533237001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3.887142857142857</v>
      </c>
      <c r="AI32" s="13">
        <f>IF('Données projet'!$A$62&gt;35,AI31+AH32-AQ31,IF(A32&lt;'Données projet'!$A$62,$AF$205^A32,IF(A32='Données projet'!$A$62,'Données projet'!$B$62,AI31+AH32-AQ31)))</f>
        <v>112.72714285714289</v>
      </c>
      <c r="AJ32" s="13">
        <f>AI32*VLOOKUP('Données projet'!$B$10,Paramètres!$A$1:$I$89,3,0)*VLOOKUP('Données projet'!$B$10,Paramètres!$A$1:$I$89,5,0)</f>
        <v>101.99551885714288</v>
      </c>
      <c r="AK32" s="13">
        <f t="shared" si="35"/>
        <v>27.436854324518826</v>
      </c>
      <c r="AL32" s="20">
        <f t="shared" si="4"/>
        <v>225.4280499580608</v>
      </c>
      <c r="AM32" s="59">
        <f t="shared" si="5"/>
        <v>517.539161069172</v>
      </c>
      <c r="AN32" s="59">
        <f ca="1">AVERAGE(OFFSET($AM$3,0,0,'Données projet'!$E$10+1,1))-AVERAGE(OFFSET($H$3,0,0,'Données projet'!$E$10+1,1))</f>
        <v>581.88778927327667</v>
      </c>
      <c r="AO32" s="59">
        <f t="shared" si="36"/>
        <v>269.67340993773422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>
        <f>VLOOKUP(A32,'Données projet'!$A$87:$I$107,2,0)</f>
        <v>148.33000000000001</v>
      </c>
      <c r="BB32" s="12">
        <f>VLOOKUP(A32,'Données projet'!$A$87:$I$107,9,0)</f>
        <v>11.041428571428574</v>
      </c>
      <c r="BC32" s="12">
        <f t="array" ref="BC32">INDEX(BB:BB,MIN(IF(ISNUMBER(BB32:BB228),ROW(BB32:BB228),"")))</f>
        <v>11.041428571428574</v>
      </c>
      <c r="BD32" s="12">
        <f>IF('Données projet'!$A$88&gt;35,BD31+BC32-BL31,IF(A32&lt;'Données projet'!$A$88,$BA$205^A32,IF(A32='Données projet'!$A$88,'Données projet'!$B$88,BD31+BC32-BL31)))</f>
        <v>148.33000000000001</v>
      </c>
      <c r="BE32" s="13">
        <f>BD32*VLOOKUP('Données projet'!$B$11,Paramètres!$A$1:$I$89,3,0)*VLOOKUP('Données projet'!$B$11,Paramètres!$A$1:$I$89,5,0)</f>
        <v>84.844760000000008</v>
      </c>
      <c r="BF32" s="13">
        <f t="shared" si="37"/>
        <v>23.317669232214776</v>
      </c>
      <c r="BG32" s="20">
        <f t="shared" si="7"/>
        <v>188.38289757944074</v>
      </c>
      <c r="BH32" s="59">
        <f t="shared" si="8"/>
        <v>480.49400869055188</v>
      </c>
      <c r="BI32" s="59">
        <f ca="1">AVERAGE(OFFSET($BH$3,0,0,'Données projet'!$E$11+1,1))-AVERAGE(OFFSET($H$3,0,0,'Données projet'!$E$11+1,1))</f>
        <v>292.09131652373259</v>
      </c>
      <c r="BJ32" s="59">
        <f t="shared" si="38"/>
        <v>200.24819245805861</v>
      </c>
      <c r="BK32" s="15">
        <f>IF(ISNA(VLOOKUP(A32,'Données projet'!$A$87:$I$107,3,0)),0,VLOOKUP(A32,'Données projet'!$A$87:$I$107,3,0))</f>
        <v>2</v>
      </c>
      <c r="BL32" s="15">
        <f>IF(ISNA(VLOOKUP(A32,'Données projet'!$A$87:$I$107,4,0)),0,VLOOKUP(A32,'Données projet'!$A$87:$I$107,4,0))</f>
        <v>31.13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0.45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24.699879157041806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24.699879157041806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17.737142857142853</v>
      </c>
      <c r="N33" s="13">
        <f>IF('Données projet'!$A$36&gt;35,N32+M33-V32,IF(A33&lt;'Données projet'!$A$36,$K$205^A33,IF(A33='Données projet'!$A$36,'Données projet'!$B$36,N32+M33-V32)))</f>
        <v>204.70714285714291</v>
      </c>
      <c r="O33" s="13">
        <f>N33*VLOOKUP('Données projet'!$B$9,Paramètres!$A$1:$I$89,3,0)*VLOOKUP('Données projet'!$B$9,Paramètres!$A$1:$I$89,5,0)</f>
        <v>122.41487142857147</v>
      </c>
      <c r="P33" s="13">
        <f t="shared" si="33"/>
        <v>32.237573625209684</v>
      </c>
      <c r="Q33" s="20">
        <f t="shared" si="2"/>
        <v>269.35300846866886</v>
      </c>
      <c r="R33" s="59">
        <f t="shared" si="0"/>
        <v>562.68634180200218</v>
      </c>
      <c r="S33" s="59">
        <f ca="1">AVERAGE(OFFSET($R$3,0,0,'Données projet'!$E$9+1,1))-AVERAGE(OFFSET($H$3,0,0,'Données projet'!$E$9+1,1))</f>
        <v>300.80663531652721</v>
      </c>
      <c r="T33" s="59">
        <f t="shared" si="34"/>
        <v>306.01967513533549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3.7069660006302714</v>
      </c>
      <c r="AA33" s="21">
        <f>EXP(-LN(2)/25)*AA32+(1-EXP(-LN(2)/25))/(LN(2)/25)*Calculateur!V33*Calculateur!X33*VLOOKUP('Données projet'!$B$9,Paramètres!$A$1:$I$89,3,0)*0.475*44/12</f>
        <v>38.75441824969581</v>
      </c>
      <c r="AB33" s="21">
        <f>EXP(-LN(2)/2)*AB32+(1-EXP(-LN(2)/2))/(LN(2)/2)*V33*Y33*VLOOKUP('Données projet'!$B$9,Paramètres!$A$1:$I$89,3,0)*0.475*44/12</f>
        <v>0</v>
      </c>
      <c r="AC33" s="22">
        <f t="shared" si="3"/>
        <v>42.461384250326084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3.887142857142857</v>
      </c>
      <c r="AI33" s="13">
        <f>IF('Données projet'!$A$62&gt;35,AI32+AH33-AQ32,IF(A33&lt;'Données projet'!$A$62,$AF$205^A33,IF(A33='Données projet'!$A$62,'Données projet'!$B$62,AI32+AH33-AQ32)))</f>
        <v>116.61428571428576</v>
      </c>
      <c r="AJ33" s="13">
        <f>AI33*VLOOKUP('Données projet'!$B$10,Paramètres!$A$1:$I$89,3,0)*VLOOKUP('Données projet'!$B$10,Paramètres!$A$1:$I$89,5,0)</f>
        <v>105.51260571428575</v>
      </c>
      <c r="AK33" s="13">
        <f t="shared" si="35"/>
        <v>28.271170326518615</v>
      </c>
      <c r="AL33" s="20">
        <f t="shared" si="4"/>
        <v>233.00674327106756</v>
      </c>
      <c r="AM33" s="59">
        <f t="shared" si="5"/>
        <v>526.34007660440091</v>
      </c>
      <c r="AN33" s="59">
        <f ca="1">AVERAGE(OFFSET($AM$3,0,0,'Données projet'!$E$10+1,1))-AVERAGE(OFFSET($H$3,0,0,'Données projet'!$E$10+1,1))</f>
        <v>581.88778927327667</v>
      </c>
      <c r="AO33" s="59">
        <f t="shared" si="36"/>
        <v>269.67340993773422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11.13142857142857</v>
      </c>
      <c r="BD33" s="12">
        <f>IF('Données projet'!$A$88&gt;35,BD32+BC33-BL32,IF(A33&lt;'Données projet'!$A$88,$BA$205^A33,IF(A33='Données projet'!$A$88,'Données projet'!$B$88,BD32+BC33-BL32)))</f>
        <v>128.33142857142857</v>
      </c>
      <c r="BE33" s="13">
        <f>BD33*VLOOKUP('Données projet'!$B$11,Paramètres!$A$1:$I$89,3,0)*VLOOKUP('Données projet'!$B$11,Paramètres!$A$1:$I$89,5,0)</f>
        <v>73.405577142857155</v>
      </c>
      <c r="BF33" s="13">
        <f t="shared" si="37"/>
        <v>20.516830010095177</v>
      </c>
      <c r="BG33" s="20">
        <f t="shared" si="7"/>
        <v>163.58152579139198</v>
      </c>
      <c r="BH33" s="59">
        <f t="shared" si="8"/>
        <v>456.9148591247253</v>
      </c>
      <c r="BI33" s="59">
        <f ca="1">AVERAGE(OFFSET($BH$3,0,0,'Données projet'!$E$11+1,1))-AVERAGE(OFFSET($H$3,0,0,'Données projet'!$E$11+1,1))</f>
        <v>292.09131652373259</v>
      </c>
      <c r="BJ33" s="59">
        <f t="shared" si="38"/>
        <v>200.24819245805861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24.024459662582306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24.024459662582306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17.737142857142853</v>
      </c>
      <c r="N34" s="13">
        <f>IF('Données projet'!$A$36&gt;35,N33+M34-V33,IF(A34&lt;'Données projet'!$A$36,$K$205^A34,IF(A34='Données projet'!$A$36,'Données projet'!$B$36,N33+M34-V33)))</f>
        <v>222.44428571428577</v>
      </c>
      <c r="O34" s="13">
        <f>N34*VLOOKUP('Données projet'!$B$9,Paramètres!$A$1:$I$89,3,0)*VLOOKUP('Données projet'!$B$9,Paramètres!$A$1:$I$89,5,0)</f>
        <v>133.02168285714291</v>
      </c>
      <c r="P34" s="13">
        <f t="shared" si="33"/>
        <v>34.693645048951552</v>
      </c>
      <c r="Q34" s="20">
        <f t="shared" si="2"/>
        <v>292.10419610311448</v>
      </c>
      <c r="R34" s="59">
        <f t="shared" si="0"/>
        <v>585.43752943644779</v>
      </c>
      <c r="S34" s="59">
        <f ca="1">AVERAGE(OFFSET($R$3,0,0,'Données projet'!$E$9+1,1))-AVERAGE(OFFSET($H$3,0,0,'Données projet'!$E$9+1,1))</f>
        <v>300.80663531652721</v>
      </c>
      <c r="T34" s="59">
        <f t="shared" si="34"/>
        <v>306.01967513533549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3.6342746583839145</v>
      </c>
      <c r="AA34" s="21">
        <f>EXP(-LN(2)/25)*AA33+(1-EXP(-LN(2)/25))/(LN(2)/25)*Calculateur!V34*Calculateur!X34*VLOOKUP('Données projet'!$B$9,Paramètres!$A$1:$I$89,3,0)*0.475*44/12</f>
        <v>37.694676644651594</v>
      </c>
      <c r="AB34" s="21">
        <f>EXP(-LN(2)/2)*AB33+(1-EXP(-LN(2)/2))/(LN(2)/2)*V34*Y34*VLOOKUP('Données projet'!$B$9,Paramètres!$A$1:$I$89,3,0)*0.475*44/12</f>
        <v>0</v>
      </c>
      <c r="AC34" s="22">
        <f t="shared" si="3"/>
        <v>41.32895130303551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3.887142857142857</v>
      </c>
      <c r="AI34" s="13">
        <f>IF('Données projet'!$A$62&gt;35,AI33+AH34-AQ33,IF(A34&lt;'Données projet'!$A$62,$AF$205^A34,IF(A34='Données projet'!$A$62,'Données projet'!$B$62,AI33+AH34-AQ33)))</f>
        <v>120.50142857142862</v>
      </c>
      <c r="AJ34" s="13">
        <f>AI34*VLOOKUP('Données projet'!$B$10,Paramètres!$A$1:$I$89,3,0)*VLOOKUP('Données projet'!$B$10,Paramètres!$A$1:$I$89,5,0)</f>
        <v>109.02969257142863</v>
      </c>
      <c r="AK34" s="13">
        <f t="shared" si="35"/>
        <v>29.102254822181546</v>
      </c>
      <c r="AL34" s="20">
        <f t="shared" si="4"/>
        <v>240.57980837720436</v>
      </c>
      <c r="AM34" s="59">
        <f t="shared" si="5"/>
        <v>533.91314171053773</v>
      </c>
      <c r="AN34" s="59">
        <f ca="1">AVERAGE(OFFSET($AM$3,0,0,'Données projet'!$E$10+1,1))-AVERAGE(OFFSET($H$3,0,0,'Données projet'!$E$10+1,1))</f>
        <v>581.88778927327667</v>
      </c>
      <c r="AO34" s="59">
        <f t="shared" si="36"/>
        <v>269.67340993773422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11.13142857142857</v>
      </c>
      <c r="BD34" s="12">
        <f>IF('Données projet'!$A$88&gt;35,BD33+BC34-BL33,IF(A34&lt;'Données projet'!$A$88,$BA$205^A34,IF(A34='Données projet'!$A$88,'Données projet'!$B$88,BD33+BC34-BL33)))</f>
        <v>139.46285714285713</v>
      </c>
      <c r="BE34" s="13">
        <f>BD34*VLOOKUP('Données projet'!$B$11,Paramètres!$A$1:$I$89,3,0)*VLOOKUP('Données projet'!$B$11,Paramètres!$A$1:$I$89,5,0)</f>
        <v>79.772754285714285</v>
      </c>
      <c r="BF34" s="13">
        <f t="shared" si="37"/>
        <v>22.081612174706297</v>
      </c>
      <c r="BG34" s="20">
        <f t="shared" si="7"/>
        <v>177.39635491856583</v>
      </c>
      <c r="BH34" s="59">
        <f t="shared" si="8"/>
        <v>470.72968825189912</v>
      </c>
      <c r="BI34" s="59">
        <f ca="1">AVERAGE(OFFSET($BH$3,0,0,'Données projet'!$E$11+1,1))-AVERAGE(OFFSET($H$3,0,0,'Données projet'!$E$11+1,1))</f>
        <v>292.09131652373259</v>
      </c>
      <c r="BJ34" s="59">
        <f t="shared" si="38"/>
        <v>200.24819245805861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23.367509549717568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23.367509549717568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17.737142857142853</v>
      </c>
      <c r="N35" s="13">
        <f>IF('Données projet'!$A$36&gt;35,N34+M35-V34,IF(A35&lt;'Données projet'!$A$36,$K$205^A35,IF(A35='Données projet'!$A$36,'Données projet'!$B$36,N34+M35-V34)))</f>
        <v>240.18142857142863</v>
      </c>
      <c r="O35" s="13">
        <f>N35*VLOOKUP('Données projet'!$B$9,Paramètres!$A$1:$I$89,3,0)*VLOOKUP('Données projet'!$B$9,Paramètres!$A$1:$I$89,5,0)</f>
        <v>143.62849428571434</v>
      </c>
      <c r="P35" s="13">
        <f t="shared" si="33"/>
        <v>37.127000660847131</v>
      </c>
      <c r="Q35" s="20">
        <f t="shared" ref="Q35:Q66" si="53">(O35+P35)*0.475*44/12</f>
        <v>314.81582036526123</v>
      </c>
      <c r="R35" s="59">
        <f t="shared" si="0"/>
        <v>608.14915369859455</v>
      </c>
      <c r="S35" s="59">
        <f ca="1">AVERAGE(OFFSET($R$3,0,0,'Données projet'!$E$9+1,1))-AVERAGE(OFFSET($H$3,0,0,'Données projet'!$E$9+1,1))</f>
        <v>300.80663531652721</v>
      </c>
      <c r="T35" s="59">
        <f t="shared" si="34"/>
        <v>306.01967513533549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3.5630087490216678</v>
      </c>
      <c r="AA35" s="21">
        <f>EXP(-LN(2)/25)*AA34+(1-EXP(-LN(2)/25))/(LN(2)/25)*Calculateur!V35*Calculateur!X35*VLOOKUP('Données projet'!$B$9,Paramètres!$A$1:$I$89,3,0)*0.475*44/12</f>
        <v>36.663913729526705</v>
      </c>
      <c r="AB35" s="21">
        <f>EXP(-LN(2)/2)*AB34+(1-EXP(-LN(2)/2))/(LN(2)/2)*V35*Y35*VLOOKUP('Données projet'!$B$9,Paramètres!$A$1:$I$89,3,0)*0.475*44/12</f>
        <v>0</v>
      </c>
      <c r="AC35" s="22">
        <f t="shared" si="3"/>
        <v>40.226922478548374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3.887142857142857</v>
      </c>
      <c r="AI35" s="13">
        <f>IF('Données projet'!$A$62&gt;35,AI34+AH35-AQ34,IF(A35&lt;'Données projet'!$A$62,$AF$205^A35,IF(A35='Données projet'!$A$62,'Données projet'!$B$62,AI34+AH35-AQ34)))</f>
        <v>124.38857142857148</v>
      </c>
      <c r="AJ35" s="13">
        <f>AI35*VLOOKUP('Données projet'!$B$10,Paramètres!$A$1:$I$89,3,0)*VLOOKUP('Données projet'!$B$10,Paramètres!$A$1:$I$89,5,0)</f>
        <v>112.54677942857147</v>
      </c>
      <c r="AK35" s="13">
        <f t="shared" si="35"/>
        <v>29.930224010130704</v>
      </c>
      <c r="AL35" s="20">
        <f t="shared" si="4"/>
        <v>248.14744765573963</v>
      </c>
      <c r="AM35" s="59">
        <f t="shared" si="5"/>
        <v>541.48078098907297</v>
      </c>
      <c r="AN35" s="59">
        <f ca="1">AVERAGE(OFFSET($AM$3,0,0,'Données projet'!$E$10+1,1))-AVERAGE(OFFSET($H$3,0,0,'Données projet'!$E$10+1,1))</f>
        <v>581.88778927327667</v>
      </c>
      <c r="AO35" s="59">
        <f t="shared" si="36"/>
        <v>269.67340993773422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11.13142857142857</v>
      </c>
      <c r="BD35" s="12">
        <f>IF('Données projet'!$A$88&gt;35,BD34+BC35-BL34,IF(A35&lt;'Données projet'!$A$88,$BA$205^A35,IF(A35='Données projet'!$A$88,'Données projet'!$B$88,BD34+BC35-BL34)))</f>
        <v>150.59428571428569</v>
      </c>
      <c r="BE35" s="13">
        <f>BD35*VLOOKUP('Données projet'!$B$11,Paramètres!$A$1:$I$89,3,0)*VLOOKUP('Données projet'!$B$11,Paramètres!$A$1:$I$89,5,0)</f>
        <v>86.139931428571415</v>
      </c>
      <c r="BF35" s="13">
        <f t="shared" si="37"/>
        <v>23.631907619423899</v>
      </c>
      <c r="BG35" s="20">
        <f t="shared" si="7"/>
        <v>191.18595300859181</v>
      </c>
      <c r="BH35" s="59">
        <f t="shared" si="8"/>
        <v>484.51928634192512</v>
      </c>
      <c r="BI35" s="59">
        <f ca="1">AVERAGE(OFFSET($BH$3,0,0,'Données projet'!$E$11+1,1))-AVERAGE(OFFSET($H$3,0,0,'Données projet'!$E$11+1,1))</f>
        <v>292.09131652373259</v>
      </c>
      <c r="BJ35" s="59">
        <f t="shared" si="38"/>
        <v>200.24819245805861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22.72852377223662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22.72852377223662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17.737142857142853</v>
      </c>
      <c r="N36" s="13">
        <f>IF('Données projet'!$A$36&gt;35,N35+M36-V35,IF(A36&lt;'Données projet'!$A$36,$K$205^A36,IF(A36='Données projet'!$A$36,'Données projet'!$B$36,N35+M36-V35)))</f>
        <v>257.91857142857145</v>
      </c>
      <c r="O36" s="13">
        <f>N36*VLOOKUP('Données projet'!$B$9,Paramètres!$A$1:$I$89,3,0)*VLOOKUP('Données projet'!$B$9,Paramètres!$A$1:$I$89,5,0)</f>
        <v>154.23530571428574</v>
      </c>
      <c r="P36" s="13">
        <f t="shared" si="33"/>
        <v>39.539508761330566</v>
      </c>
      <c r="Q36" s="20">
        <f t="shared" si="53"/>
        <v>337.49113521169841</v>
      </c>
      <c r="R36" s="59">
        <f t="shared" si="0"/>
        <v>630.82446854503178</v>
      </c>
      <c r="S36" s="59">
        <f ca="1">AVERAGE(OFFSET($R$3,0,0,'Données projet'!$E$9+1,1))-AVERAGE(OFFSET($H$3,0,0,'Données projet'!$E$9+1,1))</f>
        <v>300.80663531652721</v>
      </c>
      <c r="T36" s="59">
        <f t="shared" si="34"/>
        <v>306.01967513533549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3.4931403206741019</v>
      </c>
      <c r="AA36" s="21">
        <f>EXP(-LN(2)/25)*AA35+(1-EXP(-LN(2)/25))/(LN(2)/25)*Calculateur!V36*Calculateur!X36*VLOOKUP('Données projet'!$B$9,Paramètres!$A$1:$I$89,3,0)*0.475*44/12</f>
        <v>35.661337080521371</v>
      </c>
      <c r="AB36" s="21">
        <f>EXP(-LN(2)/2)*AB35+(1-EXP(-LN(2)/2))/(LN(2)/2)*V36*Y36*VLOOKUP('Données projet'!$B$9,Paramètres!$A$1:$I$89,3,0)*0.475*44/12</f>
        <v>0</v>
      </c>
      <c r="AC36" s="22">
        <f t="shared" si="3"/>
        <v>39.154477401195471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3.887142857142857</v>
      </c>
      <c r="AI36" s="13">
        <f>IF('Données projet'!$A$62&gt;35,AI35+AH36-AQ35,IF(A36&lt;'Données projet'!$A$62,$AF$205^A36,IF(A36='Données projet'!$A$62,'Données projet'!$B$62,AI35+AH36-AQ35)))</f>
        <v>128.27571428571434</v>
      </c>
      <c r="AJ36" s="13">
        <f>AI36*VLOOKUP('Données projet'!$B$10,Paramètres!$A$1:$I$89,3,0)*VLOOKUP('Données projet'!$B$10,Paramètres!$A$1:$I$89,5,0)</f>
        <v>116.06386628571434</v>
      </c>
      <c r="AK36" s="13">
        <f t="shared" si="35"/>
        <v>30.755186414072718</v>
      </c>
      <c r="AL36" s="20">
        <f t="shared" si="4"/>
        <v>255.70985011879577</v>
      </c>
      <c r="AM36" s="59">
        <f t="shared" si="5"/>
        <v>549.04318345212914</v>
      </c>
      <c r="AN36" s="59">
        <f ca="1">AVERAGE(OFFSET($AM$3,0,0,'Données projet'!$E$10+1,1))-AVERAGE(OFFSET($H$3,0,0,'Données projet'!$E$10+1,1))</f>
        <v>581.88778927327667</v>
      </c>
      <c r="AO36" s="59">
        <f t="shared" si="36"/>
        <v>269.67340993773422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11.13142857142857</v>
      </c>
      <c r="BD36" s="12">
        <f>IF('Données projet'!$A$88&gt;35,BD35+BC36-BL35,IF(A36&lt;'Données projet'!$A$88,$BA$205^A36,IF(A36='Données projet'!$A$88,'Données projet'!$B$88,BD35+BC36-BL35)))</f>
        <v>161.72571428571425</v>
      </c>
      <c r="BE36" s="13">
        <f>BD36*VLOOKUP('Données projet'!$B$11,Paramètres!$A$1:$I$89,3,0)*VLOOKUP('Données projet'!$B$11,Paramètres!$A$1:$I$89,5,0)</f>
        <v>92.50710857142856</v>
      </c>
      <c r="BF36" s="13">
        <f t="shared" si="37"/>
        <v>25.168908921476302</v>
      </c>
      <c r="BG36" s="20">
        <f t="shared" si="7"/>
        <v>204.95239713347596</v>
      </c>
      <c r="BH36" s="59">
        <f t="shared" si="8"/>
        <v>498.28573046680924</v>
      </c>
      <c r="BI36" s="59">
        <f ca="1">AVERAGE(OFFSET($BH$3,0,0,'Données projet'!$E$11+1,1))-AVERAGE(OFFSET($H$3,0,0,'Données projet'!$E$11+1,1))</f>
        <v>292.09131652373259</v>
      </c>
      <c r="BJ36" s="59">
        <f t="shared" si="38"/>
        <v>200.24819245805861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22.107011094443692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22.107011094443692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17.737142857142853</v>
      </c>
      <c r="N37" s="13">
        <f>IF('Données projet'!$A$36&gt;35,N36+M37-V36,IF(A37&lt;'Données projet'!$A$36,$K$205^A37,IF(A37='Données projet'!$A$36,'Données projet'!$B$36,N36+M37-V36)))</f>
        <v>275.65571428571428</v>
      </c>
      <c r="O37" s="13">
        <f>N37*VLOOKUP('Données projet'!$B$9,Paramètres!$A$1:$I$89,3,0)*VLOOKUP('Données projet'!$B$9,Paramètres!$A$1:$I$89,5,0)</f>
        <v>164.84211714285715</v>
      </c>
      <c r="P37" s="13">
        <f t="shared" si="33"/>
        <v>41.932766136496305</v>
      </c>
      <c r="Q37" s="20">
        <f t="shared" si="53"/>
        <v>360.13292171154058</v>
      </c>
      <c r="R37" s="59">
        <f t="shared" si="0"/>
        <v>653.46625504487383</v>
      </c>
      <c r="S37" s="59">
        <f ca="1">AVERAGE(OFFSET($R$3,0,0,'Données projet'!$E$9+1,1))-AVERAGE(OFFSET($H$3,0,0,'Données projet'!$E$9+1,1))</f>
        <v>300.80663531652721</v>
      </c>
      <c r="T37" s="59">
        <f t="shared" si="34"/>
        <v>306.01967513533549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3.4246419695908985</v>
      </c>
      <c r="AA37" s="21">
        <f>EXP(-LN(2)/25)*AA36+(1-EXP(-LN(2)/25))/(LN(2)/25)*Calculateur!V37*Calculateur!X37*VLOOKUP('Données projet'!$B$9,Paramètres!$A$1:$I$89,3,0)*0.475*44/12</f>
        <v>34.686175942706299</v>
      </c>
      <c r="AB37" s="21">
        <f>EXP(-LN(2)/2)*AB36+(1-EXP(-LN(2)/2))/(LN(2)/2)*V37*Y37*VLOOKUP('Données projet'!$B$9,Paramètres!$A$1:$I$89,3,0)*0.475*44/12</f>
        <v>0</v>
      </c>
      <c r="AC37" s="22">
        <f t="shared" si="3"/>
        <v>38.1108179122972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3.887142857142857</v>
      </c>
      <c r="AI37" s="13">
        <f>IF('Données projet'!$A$62&gt;35,AI36+AH37-AQ36,IF(A37&lt;'Données projet'!$A$62,$AF$205^A37,IF(A37='Données projet'!$A$62,'Données projet'!$B$62,AI36+AH37-AQ36)))</f>
        <v>132.16285714285721</v>
      </c>
      <c r="AJ37" s="13">
        <f>AI37*VLOOKUP('Données projet'!$B$10,Paramètres!$A$1:$I$89,3,0)*VLOOKUP('Données projet'!$B$10,Paramètres!$A$1:$I$89,5,0)</f>
        <v>119.58095314285718</v>
      </c>
      <c r="AK37" s="13">
        <f t="shared" si="35"/>
        <v>31.577243606763055</v>
      </c>
      <c r="AL37" s="20">
        <f t="shared" si="4"/>
        <v>263.26719267225525</v>
      </c>
      <c r="AM37" s="59">
        <f t="shared" si="5"/>
        <v>556.60052600558856</v>
      </c>
      <c r="AN37" s="59">
        <f ca="1">AVERAGE(OFFSET($AM$3,0,0,'Données projet'!$E$10+1,1))-AVERAGE(OFFSET($H$3,0,0,'Données projet'!$E$10+1,1))</f>
        <v>581.88778927327667</v>
      </c>
      <c r="AO37" s="59">
        <f t="shared" si="36"/>
        <v>269.67340993773422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11.13142857142857</v>
      </c>
      <c r="BD37" s="12">
        <f>IF('Données projet'!$A$88&gt;35,BD36+BC37-BL36,IF(A37&lt;'Données projet'!$A$88,$BA$205^A37,IF(A37='Données projet'!$A$88,'Données projet'!$B$88,BD36+BC37-BL36)))</f>
        <v>172.8571428571428</v>
      </c>
      <c r="BE37" s="13">
        <f>BD37*VLOOKUP('Données projet'!$B$11,Paramètres!$A$1:$I$89,3,0)*VLOOKUP('Données projet'!$B$11,Paramètres!$A$1:$I$89,5,0)</f>
        <v>98.874285714285691</v>
      </c>
      <c r="BF37" s="13">
        <f t="shared" si="37"/>
        <v>26.693635196313497</v>
      </c>
      <c r="BG37" s="20">
        <f t="shared" si="7"/>
        <v>218.69746225262691</v>
      </c>
      <c r="BH37" s="59">
        <f t="shared" si="8"/>
        <v>512.03079558596028</v>
      </c>
      <c r="BI37" s="59">
        <f ca="1">AVERAGE(OFFSET($BH$3,0,0,'Données projet'!$E$11+1,1))-AVERAGE(OFFSET($H$3,0,0,'Données projet'!$E$11+1,1))</f>
        <v>292.09131652373259</v>
      </c>
      <c r="BJ37" s="59">
        <f t="shared" si="38"/>
        <v>200.24819245805861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21.50249371350894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21.50249371350894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17.737142857142853</v>
      </c>
      <c r="N38" s="13">
        <f>IF('Données projet'!$A$36&gt;35,N37+M38-V37,IF(A38&lt;'Données projet'!$A$36,$K$205^A38,IF(A38='Données projet'!$A$36,'Données projet'!$B$36,N37+M38-V37)))</f>
        <v>293.39285714285711</v>
      </c>
      <c r="O38" s="13">
        <f>N38*VLOOKUP('Données projet'!$B$9,Paramètres!$A$1:$I$89,3,0)*VLOOKUP('Données projet'!$B$9,Paramètres!$A$1:$I$89,5,0)</f>
        <v>175.44892857142858</v>
      </c>
      <c r="P38" s="13">
        <f t="shared" si="33"/>
        <v>44.308152462369684</v>
      </c>
      <c r="Q38" s="20">
        <f t="shared" si="53"/>
        <v>382.7435828005319</v>
      </c>
      <c r="R38" s="59">
        <f t="shared" si="0"/>
        <v>676.07691613386521</v>
      </c>
      <c r="S38" s="59">
        <f ca="1">AVERAGE(OFFSET($R$3,0,0,'Données projet'!$E$9+1,1))-AVERAGE(OFFSET($H$3,0,0,'Données projet'!$E$9+1,1))</f>
        <v>300.80663531652721</v>
      </c>
      <c r="T38" s="59">
        <f t="shared" si="34"/>
        <v>306.01967513533549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3.3574868293925682</v>
      </c>
      <c r="AA38" s="21">
        <f>EXP(-LN(2)/25)*AA37+(1-EXP(-LN(2)/25))/(LN(2)/25)*Calculateur!V38*Calculateur!X38*VLOOKUP('Données projet'!$B$9,Paramètres!$A$1:$I$89,3,0)*0.475*44/12</f>
        <v>33.737680637486278</v>
      </c>
      <c r="AB38" s="21">
        <f>EXP(-LN(2)/2)*AB37+(1-EXP(-LN(2)/2))/(LN(2)/2)*V38*Y38*VLOOKUP('Données projet'!$B$9,Paramètres!$A$1:$I$89,3,0)*0.475*44/12</f>
        <v>0</v>
      </c>
      <c r="AC38" s="22">
        <f t="shared" si="3"/>
        <v>37.095167466878848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3.887142857142857</v>
      </c>
      <c r="AI38" s="13">
        <f>IF('Données projet'!$A$62&gt;35,AI37+AH38-AQ37,IF(A38&lt;'Données projet'!$A$62,$AF$205^A38,IF(A38='Données projet'!$A$62,'Données projet'!$B$62,AI37+AH38-AQ37)))</f>
        <v>136.05000000000007</v>
      </c>
      <c r="AJ38" s="13">
        <f>AI38*VLOOKUP('Données projet'!$B$10,Paramètres!$A$1:$I$89,3,0)*VLOOKUP('Données projet'!$B$10,Paramètres!$A$1:$I$89,5,0)</f>
        <v>123.09804000000005</v>
      </c>
      <c r="AK38" s="13">
        <f t="shared" si="35"/>
        <v>32.396490846405321</v>
      </c>
      <c r="AL38" s="20">
        <f t="shared" si="4"/>
        <v>270.81964122415599</v>
      </c>
      <c r="AM38" s="59">
        <f t="shared" si="5"/>
        <v>564.1529745574893</v>
      </c>
      <c r="AN38" s="59">
        <f ca="1">AVERAGE(OFFSET($AM$3,0,0,'Données projet'!$E$10+1,1))-AVERAGE(OFFSET($H$3,0,0,'Données projet'!$E$10+1,1))</f>
        <v>581.88778927327667</v>
      </c>
      <c r="AO38" s="59">
        <f t="shared" si="36"/>
        <v>269.67340993773422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11.13142857142857</v>
      </c>
      <c r="BD38" s="12">
        <f>IF('Données projet'!$A$88&gt;35,BD37+BC38-BL37,IF(A38&lt;'Données projet'!$A$88,$BA$205^A38,IF(A38='Données projet'!$A$88,'Données projet'!$B$88,BD37+BC38-BL37)))</f>
        <v>183.98857142857136</v>
      </c>
      <c r="BE38" s="13">
        <f>BD38*VLOOKUP('Données projet'!$B$11,Paramètres!$A$1:$I$89,3,0)*VLOOKUP('Données projet'!$B$11,Paramètres!$A$1:$I$89,5,0)</f>
        <v>105.24146285714282</v>
      </c>
      <c r="BF38" s="13">
        <f t="shared" si="37"/>
        <v>28.206966882592692</v>
      </c>
      <c r="BG38" s="20">
        <f t="shared" si="7"/>
        <v>232.422681796706</v>
      </c>
      <c r="BH38" s="59">
        <f t="shared" si="8"/>
        <v>525.75601513003926</v>
      </c>
      <c r="BI38" s="59">
        <f ca="1">AVERAGE(OFFSET($BH$3,0,0,'Données projet'!$E$11+1,1))-AVERAGE(OFFSET($H$3,0,0,'Données projet'!$E$11+1,1))</f>
        <v>292.09131652373259</v>
      </c>
      <c r="BJ38" s="59">
        <f t="shared" si="38"/>
        <v>200.24819245805861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20.91450689214604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20.91450689214604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311.13</v>
      </c>
      <c r="L39" s="12">
        <f>VLOOKUP(A39,'Données projet'!$A$35:$I$55,9,0)</f>
        <v>17.737142857142853</v>
      </c>
      <c r="M39" s="12">
        <f t="array" ref="M39">INDEX(L:L,MIN(IF(ISNUMBER(L39:L235),ROW(L39:L235),"")))</f>
        <v>17.737142857142853</v>
      </c>
      <c r="N39" s="13">
        <f>IF('Données projet'!$A$36&gt;35,N38+M39-V38,IF(A39&lt;'Données projet'!$A$36,$K$205^A39,IF(A39='Données projet'!$A$36,'Données projet'!$B$36,N38+M39-V38)))</f>
        <v>311.12999999999994</v>
      </c>
      <c r="O39" s="13">
        <f>N39*VLOOKUP('Données projet'!$B$9,Paramètres!$A$1:$I$89,3,0)*VLOOKUP('Données projet'!$B$9,Paramètres!$A$1:$I$89,5,0)</f>
        <v>186.05573999999996</v>
      </c>
      <c r="P39" s="13">
        <f t="shared" si="33"/>
        <v>46.66687117215772</v>
      </c>
      <c r="Q39" s="20">
        <f t="shared" si="53"/>
        <v>405.32521445817457</v>
      </c>
      <c r="R39" s="59">
        <f t="shared" si="0"/>
        <v>698.65854779150789</v>
      </c>
      <c r="S39" s="59">
        <f ca="1">AVERAGE(OFFSET($R$3,0,0,'Données projet'!$E$9+1,1))-AVERAGE(OFFSET($H$3,0,0,'Données projet'!$E$9+1,1))</f>
        <v>300.80663531652721</v>
      </c>
      <c r="T39" s="59">
        <f t="shared" si="34"/>
        <v>306.01967513533549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76.069999999999993</v>
      </c>
      <c r="W39" s="16">
        <f>IF(ISNA(VLOOKUP(A39,'Données projet'!$A$35:$I$55,5,0)),0%,VLOOKUP(A39,'Données projet'!$A$35:$I$55,5,0)*VLOOKUP('Données projet'!$B$9,Paramètres!$A$1:$I$89,7,0))</f>
        <v>0.13500000000000001</v>
      </c>
      <c r="X39" s="16">
        <f>IF(ISNA(VLOOKUP(A39,'Données projet'!$A$35:$I$55,6,0)),0%,VLOOKUP(A39,'Données projet'!$A$35:$I$55,6,0)*VLOOKUP('Données projet'!$B$9,Paramètres!$A$1:$I$89,7,0))</f>
        <v>0.22500000000000001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11.438254793987262</v>
      </c>
      <c r="AA39" s="21">
        <f>EXP(-LN(2)/25)*AA38+(1-EXP(-LN(2)/25))/(LN(2)/25)*Calculateur!V39*Calculateur!X39*VLOOKUP('Données projet'!$B$9,Paramètres!$A$1:$I$89,3,0)*0.475*44/12</f>
        <v>46.339338553954832</v>
      </c>
      <c r="AB39" s="21">
        <f>EXP(-LN(2)/2)*AB38+(1-EXP(-LN(2)/2))/(LN(2)/2)*V39*Y39*VLOOKUP('Données projet'!$B$9,Paramètres!$A$1:$I$89,3,0)*0.475*44/12</f>
        <v>0</v>
      </c>
      <c r="AC39" s="22">
        <f t="shared" si="3"/>
        <v>57.777593347942094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3.887142857142857</v>
      </c>
      <c r="AI39" s="13">
        <f>IF('Données projet'!$A$62&gt;35,AI38+AH39-AQ38,IF(A39&lt;'Données projet'!$A$62,$AF$205^A39,IF(A39='Données projet'!$A$62,'Données projet'!$B$62,AI38+AH39-AQ38)))</f>
        <v>139.93714285714293</v>
      </c>
      <c r="AJ39" s="13">
        <f>AI39*VLOOKUP('Données projet'!$B$10,Paramètres!$A$1:$I$89,3,0)*VLOOKUP('Données projet'!$B$10,Paramètres!$A$1:$I$89,5,0)</f>
        <v>126.61512685714293</v>
      </c>
      <c r="AK39" s="13">
        <f t="shared" si="35"/>
        <v>33.213017638275041</v>
      </c>
      <c r="AL39" s="20">
        <f t="shared" si="4"/>
        <v>278.36735166285297</v>
      </c>
      <c r="AM39" s="59">
        <f t="shared" si="5"/>
        <v>571.70068499618628</v>
      </c>
      <c r="AN39" s="59">
        <f ca="1">AVERAGE(OFFSET($AM$3,0,0,'Données projet'!$E$10+1,1))-AVERAGE(OFFSET($H$3,0,0,'Données projet'!$E$10+1,1))</f>
        <v>581.88778927327667</v>
      </c>
      <c r="AO39" s="59">
        <f t="shared" si="36"/>
        <v>269.67340993773422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195.12</v>
      </c>
      <c r="BB39" s="12">
        <f>VLOOKUP(A39,'Données projet'!$A$87:$I$107,9,0)</f>
        <v>11.13142857142857</v>
      </c>
      <c r="BC39" s="12">
        <f t="array" ref="BC39">INDEX(BB:BB,MIN(IF(ISNUMBER(BB39:BB235),ROW(BB39:BB235),"")))</f>
        <v>11.13142857142857</v>
      </c>
      <c r="BD39" s="12">
        <f>IF('Données projet'!$A$88&gt;35,BD38+BC39-BL38,IF(A39&lt;'Données projet'!$A$88,$BA$205^A39,IF(A39='Données projet'!$A$88,'Données projet'!$B$88,BD38+BC39-BL38)))</f>
        <v>195.11999999999992</v>
      </c>
      <c r="BE39" s="13">
        <f>BD39*VLOOKUP('Données projet'!$B$11,Paramètres!$A$1:$I$89,3,0)*VLOOKUP('Données projet'!$B$11,Paramètres!$A$1:$I$89,5,0)</f>
        <v>111.60863999999995</v>
      </c>
      <c r="BF39" s="13">
        <f t="shared" si="37"/>
        <v>29.709671865345815</v>
      </c>
      <c r="BG39" s="20">
        <f t="shared" si="7"/>
        <v>246.12939316547718</v>
      </c>
      <c r="BH39" s="59">
        <f t="shared" si="8"/>
        <v>539.46272649881053</v>
      </c>
      <c r="BI39" s="59">
        <f ca="1">AVERAGE(OFFSET($BH$3,0,0,'Données projet'!$E$11+1,1))-AVERAGE(OFFSET($H$3,0,0,'Données projet'!$E$11+1,1))</f>
        <v>292.09131652373259</v>
      </c>
      <c r="BJ39" s="59">
        <f t="shared" si="38"/>
        <v>200.24819245805861</v>
      </c>
      <c r="BK39" s="15">
        <f>IF(ISNA(VLOOKUP(A39,'Données projet'!$A$87:$I$107,3,0)),0,VLOOKUP(A39,'Données projet'!$A$87:$I$107,3,0))</f>
        <v>3</v>
      </c>
      <c r="BL39" s="15">
        <f>IF(ISNA(VLOOKUP(A39,'Données projet'!$A$87:$I$107,4,0)),0,VLOOKUP(A39,'Données projet'!$A$87:$I$107,4,0))</f>
        <v>41.46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0.45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34.443693606186358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34.443693606186358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16.536250000000003</v>
      </c>
      <c r="N40" s="13">
        <f>IF('Données projet'!$A$36&gt;35,N39+M40-V39,IF(A40&lt;'Données projet'!$A$36,$K$205^A40,IF(A40='Données projet'!$A$36,'Données projet'!$B$36,N39+M40-V39)))</f>
        <v>251.59624999999994</v>
      </c>
      <c r="O40" s="13">
        <f>N40*VLOOKUP('Données projet'!$B$9,Paramètres!$A$1:$I$89,3,0)*VLOOKUP('Données projet'!$B$9,Paramètres!$A$1:$I$89,5,0)</f>
        <v>150.45455749999999</v>
      </c>
      <c r="P40" s="13">
        <f t="shared" si="33"/>
        <v>38.681867245543785</v>
      </c>
      <c r="Q40" s="20">
        <f t="shared" si="53"/>
        <v>329.4126064318221</v>
      </c>
      <c r="R40" s="59">
        <f t="shared" si="0"/>
        <v>622.74593976515541</v>
      </c>
      <c r="S40" s="59">
        <f ca="1">AVERAGE(OFFSET($R$3,0,0,'Données projet'!$E$9+1,1))-AVERAGE(OFFSET($H$3,0,0,'Données projet'!$E$9+1,1))</f>
        <v>300.80663531652721</v>
      </c>
      <c r="T40" s="59">
        <f t="shared" si="34"/>
        <v>306.01967513533549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11.213957594123709</v>
      </c>
      <c r="AA40" s="21">
        <f>EXP(-LN(2)/25)*AA39+(1-EXP(-LN(2)/25))/(LN(2)/25)*Calculateur!V40*Calculateur!X40*VLOOKUP('Données projet'!$B$9,Paramètres!$A$1:$I$89,3,0)*0.475*44/12</f>
        <v>45.072186904317036</v>
      </c>
      <c r="AB40" s="21">
        <f>EXP(-LN(2)/2)*AB39+(1-EXP(-LN(2)/2))/(LN(2)/2)*V40*Y40*VLOOKUP('Données projet'!$B$9,Paramètres!$A$1:$I$89,3,0)*0.475*44/12</f>
        <v>0</v>
      </c>
      <c r="AC40" s="22">
        <f t="shared" si="3"/>
        <v>56.286144498440748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3.887142857142857</v>
      </c>
      <c r="AI40" s="13">
        <f>IF('Données projet'!$A$62&gt;35,AI39+AH40-AQ39,IF(A40&lt;'Données projet'!$A$62,$AF$205^A40,IF(A40='Données projet'!$A$62,'Données projet'!$B$62,AI39+AH40-AQ39)))</f>
        <v>143.82428571428579</v>
      </c>
      <c r="AJ40" s="13">
        <f>AI40*VLOOKUP('Données projet'!$B$10,Paramètres!$A$1:$I$89,3,0)*VLOOKUP('Données projet'!$B$10,Paramètres!$A$1:$I$89,5,0)</f>
        <v>130.13221371428577</v>
      </c>
      <c r="AK40" s="13">
        <f t="shared" si="35"/>
        <v>34.026908232186209</v>
      </c>
      <c r="AL40" s="20">
        <f t="shared" si="4"/>
        <v>285.91047072343866</v>
      </c>
      <c r="AM40" s="59">
        <f t="shared" si="5"/>
        <v>579.24380405677198</v>
      </c>
      <c r="AN40" s="59">
        <f ca="1">AVERAGE(OFFSET($AM$3,0,0,'Données projet'!$E$10+1,1))-AVERAGE(OFFSET($H$3,0,0,'Données projet'!$E$10+1,1))</f>
        <v>581.88778927327667</v>
      </c>
      <c r="AO40" s="59">
        <f t="shared" si="36"/>
        <v>269.67340993773422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10.578749999999999</v>
      </c>
      <c r="BD40" s="12">
        <f>IF('Données projet'!$A$88&gt;35,BD39+BC40-BL39,IF(A40&lt;'Données projet'!$A$88,$BA$205^A40,IF(A40='Données projet'!$A$88,'Données projet'!$B$88,BD39+BC40-BL39)))</f>
        <v>164.2387499999999</v>
      </c>
      <c r="BE40" s="13">
        <f>BD40*VLOOKUP('Données projet'!$B$11,Paramètres!$A$1:$I$89,3,0)*VLOOKUP('Données projet'!$B$11,Paramètres!$A$1:$I$89,5,0)</f>
        <v>93.944564999999955</v>
      </c>
      <c r="BF40" s="13">
        <f t="shared" si="37"/>
        <v>25.514171091979271</v>
      </c>
      <c r="BG40" s="20">
        <f t="shared" si="7"/>
        <v>208.05729869353047</v>
      </c>
      <c r="BH40" s="59">
        <f t="shared" si="8"/>
        <v>501.39063202686378</v>
      </c>
      <c r="BI40" s="59">
        <f ca="1">AVERAGE(OFFSET($BH$3,0,0,'Données projet'!$E$11+1,1))-AVERAGE(OFFSET($H$3,0,0,'Données projet'!$E$11+1,1))</f>
        <v>292.09131652373259</v>
      </c>
      <c r="BJ40" s="59">
        <f t="shared" si="38"/>
        <v>200.24819245805861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33.501828993210069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33.501828993210069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16.536250000000003</v>
      </c>
      <c r="N41" s="13">
        <f>IF('Données projet'!$A$36&gt;35,N40+M41-V40,IF(A41&lt;'Données projet'!$A$36,$K$205^A41,IF(A41='Données projet'!$A$36,'Données projet'!$B$36,N40+M41-V40)))</f>
        <v>268.13249999999994</v>
      </c>
      <c r="O41" s="13">
        <f>N41*VLOOKUP('Données projet'!$B$9,Paramètres!$A$1:$I$89,3,0)*VLOOKUP('Données projet'!$B$9,Paramètres!$A$1:$I$89,5,0)</f>
        <v>160.34323499999996</v>
      </c>
      <c r="P41" s="13">
        <f t="shared" si="33"/>
        <v>40.919923361013716</v>
      </c>
      <c r="Q41" s="20">
        <f t="shared" si="53"/>
        <v>350.53333414543209</v>
      </c>
      <c r="R41" s="59">
        <f t="shared" si="0"/>
        <v>643.86666747876541</v>
      </c>
      <c r="S41" s="59">
        <f ca="1">AVERAGE(OFFSET($R$3,0,0,'Données projet'!$E$9+1,1))-AVERAGE(OFFSET($H$3,0,0,'Données projet'!$E$9+1,1))</f>
        <v>300.80663531652721</v>
      </c>
      <c r="T41" s="59">
        <f t="shared" si="34"/>
        <v>306.01967513533549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10.994058725541697</v>
      </c>
      <c r="AA41" s="21">
        <f>EXP(-LN(2)/25)*AA40+(1-EXP(-LN(2)/25))/(LN(2)/25)*Calculateur!V41*Calculateur!X41*VLOOKUP('Données projet'!$B$9,Paramètres!$A$1:$I$89,3,0)*0.475*44/12</f>
        <v>43.839685583175189</v>
      </c>
      <c r="AB41" s="21">
        <f>EXP(-LN(2)/2)*AB40+(1-EXP(-LN(2)/2))/(LN(2)/2)*V41*Y41*VLOOKUP('Données projet'!$B$9,Paramètres!$A$1:$I$89,3,0)*0.475*44/12</f>
        <v>0</v>
      </c>
      <c r="AC41" s="22">
        <f t="shared" si="3"/>
        <v>54.833744308716888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3.887142857142857</v>
      </c>
      <c r="AI41" s="13">
        <f>IF('Données projet'!$A$62&gt;35,AI40+AH41-AQ40,IF(A41&lt;'Données projet'!$A$62,$AF$205^A41,IF(A41='Données projet'!$A$62,'Données projet'!$B$62,AI40+AH41-AQ40)))</f>
        <v>147.71142857142866</v>
      </c>
      <c r="AJ41" s="13">
        <f>AI41*VLOOKUP('Données projet'!$B$10,Paramètres!$A$1:$I$89,3,0)*VLOOKUP('Données projet'!$B$10,Paramètres!$A$1:$I$89,5,0)</f>
        <v>133.64930057142865</v>
      </c>
      <c r="AK41" s="13">
        <f t="shared" si="35"/>
        <v>34.8382420646657</v>
      </c>
      <c r="AL41" s="20">
        <f t="shared" si="4"/>
        <v>293.44913675786432</v>
      </c>
      <c r="AM41" s="59">
        <f t="shared" si="5"/>
        <v>586.78247009119764</v>
      </c>
      <c r="AN41" s="59">
        <f ca="1">AVERAGE(OFFSET($AM$3,0,0,'Données projet'!$E$10+1,1))-AVERAGE(OFFSET($H$3,0,0,'Données projet'!$E$10+1,1))</f>
        <v>581.88778927327667</v>
      </c>
      <c r="AO41" s="59">
        <f t="shared" si="36"/>
        <v>269.67340993773422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10.578749999999999</v>
      </c>
      <c r="BD41" s="12">
        <f>IF('Données projet'!$A$88&gt;35,BD40+BC41-BL40,IF(A41&lt;'Données projet'!$A$88,$BA$205^A41,IF(A41='Données projet'!$A$88,'Données projet'!$B$88,BD40+BC41-BL40)))</f>
        <v>174.81749999999988</v>
      </c>
      <c r="BE41" s="13">
        <f>BD41*VLOOKUP('Données projet'!$B$11,Paramètres!$A$1:$I$89,3,0)*VLOOKUP('Données projet'!$B$11,Paramètres!$A$1:$I$89,5,0)</f>
        <v>99.995609999999942</v>
      </c>
      <c r="BF41" s="13">
        <f t="shared" si="37"/>
        <v>26.960951688715411</v>
      </c>
      <c r="BG41" s="20">
        <f t="shared" si="7"/>
        <v>221.11601160784588</v>
      </c>
      <c r="BH41" s="59">
        <f t="shared" si="8"/>
        <v>514.44934494117922</v>
      </c>
      <c r="BI41" s="59">
        <f ca="1">AVERAGE(OFFSET($BH$3,0,0,'Données projet'!$E$11+1,1))-AVERAGE(OFFSET($H$3,0,0,'Données projet'!$E$11+1,1))</f>
        <v>292.09131652373259</v>
      </c>
      <c r="BJ41" s="59">
        <f t="shared" si="38"/>
        <v>200.24819245805861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32.585719717606125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32.585719717606125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16.536250000000003</v>
      </c>
      <c r="N42" s="13">
        <f>IF('Données projet'!$A$36&gt;35,N41+M42-V41,IF(A42&lt;'Données projet'!$A$36,$K$205^A42,IF(A42='Données projet'!$A$36,'Données projet'!$B$36,N41+M42-V41)))</f>
        <v>284.66874999999993</v>
      </c>
      <c r="O42" s="13">
        <f>N42*VLOOKUP('Données projet'!$B$9,Paramètres!$A$1:$I$89,3,0)*VLOOKUP('Données projet'!$B$9,Paramètres!$A$1:$I$89,5,0)</f>
        <v>170.23191249999999</v>
      </c>
      <c r="P42" s="13">
        <f t="shared" si="33"/>
        <v>43.141960148805921</v>
      </c>
      <c r="Q42" s="20">
        <f t="shared" si="53"/>
        <v>371.62616153000363</v>
      </c>
      <c r="R42" s="59">
        <f t="shared" si="0"/>
        <v>664.95949486333689</v>
      </c>
      <c r="S42" s="59">
        <f ca="1">AVERAGE(OFFSET($R$3,0,0,'Données projet'!$E$9+1,1))-AVERAGE(OFFSET($H$3,0,0,'Données projet'!$E$9+1,1))</f>
        <v>300.80663531652721</v>
      </c>
      <c r="T42" s="59">
        <f t="shared" si="34"/>
        <v>306.01967513533549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10.778471939647513</v>
      </c>
      <c r="AA42" s="21">
        <f>EXP(-LN(2)/25)*AA41+(1-EXP(-LN(2)/25))/(LN(2)/25)*Calculateur!V42*Calculateur!X42*VLOOKUP('Données projet'!$B$9,Paramètres!$A$1:$I$89,3,0)*0.475*44/12</f>
        <v>42.640887075474396</v>
      </c>
      <c r="AB42" s="21">
        <f>EXP(-LN(2)/2)*AB41+(1-EXP(-LN(2)/2))/(LN(2)/2)*V42*Y42*VLOOKUP('Données projet'!$B$9,Paramètres!$A$1:$I$89,3,0)*0.475*44/12</f>
        <v>0</v>
      </c>
      <c r="AC42" s="22">
        <f t="shared" si="3"/>
        <v>53.419359015121913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3.887142857142857</v>
      </c>
      <c r="AI42" s="13">
        <f>IF('Données projet'!$A$62&gt;35,AI41+AH42-AQ41,IF(A42&lt;'Données projet'!$A$62,$AF$205^A42,IF(A42='Données projet'!$A$62,'Données projet'!$B$62,AI41+AH42-AQ41)))</f>
        <v>151.59857142857152</v>
      </c>
      <c r="AJ42" s="13">
        <f>AI42*VLOOKUP('Données projet'!$B$10,Paramètres!$A$1:$I$89,3,0)*VLOOKUP('Données projet'!$B$10,Paramètres!$A$1:$I$89,5,0)</f>
        <v>137.16638742857151</v>
      </c>
      <c r="AK42" s="13">
        <f t="shared" si="35"/>
        <v>35.647094153273272</v>
      </c>
      <c r="AL42" s="20">
        <f t="shared" si="4"/>
        <v>300.98348042171295</v>
      </c>
      <c r="AM42" s="59">
        <f t="shared" si="5"/>
        <v>594.31681375504627</v>
      </c>
      <c r="AN42" s="59">
        <f ca="1">AVERAGE(OFFSET($AM$3,0,0,'Données projet'!$E$10+1,1))-AVERAGE(OFFSET($H$3,0,0,'Données projet'!$E$10+1,1))</f>
        <v>581.88778927327667</v>
      </c>
      <c r="AO42" s="59">
        <f t="shared" si="36"/>
        <v>269.67340993773422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10.578749999999999</v>
      </c>
      <c r="BD42" s="12">
        <f>IF('Données projet'!$A$88&gt;35,BD41+BC42-BL41,IF(A42&lt;'Données projet'!$A$88,$BA$205^A42,IF(A42='Données projet'!$A$88,'Données projet'!$B$88,BD41+BC42-BL41)))</f>
        <v>185.3962499999999</v>
      </c>
      <c r="BE42" s="13">
        <f>BD42*VLOOKUP('Données projet'!$B$11,Paramètres!$A$1:$I$89,3,0)*VLOOKUP('Données projet'!$B$11,Paramètres!$A$1:$I$89,5,0)</f>
        <v>106.04665499999994</v>
      </c>
      <c r="BF42" s="13">
        <f t="shared" si="37"/>
        <v>28.397570820878183</v>
      </c>
      <c r="BG42" s="20">
        <f t="shared" si="7"/>
        <v>234.15702663802938</v>
      </c>
      <c r="BH42" s="59">
        <f t="shared" si="8"/>
        <v>527.49035997136275</v>
      </c>
      <c r="BI42" s="59">
        <f ca="1">AVERAGE(OFFSET($BH$3,0,0,'Données projet'!$E$11+1,1))-AVERAGE(OFFSET($H$3,0,0,'Données projet'!$E$11+1,1))</f>
        <v>292.09131652373259</v>
      </c>
      <c r="BJ42" s="59">
        <f t="shared" si="38"/>
        <v>200.24819245805861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31.694661498319661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31.694661498319661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16.536250000000003</v>
      </c>
      <c r="N43" s="13">
        <f>IF('Données projet'!$A$36&gt;35,N42+M43-V42,IF(A43&lt;'Données projet'!$A$36,$K$205^A43,IF(A43='Données projet'!$A$36,'Données projet'!$B$36,N42+M43-V42)))</f>
        <v>301.20499999999993</v>
      </c>
      <c r="O43" s="13">
        <f>N43*VLOOKUP('Données projet'!$B$9,Paramètres!$A$1:$I$89,3,0)*VLOOKUP('Données projet'!$B$9,Paramètres!$A$1:$I$89,5,0)</f>
        <v>180.12058999999999</v>
      </c>
      <c r="P43" s="13">
        <f t="shared" si="33"/>
        <v>45.349014174000445</v>
      </c>
      <c r="Q43" s="20">
        <f t="shared" si="53"/>
        <v>392.69289393638411</v>
      </c>
      <c r="R43" s="59">
        <f t="shared" si="0"/>
        <v>686.02622726971742</v>
      </c>
      <c r="S43" s="59">
        <f ca="1">AVERAGE(OFFSET($R$3,0,0,'Données projet'!$E$9+1,1))-AVERAGE(OFFSET($H$3,0,0,'Données projet'!$E$9+1,1))</f>
        <v>300.80663531652721</v>
      </c>
      <c r="T43" s="59">
        <f t="shared" si="34"/>
        <v>306.01967513533549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10.567112679129758</v>
      </c>
      <c r="AA43" s="21">
        <f>EXP(-LN(2)/25)*AA42+(1-EXP(-LN(2)/25))/(LN(2)/25)*Calculateur!V43*Calculateur!X43*VLOOKUP('Données projet'!$B$9,Paramètres!$A$1:$I$89,3,0)*0.475*44/12</f>
        <v>41.474869776008752</v>
      </c>
      <c r="AB43" s="21">
        <f>EXP(-LN(2)/2)*AB42+(1-EXP(-LN(2)/2))/(LN(2)/2)*V43*Y43*VLOOKUP('Données projet'!$B$9,Paramètres!$A$1:$I$89,3,0)*0.475*44/12</f>
        <v>0</v>
      </c>
      <c r="AC43" s="22">
        <f t="shared" si="3"/>
        <v>52.041982455138509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3.887142857142857</v>
      </c>
      <c r="AI43" s="13">
        <f>IF('Données projet'!$A$62&gt;35,AI42+AH43-AQ42,IF(A43&lt;'Données projet'!$A$62,$AF$205^A43,IF(A43='Données projet'!$A$62,'Données projet'!$B$62,AI42+AH43-AQ42)))</f>
        <v>155.48571428571438</v>
      </c>
      <c r="AJ43" s="13">
        <f>AI43*VLOOKUP('Données projet'!$B$10,Paramètres!$A$1:$I$89,3,0)*VLOOKUP('Données projet'!$B$10,Paramètres!$A$1:$I$89,5,0)</f>
        <v>140.68347428571437</v>
      </c>
      <c r="AK43" s="13">
        <f t="shared" si="35"/>
        <v>36.453535449340755</v>
      </c>
      <c r="AL43" s="20">
        <f t="shared" si="4"/>
        <v>308.51362528855435</v>
      </c>
      <c r="AM43" s="59">
        <f t="shared" si="5"/>
        <v>601.84695862188767</v>
      </c>
      <c r="AN43" s="59">
        <f ca="1">AVERAGE(OFFSET($AM$3,0,0,'Données projet'!$E$10+1,1))-AVERAGE(OFFSET($H$3,0,0,'Données projet'!$E$10+1,1))</f>
        <v>581.88778927327667</v>
      </c>
      <c r="AO43" s="59">
        <f t="shared" si="36"/>
        <v>269.67340993773422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10.578749999999999</v>
      </c>
      <c r="BD43" s="12">
        <f>IF('Données projet'!$A$88&gt;35,BD42+BC43-BL42,IF(A43&lt;'Données projet'!$A$88,$BA$205^A43,IF(A43='Données projet'!$A$88,'Données projet'!$B$88,BD42+BC43-BL42)))</f>
        <v>195.97499999999991</v>
      </c>
      <c r="BE43" s="13">
        <f>BD43*VLOOKUP('Données projet'!$B$11,Paramètres!$A$1:$I$89,3,0)*VLOOKUP('Données projet'!$B$11,Paramètres!$A$1:$I$89,5,0)</f>
        <v>112.09769999999995</v>
      </c>
      <c r="BF43" s="13">
        <f t="shared" si="37"/>
        <v>29.824674369942432</v>
      </c>
      <c r="BG43" s="20">
        <f t="shared" si="7"/>
        <v>247.18146869431629</v>
      </c>
      <c r="BH43" s="59">
        <f t="shared" si="8"/>
        <v>540.51480202764958</v>
      </c>
      <c r="BI43" s="59">
        <f ca="1">AVERAGE(OFFSET($BH$3,0,0,'Données projet'!$E$11+1,1))-AVERAGE(OFFSET($H$3,0,0,'Données projet'!$E$11+1,1))</f>
        <v>292.09131652373259</v>
      </c>
      <c r="BJ43" s="59">
        <f t="shared" si="38"/>
        <v>200.24819245805861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30.827969312898301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30.827969312898301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16.536250000000003</v>
      </c>
      <c r="N44" s="13">
        <f>IF('Données projet'!$A$36&gt;35,N43+M44-V43,IF(A44&lt;'Données projet'!$A$36,$K$205^A44,IF(A44='Données projet'!$A$36,'Données projet'!$B$36,N43+M44-V43)))</f>
        <v>317.74124999999992</v>
      </c>
      <c r="O44" s="13">
        <f>N44*VLOOKUP('Données projet'!$B$9,Paramètres!$A$1:$I$89,3,0)*VLOOKUP('Données projet'!$B$9,Paramètres!$A$1:$I$89,5,0)</f>
        <v>190.00926749999999</v>
      </c>
      <c r="P44" s="13">
        <f t="shared" si="33"/>
        <v>47.542001758079778</v>
      </c>
      <c r="Q44" s="20">
        <f t="shared" si="53"/>
        <v>413.73512729115561</v>
      </c>
      <c r="R44" s="59">
        <f t="shared" si="0"/>
        <v>707.06846062448892</v>
      </c>
      <c r="S44" s="59">
        <f ca="1">AVERAGE(OFFSET($R$3,0,0,'Données projet'!$E$9+1,1))-AVERAGE(OFFSET($H$3,0,0,'Données projet'!$E$9+1,1))</f>
        <v>300.80663531652721</v>
      </c>
      <c r="T44" s="59">
        <f t="shared" si="34"/>
        <v>306.01967513533549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10.359898044794338</v>
      </c>
      <c r="AA44" s="21">
        <f>EXP(-LN(2)/25)*AA43+(1-EXP(-LN(2)/25))/(LN(2)/25)*Calculateur!V44*Calculateur!X44*VLOOKUP('Données projet'!$B$9,Paramètres!$A$1:$I$89,3,0)*0.475*44/12</f>
        <v>40.340737280915185</v>
      </c>
      <c r="AB44" s="21">
        <f>EXP(-LN(2)/2)*AB43+(1-EXP(-LN(2)/2))/(LN(2)/2)*V44*Y44*VLOOKUP('Données projet'!$B$9,Paramètres!$A$1:$I$89,3,0)*0.475*44/12</f>
        <v>0</v>
      </c>
      <c r="AC44" s="22">
        <f t="shared" si="3"/>
        <v>50.700635325709527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3.887142857142857</v>
      </c>
      <c r="AI44" s="13">
        <f>IF('Données projet'!$A$62&gt;35,AI43+AH44-AQ43,IF(A44&lt;'Données projet'!$A$62,$AF$205^A44,IF(A44='Données projet'!$A$62,'Données projet'!$B$62,AI43+AH44-AQ43)))</f>
        <v>159.37285714285724</v>
      </c>
      <c r="AJ44" s="13">
        <f>AI44*VLOOKUP('Données projet'!$B$10,Paramètres!$A$1:$I$89,3,0)*VLOOKUP('Données projet'!$B$10,Paramètres!$A$1:$I$89,5,0)</f>
        <v>144.20056114285723</v>
      </c>
      <c r="AK44" s="13">
        <f t="shared" si="35"/>
        <v>37.257633154444321</v>
      </c>
      <c r="AL44" s="20">
        <f t="shared" si="4"/>
        <v>316.03968840113345</v>
      </c>
      <c r="AM44" s="59">
        <f t="shared" si="5"/>
        <v>609.37302173446676</v>
      </c>
      <c r="AN44" s="59">
        <f ca="1">AVERAGE(OFFSET($AM$3,0,0,'Données projet'!$E$10+1,1))-AVERAGE(OFFSET($H$3,0,0,'Données projet'!$E$10+1,1))</f>
        <v>581.88778927327667</v>
      </c>
      <c r="AO44" s="59">
        <f t="shared" si="36"/>
        <v>269.67340993773422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10.578749999999999</v>
      </c>
      <c r="BD44" s="12">
        <f>IF('Données projet'!$A$88&gt;35,BD43+BC44-BL43,IF(A44&lt;'Données projet'!$A$88,$BA$205^A44,IF(A44='Données projet'!$A$88,'Données projet'!$B$88,BD43+BC44-BL43)))</f>
        <v>206.55374999999992</v>
      </c>
      <c r="BE44" s="13">
        <f>BD44*VLOOKUP('Données projet'!$B$11,Paramètres!$A$1:$I$89,3,0)*VLOOKUP('Données projet'!$B$11,Paramètres!$A$1:$I$89,5,0)</f>
        <v>118.14874499999995</v>
      </c>
      <c r="BF44" s="13">
        <f t="shared" si="37"/>
        <v>31.2428345497046</v>
      </c>
      <c r="BG44" s="20">
        <f t="shared" si="7"/>
        <v>260.19033438240206</v>
      </c>
      <c r="BH44" s="59">
        <f t="shared" si="8"/>
        <v>553.52366771573543</v>
      </c>
      <c r="BI44" s="59">
        <f ca="1">AVERAGE(OFFSET($BH$3,0,0,'Données projet'!$E$11+1,1))-AVERAGE(OFFSET($H$3,0,0,'Données projet'!$E$11+1,1))</f>
        <v>292.09131652373259</v>
      </c>
      <c r="BJ44" s="59">
        <f t="shared" si="38"/>
        <v>200.24819245805861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29.984976870864649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29.984976870864649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16.536250000000003</v>
      </c>
      <c r="N45" s="13">
        <f>IF('Données projet'!$A$36&gt;35,N44+M45-V44,IF(A45&lt;'Données projet'!$A$36,$K$205^A45,IF(A45='Données projet'!$A$36,'Données projet'!$B$36,N44+M45-V44)))</f>
        <v>334.27749999999992</v>
      </c>
      <c r="O45" s="13">
        <f>N45*VLOOKUP('Données projet'!$B$9,Paramètres!$A$1:$I$89,3,0)*VLOOKUP('Données projet'!$B$9,Paramètres!$A$1:$I$89,5,0)</f>
        <v>199.89794499999996</v>
      </c>
      <c r="P45" s="13">
        <f t="shared" si="33"/>
        <v>49.721738459069584</v>
      </c>
      <c r="Q45" s="20">
        <f t="shared" si="53"/>
        <v>434.75428202454617</v>
      </c>
      <c r="R45" s="59">
        <f t="shared" si="0"/>
        <v>728.08761535787949</v>
      </c>
      <c r="S45" s="59">
        <f ca="1">AVERAGE(OFFSET($R$3,0,0,'Données projet'!$E$9+1,1))-AVERAGE(OFFSET($H$3,0,0,'Données projet'!$E$9+1,1))</f>
        <v>300.80663531652721</v>
      </c>
      <c r="T45" s="59">
        <f t="shared" si="34"/>
        <v>306.01967513533549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10.156746763049787</v>
      </c>
      <c r="AA45" s="21">
        <f>EXP(-LN(2)/25)*AA44+(1-EXP(-LN(2)/25))/(LN(2)/25)*Calculateur!V45*Calculateur!X45*VLOOKUP('Données projet'!$B$9,Paramètres!$A$1:$I$89,3,0)*0.475*44/12</f>
        <v>39.237617698541385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49.394364461591174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163.26</v>
      </c>
      <c r="AG45" s="12">
        <f>VLOOKUP(A45,'Données projet'!$A$61:$I$81,9,0)</f>
        <v>3.887142857142857</v>
      </c>
      <c r="AH45" s="12">
        <f t="array" ref="AH45">INDEX(AG:AG,MIN(IF(ISNUMBER(AG45:AG241),ROW(AG45:AG241),"")))</f>
        <v>3.887142857142857</v>
      </c>
      <c r="AI45" s="13">
        <f>IF('Données projet'!$A$62&gt;35,AI44+AH45-AQ44,IF(A45&lt;'Données projet'!$A$62,$AF$205^A45,IF(A45='Données projet'!$A$62,'Données projet'!$B$62,AI44+AH45-AQ44)))</f>
        <v>163.2600000000001</v>
      </c>
      <c r="AJ45" s="13">
        <f>AI45*VLOOKUP('Données projet'!$B$10,Paramètres!$A$1:$I$89,3,0)*VLOOKUP('Données projet'!$B$10,Paramètres!$A$1:$I$89,5,0)</f>
        <v>147.71764800000008</v>
      </c>
      <c r="AK45" s="13">
        <f t="shared" si="35"/>
        <v>38.059451005131997</v>
      </c>
      <c r="AL45" s="20">
        <f t="shared" si="4"/>
        <v>323.56178076727167</v>
      </c>
      <c r="AM45" s="59">
        <f t="shared" si="5"/>
        <v>616.89511410060504</v>
      </c>
      <c r="AN45" s="59">
        <f ca="1">AVERAGE(OFFSET($AM$3,0,0,'Données projet'!$E$10+1,1))-AVERAGE(OFFSET($H$3,0,0,'Données projet'!$E$10+1,1))</f>
        <v>581.88778927327667</v>
      </c>
      <c r="AO45" s="59">
        <f t="shared" si="36"/>
        <v>269.67340993773422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0.129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5.575369807727423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5.575369807727423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10.578749999999999</v>
      </c>
      <c r="BD45" s="12">
        <f>IF('Données projet'!$A$88&gt;35,BD44+BC45-BL44,IF(A45&lt;'Données projet'!$A$88,$BA$205^A45,IF(A45='Données projet'!$A$88,'Données projet'!$B$88,BD44+BC45-BL44)))</f>
        <v>217.13249999999994</v>
      </c>
      <c r="BE45" s="13">
        <f>BD45*VLOOKUP('Données projet'!$B$11,Paramètres!$A$1:$I$89,3,0)*VLOOKUP('Données projet'!$B$11,Paramètres!$A$1:$I$89,5,0)</f>
        <v>124.19978999999998</v>
      </c>
      <c r="BF45" s="13">
        <f t="shared" si="37"/>
        <v>32.65256165089037</v>
      </c>
      <c r="BG45" s="20">
        <f t="shared" si="7"/>
        <v>273.18451245863395</v>
      </c>
      <c r="BH45" s="59">
        <f t="shared" si="8"/>
        <v>566.51784579196726</v>
      </c>
      <c r="BI45" s="59">
        <f ca="1">AVERAGE(OFFSET($BH$3,0,0,'Données projet'!$E$11+1,1))-AVERAGE(OFFSET($H$3,0,0,'Données projet'!$E$11+1,1))</f>
        <v>292.09131652373259</v>
      </c>
      <c r="BJ45" s="59">
        <f t="shared" si="38"/>
        <v>200.24819245805861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29.165036101489452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29.165036101489452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16.536250000000003</v>
      </c>
      <c r="N46" s="13">
        <f>IF('Données projet'!$A$36&gt;35,N45+M46-V45,IF(A46&lt;'Données projet'!$A$36,$K$205^A46,IF(A46='Données projet'!$A$36,'Données projet'!$B$36,N45+M46-V45)))</f>
        <v>350.81374999999991</v>
      </c>
      <c r="O46" s="13">
        <f>N46*VLOOKUP('Données projet'!$B$9,Paramètres!$A$1:$I$89,3,0)*VLOOKUP('Données projet'!$B$9,Paramètres!$A$1:$I$89,5,0)</f>
        <v>209.78662249999996</v>
      </c>
      <c r="P46" s="13">
        <f t="shared" si="33"/>
        <v>51.888954587591464</v>
      </c>
      <c r="Q46" s="20">
        <f t="shared" si="53"/>
        <v>455.75163009422175</v>
      </c>
      <c r="R46" s="59">
        <f t="shared" si="0"/>
        <v>749.08496342755507</v>
      </c>
      <c r="S46" s="59">
        <f ca="1">AVERAGE(OFFSET($R$3,0,0,'Données projet'!$E$9+1,1))-AVERAGE(OFFSET($H$3,0,0,'Données projet'!$E$9+1,1))</f>
        <v>300.80663531652721</v>
      </c>
      <c r="T46" s="59">
        <f t="shared" si="34"/>
        <v>306.01967513533549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9.957579154030201</v>
      </c>
      <c r="AA46" s="21">
        <f>EXP(-LN(2)/25)*AA45+(1-EXP(-LN(2)/25))/(LN(2)/25)*Calculateur!V46*Calculateur!X46*VLOOKUP('Données projet'!$B$9,Paramètres!$A$1:$I$89,3,0)*0.475*44/12</f>
        <v>38.164662979158138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48.122242133188337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9.3712500000000034</v>
      </c>
      <c r="AI46" s="13">
        <f>IF('Données projet'!$A$62&gt;35,AI45+AH46-AQ45,IF(A46&lt;'Données projet'!$A$62,$AF$205^A46,IF(A46='Données projet'!$A$62,'Données projet'!$B$62,AI45+AH46-AQ45)))</f>
        <v>129.4212500000001</v>
      </c>
      <c r="AJ46" s="13">
        <f>AI46*VLOOKUP('Données projet'!$B$10,Paramètres!$A$1:$I$89,3,0)*VLOOKUP('Données projet'!$B$10,Paramètres!$A$1:$I$89,5,0)</f>
        <v>117.10034700000008</v>
      </c>
      <c r="AK46" s="13">
        <f t="shared" si="35"/>
        <v>30.997743089027207</v>
      </c>
      <c r="AL46" s="20">
        <f t="shared" si="4"/>
        <v>257.93750690505584</v>
      </c>
      <c r="AM46" s="59">
        <f t="shared" si="5"/>
        <v>551.27084023838916</v>
      </c>
      <c r="AN46" s="59">
        <f ca="1">AVERAGE(OFFSET($AM$3,0,0,'Données projet'!$E$10+1,1))-AVERAGE(OFFSET($H$3,0,0,'Données projet'!$E$10+1,1))</f>
        <v>581.88778927327667</v>
      </c>
      <c r="AO46" s="59">
        <f t="shared" si="36"/>
        <v>269.67340993773422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5.4660402064376861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5.4660402064376861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10.578749999999999</v>
      </c>
      <c r="BD46" s="12">
        <f>IF('Données projet'!$A$88&gt;35,BD45+BC46-BL45,IF(A46&lt;'Données projet'!$A$88,$BA$205^A46,IF(A46='Données projet'!$A$88,'Données projet'!$B$88,BD45+BC46-BL45)))</f>
        <v>227.71124999999995</v>
      </c>
      <c r="BE46" s="13">
        <f>BD46*VLOOKUP('Données projet'!$B$11,Paramètres!$A$1:$I$89,3,0)*VLOOKUP('Données projet'!$B$11,Paramètres!$A$1:$I$89,5,0)</f>
        <v>130.250835</v>
      </c>
      <c r="BF46" s="13">
        <f t="shared" si="37"/>
        <v>34.054313432025531</v>
      </c>
      <c r="BG46" s="20">
        <f t="shared" si="7"/>
        <v>286.16480018577778</v>
      </c>
      <c r="BH46" s="59">
        <f t="shared" si="8"/>
        <v>579.49813351911109</v>
      </c>
      <c r="BI46" s="59">
        <f ca="1">AVERAGE(OFFSET($BH$3,0,0,'Données projet'!$E$11+1,1))-AVERAGE(OFFSET($H$3,0,0,'Données projet'!$E$11+1,1))</f>
        <v>292.09131652373259</v>
      </c>
      <c r="BJ46" s="59">
        <f t="shared" si="38"/>
        <v>200.24819245805861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28.367516655571631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28.367516655571631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367.35</v>
      </c>
      <c r="L47" s="12">
        <f>VLOOKUP(A47,'Données projet'!$A$35:$I$55,9,0)</f>
        <v>16.536250000000003</v>
      </c>
      <c r="M47" s="12">
        <f t="array" ref="M47">INDEX(L:L,MIN(IF(ISNUMBER(L47:L243),ROW(L47:L243),"")))</f>
        <v>16.536250000000003</v>
      </c>
      <c r="N47" s="13">
        <f>IF('Données projet'!$A$36&gt;35,N46+M47-V46,IF(A47&lt;'Données projet'!$A$36,$K$205^A47,IF(A47='Données projet'!$A$36,'Données projet'!$B$36,N46+M47-V46)))</f>
        <v>367.34999999999991</v>
      </c>
      <c r="O47" s="13">
        <f>N47*VLOOKUP('Données projet'!$B$9,Paramètres!$A$1:$I$89,3,0)*VLOOKUP('Données projet'!$B$9,Paramètres!$A$1:$I$89,5,0)</f>
        <v>219.67529999999996</v>
      </c>
      <c r="P47" s="13">
        <f t="shared" si="33"/>
        <v>54.044307714561441</v>
      </c>
      <c r="Q47" s="20">
        <f t="shared" si="53"/>
        <v>476.72831676952774</v>
      </c>
      <c r="R47" s="59">
        <f t="shared" si="0"/>
        <v>770.06165010286099</v>
      </c>
      <c r="S47" s="59">
        <f ca="1">AVERAGE(OFFSET($R$3,0,0,'Données projet'!$E$9+1,1))-AVERAGE(OFFSET($H$3,0,0,'Données projet'!$E$9+1,1))</f>
        <v>300.80663531652721</v>
      </c>
      <c r="T47" s="59">
        <f t="shared" si="34"/>
        <v>306.01967513533549</v>
      </c>
      <c r="U47" s="15">
        <f>IF(ISNA(VLOOKUP(A47,'Données projet'!$A$35:$I$55,3,0)),0,VLOOKUP(A47,'Données projet'!$A$35:$I$55,3,0))</f>
        <v>5</v>
      </c>
      <c r="V47" s="15">
        <f>IF(ISNA(VLOOKUP(A47,'Données projet'!$A$35:$I$55,4,0)),0,VLOOKUP(A47,'Données projet'!$A$35:$I$55,4,0))</f>
        <v>77.91</v>
      </c>
      <c r="W47" s="16">
        <f>IF(ISNA(VLOOKUP(A47,'Données projet'!$A$35:$I$55,5,0)),0%,VLOOKUP(A47,'Données projet'!$A$35:$I$55,5,0)*VLOOKUP('Données projet'!$B$9,Paramètres!$A$1:$I$89,7,0))</f>
        <v>0.13500000000000001</v>
      </c>
      <c r="X47" s="16">
        <f>IF(ISNA(VLOOKUP(A47,'Données projet'!$A$35:$I$55,6,0)),0%,VLOOKUP(A47,'Données projet'!$A$35:$I$55,6,0)*VLOOKUP('Données projet'!$B$9,Paramètres!$A$1:$I$89,7,0))</f>
        <v>0.22500000000000001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18.105975463014815</v>
      </c>
      <c r="AA47" s="21">
        <f>EXP(-LN(2)/25)*AA46+(1-EXP(-LN(2)/25))/(LN(2)/25)*Calculateur!V47*Calculateur!X47*VLOOKUP('Données projet'!$B$9,Paramètres!$A$1:$I$89,3,0)*0.475*44/12</f>
        <v>50.972391930525085</v>
      </c>
      <c r="AB47" s="21">
        <f>EXP(-LN(2)/2)*AB46+(1-EXP(-LN(2)/2))/(LN(2)/2)*V47*Y47*VLOOKUP('Données projet'!$B$9,Paramètres!$A$1:$I$89,3,0)*0.475*44/12</f>
        <v>0</v>
      </c>
      <c r="AC47" s="22">
        <f t="shared" si="3"/>
        <v>69.078367393539907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9.3712500000000034</v>
      </c>
      <c r="AI47" s="13">
        <f>IF('Données projet'!$A$62&gt;35,AI46+AH47-AQ46,IF(A47&lt;'Données projet'!$A$62,$AF$205^A47,IF(A47='Données projet'!$A$62,'Données projet'!$B$62,AI46+AH47-AQ46)))</f>
        <v>138.7925000000001</v>
      </c>
      <c r="AJ47" s="13">
        <f>AI47*VLOOKUP('Données projet'!$B$10,Paramètres!$A$1:$I$89,3,0)*VLOOKUP('Données projet'!$B$10,Paramètres!$A$1:$I$89,5,0)</f>
        <v>125.5794540000001</v>
      </c>
      <c r="AK47" s="13">
        <f t="shared" si="35"/>
        <v>32.97285338000448</v>
      </c>
      <c r="AL47" s="20">
        <f t="shared" si="4"/>
        <v>276.14526868684135</v>
      </c>
      <c r="AM47" s="59">
        <f t="shared" si="5"/>
        <v>569.47860202017466</v>
      </c>
      <c r="AN47" s="59">
        <f ca="1">AVERAGE(OFFSET($AM$3,0,0,'Données projet'!$E$10+1,1))-AVERAGE(OFFSET($H$3,0,0,'Données projet'!$E$10+1,1))</f>
        <v>581.88778927327667</v>
      </c>
      <c r="AO47" s="59">
        <f t="shared" si="36"/>
        <v>269.67340993773422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5.3588544919447685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5.3588544919447685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238.29</v>
      </c>
      <c r="BB47" s="12">
        <f>VLOOKUP(A47,'Données projet'!$A$87:$I$107,9,0)</f>
        <v>10.578749999999999</v>
      </c>
      <c r="BC47" s="12">
        <f t="array" ref="BC47">INDEX(BB:BB,MIN(IF(ISNUMBER(BB47:BB243),ROW(BB47:BB243),"")))</f>
        <v>10.578749999999999</v>
      </c>
      <c r="BD47" s="12">
        <f>IF('Données projet'!$A$88&gt;35,BD46+BC47-BL46,IF(A47&lt;'Données projet'!$A$88,$BA$205^A47,IF(A47='Données projet'!$A$88,'Données projet'!$B$88,BD46+BC47-BL46)))</f>
        <v>238.28999999999996</v>
      </c>
      <c r="BE47" s="13">
        <f>BD47*VLOOKUP('Données projet'!$B$11,Paramètres!$A$1:$I$89,3,0)*VLOOKUP('Données projet'!$B$11,Paramètres!$A$1:$I$89,5,0)</f>
        <v>136.30187999999998</v>
      </c>
      <c r="BF47" s="13">
        <f t="shared" si="37"/>
        <v>35.448502715845386</v>
      </c>
      <c r="BG47" s="20">
        <f t="shared" si="7"/>
        <v>299.13191656343071</v>
      </c>
      <c r="BH47" s="59">
        <f t="shared" si="8"/>
        <v>592.46524989676402</v>
      </c>
      <c r="BI47" s="59">
        <f ca="1">AVERAGE(OFFSET($BH$3,0,0,'Données projet'!$E$11+1,1))-AVERAGE(OFFSET($H$3,0,0,'Données projet'!$E$11+1,1))</f>
        <v>292.09131652373259</v>
      </c>
      <c r="BJ47" s="59">
        <f t="shared" si="38"/>
        <v>200.24819245805861</v>
      </c>
      <c r="BK47" s="15">
        <f>IF(ISNA(VLOOKUP(A47,'Données projet'!$A$87:$I$107,3,0)),0,VLOOKUP(A47,'Données projet'!$A$87:$I$107,3,0))</f>
        <v>4</v>
      </c>
      <c r="BL47" s="15">
        <f>IF(ISNA(VLOOKUP(A47,'Données projet'!$A$87:$I$107,4,0)),0,VLOOKUP(A47,'Données projet'!$A$87:$I$107,4,0))</f>
        <v>42.43</v>
      </c>
      <c r="BM47" s="16">
        <f>IF(ISNA(VLOOKUP(A47,'Données projet'!$A$87:$I$107,5,0)),0%,VLOOKUP(A47,'Données projet'!$A$87:$I$107,5,0)*VLOOKUP('Données projet'!$B$11,Paramètres!$A$1:$I$89,7,0))</f>
        <v>0.22500000000000001</v>
      </c>
      <c r="BN47" s="16">
        <f>IF(ISNA(VLOOKUP(A47,'Données projet'!$A$87:$I$107,6,0)),0%,VLOOKUP(A47,'Données projet'!$A$87:$I$107,6,0)*VLOOKUP('Données projet'!$B$11,Paramètres!$A$1:$I$89,7,0))</f>
        <v>0.22500000000000001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7.244024910961369</v>
      </c>
      <c r="BQ47" s="21">
        <f>EXP(-LN(2)/25)*BQ46+(1-EXP(-LN(2)/25))/(LN(2)/25)*Calculateur!BL47*Calculateur!BN47*VLOOKUP('Données projet'!$B$11,Paramètres!$A$1:$I$89,3,0)*0.475*44/12</f>
        <v>34.807307845539192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42.051332756500564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14.64374999999999</v>
      </c>
      <c r="N48" s="13">
        <f>IF('Données projet'!$A$36&gt;35,N47+M48-V47,IF(A48&lt;'Données projet'!$A$36,$K$205^A48,IF(A48='Données projet'!$A$36,'Données projet'!$B$36,N47+M48-V47)))</f>
        <v>304.0837499999999</v>
      </c>
      <c r="O48" s="13">
        <f>N48*VLOOKUP('Données projet'!$B$9,Paramètres!$A$1:$I$89,3,0)*VLOOKUP('Données projet'!$B$9,Paramètres!$A$1:$I$89,5,0)</f>
        <v>181.84208249999998</v>
      </c>
      <c r="P48" s="13">
        <f t="shared" si="33"/>
        <v>45.731772411922861</v>
      </c>
      <c r="Q48" s="20">
        <f t="shared" si="53"/>
        <v>396.35779730493226</v>
      </c>
      <c r="R48" s="59">
        <f t="shared" si="0"/>
        <v>689.69113063826558</v>
      </c>
      <c r="S48" s="59">
        <f ca="1">AVERAGE(OFFSET($R$3,0,0,'Données projet'!$E$9+1,1))-AVERAGE(OFFSET($H$3,0,0,'Données projet'!$E$9+1,1))</f>
        <v>300.80663531652721</v>
      </c>
      <c r="T48" s="59">
        <f t="shared" si="34"/>
        <v>306.01967513533549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17.750928327739665</v>
      </c>
      <c r="AA48" s="21">
        <f>EXP(-LN(2)/25)*AA47+(1-EXP(-LN(2)/25))/(LN(2)/25)*Calculateur!V48*Calculateur!X48*VLOOKUP('Données projet'!$B$9,Paramètres!$A$1:$I$89,3,0)*0.475*44/12</f>
        <v>49.578549192663282</v>
      </c>
      <c r="AB48" s="21">
        <f>EXP(-LN(2)/2)*AB47+(1-EXP(-LN(2)/2))/(LN(2)/2)*V48*Y48*VLOOKUP('Données projet'!$B$9,Paramètres!$A$1:$I$89,3,0)*0.475*44/12</f>
        <v>0</v>
      </c>
      <c r="AC48" s="22">
        <f t="shared" si="3"/>
        <v>67.329477520402946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9.3712500000000034</v>
      </c>
      <c r="AI48" s="13">
        <f>IF('Données projet'!$A$62&gt;35,AI47+AH48-AQ47,IF(A48&lt;'Données projet'!$A$62,$AF$205^A48,IF(A48='Données projet'!$A$62,'Données projet'!$B$62,AI47+AH48-AQ47)))</f>
        <v>148.16375000000011</v>
      </c>
      <c r="AJ48" s="13">
        <f>AI48*VLOOKUP('Données projet'!$B$10,Paramètres!$A$1:$I$89,3,0)*VLOOKUP('Données projet'!$B$10,Paramètres!$A$1:$I$89,5,0)</f>
        <v>134.05856100000008</v>
      </c>
      <c r="AK48" s="13">
        <f t="shared" si="35"/>
        <v>34.932489097291651</v>
      </c>
      <c r="AL48" s="20">
        <f t="shared" si="4"/>
        <v>294.3260789194498</v>
      </c>
      <c r="AM48" s="59">
        <f t="shared" si="5"/>
        <v>587.65941225278311</v>
      </c>
      <c r="AN48" s="59">
        <f ca="1">AVERAGE(OFFSET($AM$3,0,0,'Données projet'!$E$10+1,1))-AVERAGE(OFFSET($H$3,0,0,'Données projet'!$E$10+1,1))</f>
        <v>581.88778927327667</v>
      </c>
      <c r="AO48" s="59">
        <f t="shared" si="36"/>
        <v>269.67340993773422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5.2537706239362265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5.2537706239362265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9.6675000000000004</v>
      </c>
      <c r="BD48" s="12">
        <f>IF('Données projet'!$A$88&gt;35,BD47+BC48-BL47,IF(A48&lt;'Données projet'!$A$88,$BA$205^A48,IF(A48='Données projet'!$A$88,'Données projet'!$B$88,BD47+BC48-BL47)))</f>
        <v>205.52749999999995</v>
      </c>
      <c r="BE48" s="13">
        <f>BD48*VLOOKUP('Données projet'!$B$11,Paramètres!$A$1:$I$89,3,0)*VLOOKUP('Données projet'!$B$11,Paramètres!$A$1:$I$89,5,0)</f>
        <v>117.56172999999997</v>
      </c>
      <c r="BF48" s="13">
        <f t="shared" si="37"/>
        <v>31.105635210765659</v>
      </c>
      <c r="BG48" s="20">
        <f t="shared" si="7"/>
        <v>258.92899440875016</v>
      </c>
      <c r="BH48" s="59">
        <f t="shared" si="8"/>
        <v>552.26232774208347</v>
      </c>
      <c r="BI48" s="59">
        <f ca="1">AVERAGE(OFFSET($BH$3,0,0,'Données projet'!$E$11+1,1))-AVERAGE(OFFSET($H$3,0,0,'Données projet'!$E$11+1,1))</f>
        <v>292.09131652373259</v>
      </c>
      <c r="BJ48" s="59">
        <f t="shared" si="38"/>
        <v>200.24819245805861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7.1019740008763295</v>
      </c>
      <c r="BQ48" s="21">
        <f>EXP(-LN(2)/25)*BQ47+(1-EXP(-LN(2)/25))/(LN(2)/25)*Calculateur!BL48*Calculateur!BN48*VLOOKUP('Données projet'!$B$11,Paramètres!$A$1:$I$89,3,0)*0.475*44/12</f>
        <v>33.855500182066159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40.957474182942491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14.64374999999999</v>
      </c>
      <c r="N49" s="13">
        <f>IF('Données projet'!$A$36&gt;35,N48+M49-V48,IF(A49&lt;'Données projet'!$A$36,$K$205^A49,IF(A49='Données projet'!$A$36,'Données projet'!$B$36,N48+M49-V48)))</f>
        <v>318.72749999999991</v>
      </c>
      <c r="O49" s="13">
        <f>N49*VLOOKUP('Données projet'!$B$9,Paramètres!$A$1:$I$89,3,0)*VLOOKUP('Données projet'!$B$9,Paramètres!$A$1:$I$89,5,0)</f>
        <v>190.59904499999996</v>
      </c>
      <c r="P49" s="13">
        <f t="shared" si="33"/>
        <v>47.672368921426973</v>
      </c>
      <c r="Q49" s="20">
        <f t="shared" si="53"/>
        <v>414.98937924648521</v>
      </c>
      <c r="R49" s="59">
        <f t="shared" si="0"/>
        <v>708.32271257981847</v>
      </c>
      <c r="S49" s="59">
        <f ca="1">AVERAGE(OFFSET($R$3,0,0,'Données projet'!$E$9+1,1))-AVERAGE(OFFSET($H$3,0,0,'Données projet'!$E$9+1,1))</f>
        <v>300.80663531652721</v>
      </c>
      <c r="T49" s="59">
        <f t="shared" si="34"/>
        <v>306.01967513533549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17.402843450229891</v>
      </c>
      <c r="AA49" s="21">
        <f>EXP(-LN(2)/25)*AA48+(1-EXP(-LN(2)/25))/(LN(2)/25)*Calculateur!V49*Calculateur!X49*VLOOKUP('Données projet'!$B$9,Paramètres!$A$1:$I$89,3,0)*0.475*44/12</f>
        <v>48.222821157767314</v>
      </c>
      <c r="AB49" s="21">
        <f>EXP(-LN(2)/2)*AB48+(1-EXP(-LN(2)/2))/(LN(2)/2)*V49*Y49*VLOOKUP('Données projet'!$B$9,Paramètres!$A$1:$I$89,3,0)*0.475*44/12</f>
        <v>0</v>
      </c>
      <c r="AC49" s="22">
        <f t="shared" si="3"/>
        <v>65.625664607997209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9.3712500000000034</v>
      </c>
      <c r="AI49" s="13">
        <f>IF('Données projet'!$A$62&gt;35,AI48+AH49-AQ48,IF(A49&lt;'Données projet'!$A$62,$AF$205^A49,IF(A49='Données projet'!$A$62,'Données projet'!$B$62,AI48+AH49-AQ48)))</f>
        <v>157.53500000000011</v>
      </c>
      <c r="AJ49" s="13">
        <f>AI49*VLOOKUP('Données projet'!$B$10,Paramètres!$A$1:$I$89,3,0)*VLOOKUP('Données projet'!$B$10,Paramètres!$A$1:$I$89,5,0)</f>
        <v>142.53766800000008</v>
      </c>
      <c r="AK49" s="13">
        <f t="shared" si="35"/>
        <v>36.877740410345027</v>
      </c>
      <c r="AL49" s="20">
        <f t="shared" si="4"/>
        <v>312.48183631468436</v>
      </c>
      <c r="AM49" s="59">
        <f t="shared" si="5"/>
        <v>605.81516964801767</v>
      </c>
      <c r="AN49" s="59">
        <f ca="1">AVERAGE(OFFSET($AM$3,0,0,'Données projet'!$E$10+1,1))-AVERAGE(OFFSET($H$3,0,0,'Données projet'!$E$10+1,1))</f>
        <v>581.88778927327667</v>
      </c>
      <c r="AO49" s="59">
        <f t="shared" si="36"/>
        <v>269.67340993773422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5.1507473864845013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5.1507473864845013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9.6675000000000004</v>
      </c>
      <c r="BD49" s="12">
        <f>IF('Données projet'!$A$88&gt;35,BD48+BC49-BL48,IF(A49&lt;'Données projet'!$A$88,$BA$205^A49,IF(A49='Données projet'!$A$88,'Données projet'!$B$88,BD48+BC49-BL48)))</f>
        <v>215.19499999999994</v>
      </c>
      <c r="BE49" s="13">
        <f>BD49*VLOOKUP('Données projet'!$B$11,Paramètres!$A$1:$I$89,3,0)*VLOOKUP('Données projet'!$B$11,Paramètres!$A$1:$I$89,5,0)</f>
        <v>123.09153999999997</v>
      </c>
      <c r="BF49" s="13">
        <f t="shared" si="37"/>
        <v>32.394979314805383</v>
      </c>
      <c r="BG49" s="20">
        <f t="shared" si="7"/>
        <v>270.80568780661929</v>
      </c>
      <c r="BH49" s="59">
        <f t="shared" si="8"/>
        <v>564.13902113995255</v>
      </c>
      <c r="BI49" s="59">
        <f ca="1">AVERAGE(OFFSET($BH$3,0,0,'Données projet'!$E$11+1,1))-AVERAGE(OFFSET($H$3,0,0,'Données projet'!$E$11+1,1))</f>
        <v>292.09131652373259</v>
      </c>
      <c r="BJ49" s="59">
        <f t="shared" si="38"/>
        <v>200.24819245805861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6.9627086224955574</v>
      </c>
      <c r="BQ49" s="21">
        <f>EXP(-LN(2)/25)*BQ48+(1-EXP(-LN(2)/25))/(LN(2)/25)*Calculateur!BL49*Calculateur!BN49*VLOOKUP('Données projet'!$B$11,Paramètres!$A$1:$I$89,3,0)*0.475*44/12</f>
        <v>32.929719749204182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39.892428371699737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14.64374999999999</v>
      </c>
      <c r="N50" s="13">
        <f>IF('Données projet'!$A$36&gt;35,N49+M50-V49,IF(A50&lt;'Données projet'!$A$36,$K$205^A50,IF(A50='Données projet'!$A$36,'Données projet'!$B$36,N49+M50-V49)))</f>
        <v>333.37124999999992</v>
      </c>
      <c r="O50" s="13">
        <f>N50*VLOOKUP('Données projet'!$B$9,Paramètres!$A$1:$I$89,3,0)*VLOOKUP('Données projet'!$B$9,Paramètres!$A$1:$I$89,5,0)</f>
        <v>199.35600749999998</v>
      </c>
      <c r="P50" s="13">
        <f t="shared" si="33"/>
        <v>49.602611110771242</v>
      </c>
      <c r="Q50" s="20">
        <f t="shared" si="53"/>
        <v>433.6029274137598</v>
      </c>
      <c r="R50" s="59">
        <f t="shared" si="0"/>
        <v>726.93626074709312</v>
      </c>
      <c r="S50" s="59">
        <f ca="1">AVERAGE(OFFSET($R$3,0,0,'Données projet'!$E$9+1,1))-AVERAGE(OFFSET($H$3,0,0,'Données projet'!$E$9+1,1))</f>
        <v>300.80663531652721</v>
      </c>
      <c r="T50" s="59">
        <f t="shared" si="34"/>
        <v>306.01967513533549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17.061584304857274</v>
      </c>
      <c r="AA50" s="21">
        <f>EXP(-LN(2)/25)*AA49+(1-EXP(-LN(2)/25))/(LN(2)/25)*Calculateur!V50*Calculateur!X50*VLOOKUP('Données projet'!$B$9,Paramètres!$A$1:$I$89,3,0)*0.475*44/12</f>
        <v>46.904165577280217</v>
      </c>
      <c r="AB50" s="21">
        <f>EXP(-LN(2)/2)*AB49+(1-EXP(-LN(2)/2))/(LN(2)/2)*V50*Y50*VLOOKUP('Données projet'!$B$9,Paramètres!$A$1:$I$89,3,0)*0.475*44/12</f>
        <v>0</v>
      </c>
      <c r="AC50" s="22">
        <f t="shared" si="3"/>
        <v>63.965749882137487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9.3712500000000034</v>
      </c>
      <c r="AI50" s="13">
        <f>IF('Données projet'!$A$62&gt;35,AI49+AH50-AQ49,IF(A50&lt;'Données projet'!$A$62,$AF$205^A50,IF(A50='Données projet'!$A$62,'Données projet'!$B$62,AI49+AH50-AQ49)))</f>
        <v>166.90625000000011</v>
      </c>
      <c r="AJ50" s="13">
        <f>AI50*VLOOKUP('Données projet'!$B$10,Paramètres!$A$1:$I$89,3,0)*VLOOKUP('Données projet'!$B$10,Paramètres!$A$1:$I$89,5,0)</f>
        <v>151.01677500000011</v>
      </c>
      <c r="AK50" s="13">
        <f t="shared" si="35"/>
        <v>38.809560459830927</v>
      </c>
      <c r="AL50" s="20">
        <f t="shared" si="4"/>
        <v>330.61420092587235</v>
      </c>
      <c r="AM50" s="59">
        <f t="shared" si="5"/>
        <v>623.94753425920567</v>
      </c>
      <c r="AN50" s="59">
        <f ca="1">AVERAGE(OFFSET($AM$3,0,0,'Données projet'!$E$10+1,1))-AVERAGE(OFFSET($H$3,0,0,'Données projet'!$E$10+1,1))</f>
        <v>581.88778927327667</v>
      </c>
      <c r="AO50" s="59">
        <f t="shared" si="36"/>
        <v>269.67340993773422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5.0497443718812338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5.0497443718812338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9.6675000000000004</v>
      </c>
      <c r="BD50" s="12">
        <f>IF('Données projet'!$A$88&gt;35,BD49+BC50-BL49,IF(A50&lt;'Données projet'!$A$88,$BA$205^A50,IF(A50='Données projet'!$A$88,'Données projet'!$B$88,BD49+BC50-BL49)))</f>
        <v>224.86249999999993</v>
      </c>
      <c r="BE50" s="13">
        <f>BD50*VLOOKUP('Données projet'!$B$11,Paramètres!$A$1:$I$89,3,0)*VLOOKUP('Données projet'!$B$11,Paramètres!$A$1:$I$89,5,0)</f>
        <v>128.62134999999995</v>
      </c>
      <c r="BF50" s="13">
        <f t="shared" si="37"/>
        <v>33.677596393009161</v>
      </c>
      <c r="BG50" s="20">
        <f t="shared" si="7"/>
        <v>282.67066496782417</v>
      </c>
      <c r="BH50" s="59">
        <f t="shared" si="8"/>
        <v>576.00399830115748</v>
      </c>
      <c r="BI50" s="59">
        <f ca="1">AVERAGE(OFFSET($BH$3,0,0,'Données projet'!$E$11+1,1))-AVERAGE(OFFSET($H$3,0,0,'Données projet'!$E$11+1,1))</f>
        <v>292.09131652373259</v>
      </c>
      <c r="BJ50" s="59">
        <f t="shared" si="38"/>
        <v>200.24819245805861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6.8261741532413396</v>
      </c>
      <c r="BQ50" s="21">
        <f>EXP(-LN(2)/25)*BQ49+(1-EXP(-LN(2)/25))/(LN(2)/25)*Calculateur!BL50*Calculateur!BN50*VLOOKUP('Données projet'!$B$11,Paramètres!$A$1:$I$89,3,0)*0.475*44/12</f>
        <v>32.029254830963495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38.855428984204835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14.64374999999999</v>
      </c>
      <c r="N51" s="13">
        <f>IF('Données projet'!$A$36&gt;35,N50+M51-V50,IF(A51&lt;'Données projet'!$A$36,$K$205^A51,IF(A51='Données projet'!$A$36,'Données projet'!$B$36,N50+M51-V50)))</f>
        <v>348.01499999999993</v>
      </c>
      <c r="O51" s="13">
        <f>N51*VLOOKUP('Données projet'!$B$9,Paramètres!$A$1:$I$89,3,0)*VLOOKUP('Données projet'!$B$9,Paramètres!$A$1:$I$89,5,0)</f>
        <v>208.11296999999999</v>
      </c>
      <c r="P51" s="13">
        <f t="shared" si="33"/>
        <v>51.52300578513217</v>
      </c>
      <c r="Q51" s="20">
        <f t="shared" si="53"/>
        <v>452.19932449243839</v>
      </c>
      <c r="R51" s="59">
        <f t="shared" si="0"/>
        <v>745.53265782577171</v>
      </c>
      <c r="S51" s="59">
        <f ca="1">AVERAGE(OFFSET($R$3,0,0,'Données projet'!$E$9+1,1))-AVERAGE(OFFSET($H$3,0,0,'Données projet'!$E$9+1,1))</f>
        <v>300.80663531652721</v>
      </c>
      <c r="T51" s="59">
        <f t="shared" si="34"/>
        <v>306.01967513533549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16.727017043177888</v>
      </c>
      <c r="AA51" s="21">
        <f>EXP(-LN(2)/25)*AA50+(1-EXP(-LN(2)/25))/(LN(2)/25)*Calculateur!V51*Calculateur!X51*VLOOKUP('Données projet'!$B$9,Paramètres!$A$1:$I$89,3,0)*0.475*44/12</f>
        <v>45.621568702986622</v>
      </c>
      <c r="AB51" s="21">
        <f>EXP(-LN(2)/2)*AB50+(1-EXP(-LN(2)/2))/(LN(2)/2)*V51*Y51*VLOOKUP('Données projet'!$B$9,Paramètres!$A$1:$I$89,3,0)*0.475*44/12</f>
        <v>0</v>
      </c>
      <c r="AC51" s="22">
        <f t="shared" si="3"/>
        <v>62.34858574616451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9.3712500000000034</v>
      </c>
      <c r="AI51" s="13">
        <f>IF('Données projet'!$A$62&gt;35,AI50+AH51-AQ50,IF(A51&lt;'Données projet'!$A$62,$AF$205^A51,IF(A51='Données projet'!$A$62,'Données projet'!$B$62,AI50+AH51-AQ50)))</f>
        <v>176.27750000000012</v>
      </c>
      <c r="AJ51" s="13">
        <f>AI51*VLOOKUP('Données projet'!$B$10,Paramètres!$A$1:$I$89,3,0)*VLOOKUP('Données projet'!$B$10,Paramètres!$A$1:$I$89,5,0)</f>
        <v>159.49588200000008</v>
      </c>
      <c r="AK51" s="13">
        <f t="shared" si="35"/>
        <v>40.728789309687656</v>
      </c>
      <c r="AL51" s="20">
        <f t="shared" si="4"/>
        <v>348.72463586437283</v>
      </c>
      <c r="AM51" s="59">
        <f t="shared" si="5"/>
        <v>642.05796919770614</v>
      </c>
      <c r="AN51" s="59">
        <f ca="1">AVERAGE(OFFSET($AM$3,0,0,'Données projet'!$E$10+1,1))-AVERAGE(OFFSET($H$3,0,0,'Données projet'!$E$10+1,1))</f>
        <v>581.88778927327667</v>
      </c>
      <c r="AO51" s="59">
        <f t="shared" si="36"/>
        <v>269.67340993773422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4.9507219647885812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4.9507219647885812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9.6675000000000004</v>
      </c>
      <c r="BD51" s="12">
        <f>IF('Données projet'!$A$88&gt;35,BD50+BC51-BL50,IF(A51&lt;'Données projet'!$A$88,$BA$205^A51,IF(A51='Données projet'!$A$88,'Données projet'!$B$88,BD50+BC51-BL50)))</f>
        <v>234.52999999999992</v>
      </c>
      <c r="BE51" s="13">
        <f>BD51*VLOOKUP('Données projet'!$B$11,Paramètres!$A$1:$I$89,3,0)*VLOOKUP('Données projet'!$B$11,Paramètres!$A$1:$I$89,5,0)</f>
        <v>134.15115999999995</v>
      </c>
      <c r="BF51" s="13">
        <f t="shared" si="37"/>
        <v>34.953808720643778</v>
      </c>
      <c r="BG51" s="20">
        <f t="shared" si="7"/>
        <v>294.52448718845449</v>
      </c>
      <c r="BH51" s="59">
        <f t="shared" si="8"/>
        <v>587.85782052178774</v>
      </c>
      <c r="BI51" s="59">
        <f ca="1">AVERAGE(OFFSET($BH$3,0,0,'Données projet'!$E$11+1,1))-AVERAGE(OFFSET($H$3,0,0,'Données projet'!$E$11+1,1))</f>
        <v>292.09131652373259</v>
      </c>
      <c r="BJ51" s="59">
        <f t="shared" si="38"/>
        <v>200.24819245805861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6.6923170416513935</v>
      </c>
      <c r="BQ51" s="21">
        <f>EXP(-LN(2)/25)*BQ50+(1-EXP(-LN(2)/25))/(LN(2)/25)*Calculateur!BL51*Calculateur!BN51*VLOOKUP('Données projet'!$B$11,Paramètres!$A$1:$I$89,3,0)*0.475*44/12</f>
        <v>31.153413173265491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37.845730214916884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14.64374999999999</v>
      </c>
      <c r="N52" s="13">
        <f>IF('Données projet'!$A$36&gt;35,N51+M52-V51,IF(A52&lt;'Données projet'!$A$36,$K$205^A52,IF(A52='Données projet'!$A$36,'Données projet'!$B$36,N51+M52-V51)))</f>
        <v>362.65874999999994</v>
      </c>
      <c r="O52" s="13">
        <f>N52*VLOOKUP('Données projet'!$B$9,Paramètres!$A$1:$I$89,3,0)*VLOOKUP('Données projet'!$B$9,Paramètres!$A$1:$I$89,5,0)</f>
        <v>216.86993249999998</v>
      </c>
      <c r="P52" s="13">
        <f t="shared" si="33"/>
        <v>53.434014686329654</v>
      </c>
      <c r="Q52" s="20">
        <f t="shared" si="53"/>
        <v>470.77937468285745</v>
      </c>
      <c r="R52" s="59">
        <f t="shared" si="0"/>
        <v>764.11270801619071</v>
      </c>
      <c r="S52" s="59">
        <f ca="1">AVERAGE(OFFSET($R$3,0,0,'Données projet'!$E$9+1,1))-AVERAGE(OFFSET($H$3,0,0,'Données projet'!$E$9+1,1))</f>
        <v>300.80663531652721</v>
      </c>
      <c r="T52" s="59">
        <f t="shared" si="34"/>
        <v>306.01967513533549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16.399010441434154</v>
      </c>
      <c r="AA52" s="21">
        <f>EXP(-LN(2)/25)*AA51+(1-EXP(-LN(2)/25))/(LN(2)/25)*Calculateur!V52*Calculateur!X52*VLOOKUP('Données projet'!$B$9,Paramètres!$A$1:$I$89,3,0)*0.475*44/12</f>
        <v>44.374044507669424</v>
      </c>
      <c r="AB52" s="21">
        <f>EXP(-LN(2)/2)*AB51+(1-EXP(-LN(2)/2))/(LN(2)/2)*V52*Y52*VLOOKUP('Données projet'!$B$9,Paramètres!$A$1:$I$89,3,0)*0.475*44/12</f>
        <v>0</v>
      </c>
      <c r="AC52" s="22">
        <f t="shared" si="3"/>
        <v>60.773054949103582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9.3712500000000034</v>
      </c>
      <c r="AI52" s="13">
        <f>IF('Données projet'!$A$62&gt;35,AI51+AH52-AQ51,IF(A52&lt;'Données projet'!$A$62,$AF$205^A52,IF(A52='Données projet'!$A$62,'Données projet'!$B$62,AI51+AH52-AQ51)))</f>
        <v>185.64875000000012</v>
      </c>
      <c r="AJ52" s="13">
        <f>AI52*VLOOKUP('Données projet'!$B$10,Paramètres!$A$1:$I$89,3,0)*VLOOKUP('Données projet'!$B$10,Paramètres!$A$1:$I$89,5,0)</f>
        <v>167.97498900000011</v>
      </c>
      <c r="AK52" s="13">
        <f t="shared" si="35"/>
        <v>42.636172660412917</v>
      </c>
      <c r="AL52" s="20">
        <f t="shared" si="4"/>
        <v>366.81443989188602</v>
      </c>
      <c r="AM52" s="59">
        <f t="shared" si="5"/>
        <v>660.14777322521934</v>
      </c>
      <c r="AN52" s="59">
        <f ca="1">AVERAGE(OFFSET($AM$3,0,0,'Données projet'!$E$10+1,1))-AVERAGE(OFFSET($H$3,0,0,'Données projet'!$E$10+1,1))</f>
        <v>581.88778927327667</v>
      </c>
      <c r="AO52" s="59">
        <f t="shared" si="36"/>
        <v>269.67340993773422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4.853641326701311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4.853641326701311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9.6675000000000004</v>
      </c>
      <c r="BD52" s="12">
        <f>IF('Données projet'!$A$88&gt;35,BD51+BC52-BL51,IF(A52&lt;'Données projet'!$A$88,$BA$205^A52,IF(A52='Données projet'!$A$88,'Données projet'!$B$88,BD51+BC52-BL51)))</f>
        <v>244.19749999999991</v>
      </c>
      <c r="BE52" s="13">
        <f>BD52*VLOOKUP('Données projet'!$B$11,Paramètres!$A$1:$I$89,3,0)*VLOOKUP('Données projet'!$B$11,Paramètres!$A$1:$I$89,5,0)</f>
        <v>139.68096999999995</v>
      </c>
      <c r="BF52" s="13">
        <f t="shared" si="37"/>
        <v>36.223910500783802</v>
      </c>
      <c r="BG52" s="20">
        <f t="shared" si="7"/>
        <v>306.36766687219836</v>
      </c>
      <c r="BH52" s="59">
        <f t="shared" si="8"/>
        <v>599.70100020553173</v>
      </c>
      <c r="BI52" s="59">
        <f ca="1">AVERAGE(OFFSET($BH$3,0,0,'Données projet'!$E$11+1,1))-AVERAGE(OFFSET($H$3,0,0,'Données projet'!$E$11+1,1))</f>
        <v>292.09131652373259</v>
      </c>
      <c r="BJ52" s="59">
        <f t="shared" si="38"/>
        <v>200.24819245805861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6.5610847863749502</v>
      </c>
      <c r="BQ52" s="21">
        <f>EXP(-LN(2)/25)*BQ51+(1-EXP(-LN(2)/25))/(LN(2)/25)*Calculateur!BL52*Calculateur!BN52*VLOOKUP('Données projet'!$B$11,Paramètres!$A$1:$I$89,3,0)*0.475*44/12</f>
        <v>30.30152145175575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36.862606238130702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14.64374999999999</v>
      </c>
      <c r="N53" s="13">
        <f>IF('Données projet'!$A$36&gt;35,N52+M53-V52,IF(A53&lt;'Données projet'!$A$36,$K$205^A53,IF(A53='Données projet'!$A$36,'Données projet'!$B$36,N52+M53-V52)))</f>
        <v>377.30249999999995</v>
      </c>
      <c r="O53" s="13">
        <f>N53*VLOOKUP('Données projet'!$B$9,Paramètres!$A$1:$I$89,3,0)*VLOOKUP('Données projet'!$B$9,Paramètres!$A$1:$I$89,5,0)</f>
        <v>225.62689499999999</v>
      </c>
      <c r="P53" s="13">
        <f t="shared" si="33"/>
        <v>55.336060156511813</v>
      </c>
      <c r="Q53" s="20">
        <f t="shared" si="53"/>
        <v>489.34381356425803</v>
      </c>
      <c r="R53" s="59">
        <f t="shared" si="0"/>
        <v>782.67714689759134</v>
      </c>
      <c r="S53" s="59">
        <f ca="1">AVERAGE(OFFSET($R$3,0,0,'Données projet'!$E$9+1,1))-AVERAGE(OFFSET($H$3,0,0,'Données projet'!$E$9+1,1))</f>
        <v>300.80663531652721</v>
      </c>
      <c r="T53" s="59">
        <f t="shared" si="34"/>
        <v>306.01967513533549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16.077435849086342</v>
      </c>
      <c r="AA53" s="21">
        <f>EXP(-LN(2)/25)*AA52+(1-EXP(-LN(2)/25))/(LN(2)/25)*Calculateur!V53*Calculateur!X53*VLOOKUP('Données projet'!$B$9,Paramètres!$A$1:$I$89,3,0)*0.475*44/12</f>
        <v>43.160633927077619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59.238069776163961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195.02</v>
      </c>
      <c r="AG53" s="12">
        <f>VLOOKUP(A53,'Données projet'!$A$61:$I$81,9,0)</f>
        <v>9.3712500000000034</v>
      </c>
      <c r="AH53" s="12">
        <f t="array" ref="AH53">INDEX(AG:AG,MIN(IF(ISNUMBER(AG53:AG249),ROW(AG53:AG249),"")))</f>
        <v>9.3712500000000034</v>
      </c>
      <c r="AI53" s="13">
        <f>IF('Données projet'!$A$62&gt;35,AI52+AH53-AQ52,IF(A53&lt;'Données projet'!$A$62,$AF$205^A53,IF(A53='Données projet'!$A$62,'Données projet'!$B$62,AI52+AH53-AQ52)))</f>
        <v>195.02000000000012</v>
      </c>
      <c r="AJ53" s="13">
        <f>AI53*VLOOKUP('Données projet'!$B$10,Paramètres!$A$1:$I$89,3,0)*VLOOKUP('Données projet'!$B$10,Paramètres!$A$1:$I$89,5,0)</f>
        <v>176.45409600000011</v>
      </c>
      <c r="AK53" s="13">
        <f t="shared" si="35"/>
        <v>44.532376676436577</v>
      </c>
      <c r="AL53" s="20">
        <f t="shared" si="4"/>
        <v>384.88477324479385</v>
      </c>
      <c r="AM53" s="59">
        <f t="shared" si="5"/>
        <v>678.21810657812716</v>
      </c>
      <c r="AN53" s="59">
        <f ca="1">AVERAGE(OFFSET($AM$3,0,0,'Données projet'!$E$10+1,1))-AVERAGE(OFFSET($H$3,0,0,'Données projet'!$E$10+1,1))</f>
        <v>581.88778927327667</v>
      </c>
      <c r="AO53" s="59">
        <f t="shared" si="36"/>
        <v>269.67340993773422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9.3493382006381829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9.3493382006381829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9.6675000000000004</v>
      </c>
      <c r="BD53" s="12">
        <f>IF('Données projet'!$A$88&gt;35,BD52+BC53-BL52,IF(A53&lt;'Données projet'!$A$88,$BA$205^A53,IF(A53='Données projet'!$A$88,'Données projet'!$B$88,BD52+BC53-BL52)))</f>
        <v>253.8649999999999</v>
      </c>
      <c r="BE53" s="13">
        <f>BD53*VLOOKUP('Données projet'!$B$11,Paramètres!$A$1:$I$89,3,0)*VLOOKUP('Données projet'!$B$11,Paramètres!$A$1:$I$89,5,0)</f>
        <v>145.21077999999994</v>
      </c>
      <c r="BF53" s="13">
        <f t="shared" si="37"/>
        <v>37.488171323475001</v>
      </c>
      <c r="BG53" s="20">
        <f t="shared" si="7"/>
        <v>318.20067355505216</v>
      </c>
      <c r="BH53" s="59">
        <f t="shared" si="8"/>
        <v>611.53400688838542</v>
      </c>
      <c r="BI53" s="59">
        <f ca="1">AVERAGE(OFFSET($BH$3,0,0,'Données projet'!$E$11+1,1))-AVERAGE(OFFSET($H$3,0,0,'Données projet'!$E$11+1,1))</f>
        <v>292.09131652373259</v>
      </c>
      <c r="BJ53" s="59">
        <f t="shared" si="38"/>
        <v>200.24819245805861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6.4324259155807058</v>
      </c>
      <c r="BQ53" s="21">
        <f>EXP(-LN(2)/25)*BQ52+(1-EXP(-LN(2)/25))/(LN(2)/25)*Calculateur!BL53*Calculateur!BN53*VLOOKUP('Données projet'!$B$11,Paramètres!$A$1:$I$89,3,0)*0.475*44/12</f>
        <v>29.472924754169732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35.90535066975044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14.64374999999999</v>
      </c>
      <c r="N54" s="13">
        <f>IF('Données projet'!$A$36&gt;35,N53+M54-V53,IF(A54&lt;'Données projet'!$A$36,$K$205^A54,IF(A54='Données projet'!$A$36,'Données projet'!$B$36,N53+M54-V53)))</f>
        <v>391.94624999999996</v>
      </c>
      <c r="O54" s="13">
        <f>N54*VLOOKUP('Données projet'!$B$9,Paramètres!$A$1:$I$89,3,0)*VLOOKUP('Données projet'!$B$9,Paramètres!$A$1:$I$89,5,0)</f>
        <v>234.3838575</v>
      </c>
      <c r="P54" s="13">
        <f t="shared" si="33"/>
        <v>57.229529897835612</v>
      </c>
      <c r="Q54" s="20">
        <f t="shared" si="53"/>
        <v>507.89331638456366</v>
      </c>
      <c r="R54" s="59">
        <f t="shared" si="0"/>
        <v>801.22664971789698</v>
      </c>
      <c r="S54" s="59">
        <f ca="1">AVERAGE(OFFSET($R$3,0,0,'Données projet'!$E$9+1,1))-AVERAGE(OFFSET($H$3,0,0,'Données projet'!$E$9+1,1))</f>
        <v>300.80663531652721</v>
      </c>
      <c r="T54" s="59">
        <f t="shared" si="34"/>
        <v>306.01967513533549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15.762167138353337</v>
      </c>
      <c r="AA54" s="21">
        <f>EXP(-LN(2)/25)*AA53+(1-EXP(-LN(2)/25))/(LN(2)/25)*Calculateur!V54*Calculateur!X54*VLOOKUP('Données projet'!$B$9,Paramètres!$A$1:$I$89,3,0)*0.475*44/12</f>
        <v>41.980404122622588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57.742571260975922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9.5537500000000009</v>
      </c>
      <c r="AI54" s="13">
        <f>IF('Données projet'!$A$62&gt;35,AI53+AH54-AQ53,IF(A54&lt;'Données projet'!$A$62,$AF$205^A54,IF(A54='Données projet'!$A$62,'Données projet'!$B$62,AI53+AH54-AQ53)))</f>
        <v>168.99375000000015</v>
      </c>
      <c r="AJ54" s="13">
        <f>AI54*VLOOKUP('Données projet'!$B$10,Paramètres!$A$1:$I$89,3,0)*VLOOKUP('Données projet'!$B$10,Paramètres!$A$1:$I$89,5,0)</f>
        <v>152.90554500000013</v>
      </c>
      <c r="AK54" s="13">
        <f t="shared" si="35"/>
        <v>39.238142074568863</v>
      </c>
      <c r="AL54" s="20">
        <f t="shared" si="4"/>
        <v>334.65025498820768</v>
      </c>
      <c r="AM54" s="59">
        <f t="shared" si="5"/>
        <v>627.98358832154099</v>
      </c>
      <c r="AN54" s="59">
        <f ca="1">AVERAGE(OFFSET($AM$3,0,0,'Données projet'!$E$10+1,1))-AVERAGE(OFFSET($H$3,0,0,'Données projet'!$E$10+1,1))</f>
        <v>581.88778927327667</v>
      </c>
      <c r="AO54" s="59">
        <f t="shared" si="36"/>
        <v>269.67340993773422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9.1660033810568926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9.1660033810568926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9.6675000000000004</v>
      </c>
      <c r="BD54" s="12">
        <f>IF('Données projet'!$A$88&gt;35,BD53+BC54-BL53,IF(A54&lt;'Données projet'!$A$88,$BA$205^A54,IF(A54='Données projet'!$A$88,'Données projet'!$B$88,BD53+BC54-BL53)))</f>
        <v>263.53249999999991</v>
      </c>
      <c r="BE54" s="13">
        <f>BD54*VLOOKUP('Données projet'!$B$11,Paramètres!$A$1:$I$89,3,0)*VLOOKUP('Données projet'!$B$11,Paramètres!$A$1:$I$89,5,0)</f>
        <v>150.74058999999994</v>
      </c>
      <c r="BF54" s="13">
        <f t="shared" si="37"/>
        <v>38.746839083162207</v>
      </c>
      <c r="BG54" s="20">
        <f t="shared" si="7"/>
        <v>330.0239389865074</v>
      </c>
      <c r="BH54" s="59">
        <f t="shared" si="8"/>
        <v>623.35727231984072</v>
      </c>
      <c r="BI54" s="59">
        <f ca="1">AVERAGE(OFFSET($BH$3,0,0,'Données projet'!$E$11+1,1))-AVERAGE(OFFSET($H$3,0,0,'Données projet'!$E$11+1,1))</f>
        <v>292.09131652373259</v>
      </c>
      <c r="BJ54" s="59">
        <f t="shared" si="38"/>
        <v>200.24819245805861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6.3062899667685741</v>
      </c>
      <c r="BQ54" s="21">
        <f>EXP(-LN(2)/25)*BQ53+(1-EXP(-LN(2)/25))/(LN(2)/25)*Calculateur!BL54*Calculateur!BN54*VLOOKUP('Données projet'!$B$11,Paramètres!$A$1:$I$89,3,0)*0.475*44/12</f>
        <v>28.66698607685321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34.97327604362178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>
        <f>VLOOKUP(A55,'Données projet'!$A$35:$I$55,2,0)</f>
        <v>406.59</v>
      </c>
      <c r="L55" s="12">
        <f>VLOOKUP(A55,'Données projet'!$A$35:$I$55,9,0)</f>
        <v>14.64374999999999</v>
      </c>
      <c r="M55" s="12">
        <f t="array" ref="M55">INDEX(L:L,MIN(IF(ISNUMBER(L55:L251),ROW(L55:L251),"")))</f>
        <v>14.64374999999999</v>
      </c>
      <c r="N55" s="13">
        <f>IF('Données projet'!$A$36&gt;35,N54+M55-V54,IF(A55&lt;'Données projet'!$A$36,$K$205^A55,IF(A55='Données projet'!$A$36,'Données projet'!$B$36,N54+M55-V54)))</f>
        <v>406.59</v>
      </c>
      <c r="O55" s="13">
        <f>N55*VLOOKUP('Données projet'!$B$9,Paramètres!$A$1:$I$89,3,0)*VLOOKUP('Données projet'!$B$9,Paramètres!$A$1:$I$89,5,0)</f>
        <v>243.14081999999999</v>
      </c>
      <c r="P55" s="13">
        <f t="shared" si="33"/>
        <v>59.114781000830845</v>
      </c>
      <c r="Q55" s="20">
        <f t="shared" si="53"/>
        <v>526.42850507644698</v>
      </c>
      <c r="R55" s="59">
        <f t="shared" si="0"/>
        <v>819.76183840978024</v>
      </c>
      <c r="S55" s="59">
        <f ca="1">AVERAGE(OFFSET($R$3,0,0,'Données projet'!$E$9+1,1))-AVERAGE(OFFSET($H$3,0,0,'Données projet'!$E$9+1,1))</f>
        <v>300.80663531652721</v>
      </c>
      <c r="T55" s="59">
        <f t="shared" si="34"/>
        <v>306.01967513533549</v>
      </c>
      <c r="U55" s="15">
        <f>IF(ISNA(VLOOKUP(A55,'Données projet'!$A$35:$I$55,3,0)),0,VLOOKUP(A55,'Données projet'!$A$35:$I$55,3,0))</f>
        <v>6</v>
      </c>
      <c r="V55" s="15">
        <f>IF(ISNA(VLOOKUP(A55,'Données projet'!$A$35:$I$55,4,0)),0,VLOOKUP(A55,'Données projet'!$A$35:$I$55,4,0))</f>
        <v>75.37</v>
      </c>
      <c r="W55" s="16">
        <f>IF(ISNA(VLOOKUP(A55,'Données projet'!$A$35:$I$55,5,0)),0%,VLOOKUP(A55,'Données projet'!$A$35:$I$55,5,0)*VLOOKUP('Données projet'!$B$9,Paramètres!$A$1:$I$89,7,0))</f>
        <v>0.315</v>
      </c>
      <c r="X55" s="16">
        <f>IF(ISNA(VLOOKUP(A55,'Données projet'!$A$35:$I$55,6,0)),0%,VLOOKUP(A55,'Données projet'!$A$35:$I$55,6,0)*VLOOKUP('Données projet'!$B$9,Paramètres!$A$1:$I$89,7,0))</f>
        <v>0.13500000000000001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34.286909070273168</v>
      </c>
      <c r="AA55" s="21">
        <f>EXP(-LN(2)/25)*AA54+(1-EXP(-LN(2)/25))/(LN(2)/25)*Calculateur!V55*Calculateur!X55*VLOOKUP('Données projet'!$B$9,Paramètres!$A$1:$I$89,3,0)*0.475*44/12</f>
        <v>48.872307388581874</v>
      </c>
      <c r="AB55" s="21">
        <f>EXP(-LN(2)/2)*AB54+(1-EXP(-LN(2)/2))/(LN(2)/2)*V55*Y55*VLOOKUP('Données projet'!$B$9,Paramètres!$A$1:$I$89,3,0)*0.475*44/12</f>
        <v>0</v>
      </c>
      <c r="AC55" s="22">
        <f t="shared" si="3"/>
        <v>83.159216458855042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9.5537500000000009</v>
      </c>
      <c r="AI55" s="13">
        <f>IF('Données projet'!$A$62&gt;35,AI54+AH55-AQ54,IF(A55&lt;'Données projet'!$A$62,$AF$205^A55,IF(A55='Données projet'!$A$62,'Données projet'!$B$62,AI54+AH55-AQ54)))</f>
        <v>178.54750000000016</v>
      </c>
      <c r="AJ55" s="13">
        <f>AI55*VLOOKUP('Données projet'!$B$10,Paramètres!$A$1:$I$89,3,0)*VLOOKUP('Données projet'!$B$10,Paramètres!$A$1:$I$89,5,0)</f>
        <v>161.54977800000012</v>
      </c>
      <c r="AK55" s="13">
        <f t="shared" si="35"/>
        <v>41.191875810979205</v>
      </c>
      <c r="AL55" s="20">
        <f t="shared" si="4"/>
        <v>353.10838038745561</v>
      </c>
      <c r="AM55" s="59">
        <f t="shared" si="5"/>
        <v>646.44171372078893</v>
      </c>
      <c r="AN55" s="59">
        <f ca="1">AVERAGE(OFFSET($AM$3,0,0,'Données projet'!$E$10+1,1))-AVERAGE(OFFSET($H$3,0,0,'Données projet'!$E$10+1,1))</f>
        <v>581.88778927327667</v>
      </c>
      <c r="AO55" s="59">
        <f t="shared" si="36"/>
        <v>269.67340993773422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8.9862636454643923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8.9862636454643923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>
        <f>VLOOKUP(A55,'Données projet'!$A$87:$I$107,2,0)</f>
        <v>273.2</v>
      </c>
      <c r="BB55" s="12">
        <f>VLOOKUP(A55,'Données projet'!$A$87:$I$107,9,0)</f>
        <v>9.6675000000000004</v>
      </c>
      <c r="BC55" s="12">
        <f t="array" ref="BC55">INDEX(BB:BB,MIN(IF(ISNUMBER(BB55:BB251),ROW(BB55:BB251),"")))</f>
        <v>9.6675000000000004</v>
      </c>
      <c r="BD55" s="12">
        <f>IF('Données projet'!$A$88&gt;35,BD54+BC55-BL54,IF(A55&lt;'Données projet'!$A$88,$BA$205^A55,IF(A55='Données projet'!$A$88,'Données projet'!$B$88,BD54+BC55-BL54)))</f>
        <v>273.19999999999993</v>
      </c>
      <c r="BE55" s="13">
        <f>BD55*VLOOKUP('Données projet'!$B$11,Paramètres!$A$1:$I$89,3,0)*VLOOKUP('Données projet'!$B$11,Paramètres!$A$1:$I$89,5,0)</f>
        <v>156.27039999999997</v>
      </c>
      <c r="BF55" s="13">
        <f t="shared" si="37"/>
        <v>40.000142455989</v>
      </c>
      <c r="BG55" s="20">
        <f t="shared" si="7"/>
        <v>341.83786144418076</v>
      </c>
      <c r="BH55" s="59">
        <f t="shared" si="8"/>
        <v>635.17119477751407</v>
      </c>
      <c r="BI55" s="59">
        <f ca="1">AVERAGE(OFFSET($BH$3,0,0,'Données projet'!$E$11+1,1))-AVERAGE(OFFSET($H$3,0,0,'Données projet'!$E$11+1,1))</f>
        <v>292.09131652373259</v>
      </c>
      <c r="BJ55" s="59">
        <f t="shared" si="38"/>
        <v>200.24819245805861</v>
      </c>
      <c r="BK55" s="15">
        <f>IF(ISNA(VLOOKUP(A55,'Données projet'!$A$87:$I$107,3,0)),0,VLOOKUP(A55,'Données projet'!$A$87:$I$107,3,0))</f>
        <v>5</v>
      </c>
      <c r="BL55" s="15">
        <f>IF(ISNA(VLOOKUP(A55,'Données projet'!$A$87:$I$107,4,0)),0,VLOOKUP(A55,'Données projet'!$A$87:$I$107,4,0))</f>
        <v>46.24</v>
      </c>
      <c r="BM55" s="16">
        <f>IF(ISNA(VLOOKUP(A55,'Données projet'!$A$87:$I$107,5,0)),0%,VLOOKUP(A55,'Données projet'!$A$87:$I$107,5,0)*VLOOKUP('Données projet'!$B$11,Paramètres!$A$1:$I$89,7,0))</f>
        <v>0.315</v>
      </c>
      <c r="BN55" s="16">
        <f>IF(ISNA(VLOOKUP(A55,'Données projet'!$A$87:$I$107,6,0)),0%,VLOOKUP(A55,'Données projet'!$A$87:$I$107,6,0)*VLOOKUP('Données projet'!$B$11,Paramètres!$A$1:$I$89,7,0))</f>
        <v>0.13500000000000001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17.234930003767211</v>
      </c>
      <c r="BQ55" s="21">
        <f>EXP(-LN(2)/25)*BQ54+(1-EXP(-LN(2)/25))/(LN(2)/25)*Calculateur!BL55*Calculateur!BN55*VLOOKUP('Données projet'!$B$11,Paramètres!$A$1:$I$89,3,0)*0.475*44/12</f>
        <v>32.601136725241155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49.836066729008365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13.14</v>
      </c>
      <c r="N56" s="13">
        <f>IF('Données projet'!$A$36&gt;35,N55+M56-V55,IF(A56&lt;'Données projet'!$A$36,$K$205^A56,IF(A56='Données projet'!$A$36,'Données projet'!$B$36,N55+M56-V55)))</f>
        <v>344.35999999999996</v>
      </c>
      <c r="O56" s="13">
        <f>N56*VLOOKUP('Données projet'!$B$9,Paramètres!$A$1:$I$89,3,0)*VLOOKUP('Données projet'!$B$9,Paramètres!$A$1:$I$89,5,0)</f>
        <v>205.92728</v>
      </c>
      <c r="P56" s="13">
        <f t="shared" si="33"/>
        <v>51.04458202864172</v>
      </c>
      <c r="Q56" s="20">
        <f t="shared" si="53"/>
        <v>447.55932636655098</v>
      </c>
      <c r="R56" s="59">
        <f t="shared" si="0"/>
        <v>740.89265969988423</v>
      </c>
      <c r="S56" s="59">
        <f ca="1">AVERAGE(OFFSET($R$3,0,0,'Données projet'!$E$9+1,1))-AVERAGE(OFFSET($H$3,0,0,'Données projet'!$E$9+1,1))</f>
        <v>300.80663531652721</v>
      </c>
      <c r="T56" s="59">
        <f t="shared" si="34"/>
        <v>306.01967513533549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33.614563696354665</v>
      </c>
      <c r="AA56" s="21">
        <f>EXP(-LN(2)/25)*AA55+(1-EXP(-LN(2)/25))/(LN(2)/25)*Calculateur!V56*Calculateur!X56*VLOOKUP('Données projet'!$B$9,Paramètres!$A$1:$I$89,3,0)*0.475*44/12</f>
        <v>47.535891572958157</v>
      </c>
      <c r="AB56" s="21">
        <f>EXP(-LN(2)/2)*AB55+(1-EXP(-LN(2)/2))/(LN(2)/2)*V56*Y56*VLOOKUP('Données projet'!$B$9,Paramètres!$A$1:$I$89,3,0)*0.475*44/12</f>
        <v>0</v>
      </c>
      <c r="AC56" s="22">
        <f t="shared" si="3"/>
        <v>81.150455269312829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9.5537500000000009</v>
      </c>
      <c r="AI56" s="13">
        <f>IF('Données projet'!$A$62&gt;35,AI55+AH56-AQ55,IF(A56&lt;'Données projet'!$A$62,$AF$205^A56,IF(A56='Données projet'!$A$62,'Données projet'!$B$62,AI55+AH56-AQ55)))</f>
        <v>188.10125000000016</v>
      </c>
      <c r="AJ56" s="13">
        <f>AI56*VLOOKUP('Données projet'!$B$10,Paramètres!$A$1:$I$89,3,0)*VLOOKUP('Données projet'!$B$10,Paramètres!$A$1:$I$89,5,0)</f>
        <v>170.19401100000013</v>
      </c>
      <c r="AK56" s="13">
        <f t="shared" si="35"/>
        <v>43.133472710542861</v>
      </c>
      <c r="AL56" s="20">
        <f t="shared" si="4"/>
        <v>371.54536746252899</v>
      </c>
      <c r="AM56" s="59">
        <f t="shared" si="5"/>
        <v>664.8787007958623</v>
      </c>
      <c r="AN56" s="59">
        <f ca="1">AVERAGE(OFFSET($AM$3,0,0,'Données projet'!$E$10+1,1))-AVERAGE(OFFSET($H$3,0,0,'Données projet'!$E$10+1,1))</f>
        <v>581.88778927327667</v>
      </c>
      <c r="AO56" s="59">
        <f t="shared" si="36"/>
        <v>269.67340993773422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8.8100484964564476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8.8100484964564476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8.6137500000000031</v>
      </c>
      <c r="BD56" s="12">
        <f>IF('Données projet'!$A$88&gt;35,BD55+BC56-BL55,IF(A56&lt;'Données projet'!$A$88,$BA$205^A56,IF(A56='Données projet'!$A$88,'Données projet'!$B$88,BD55+BC56-BL55)))</f>
        <v>235.5737499999999</v>
      </c>
      <c r="BE56" s="13">
        <f>BD56*VLOOKUP('Données projet'!$B$11,Paramètres!$A$1:$I$89,3,0)*VLOOKUP('Données projet'!$B$11,Paramètres!$A$1:$I$89,5,0)</f>
        <v>134.74818499999995</v>
      </c>
      <c r="BF56" s="13">
        <f t="shared" si="37"/>
        <v>35.091224302452041</v>
      </c>
      <c r="BG56" s="20">
        <f t="shared" si="7"/>
        <v>295.80363786843719</v>
      </c>
      <c r="BH56" s="59">
        <f t="shared" si="8"/>
        <v>589.13697120177051</v>
      </c>
      <c r="BI56" s="59">
        <f ca="1">AVERAGE(OFFSET($BH$3,0,0,'Données projet'!$E$11+1,1))-AVERAGE(OFFSET($H$3,0,0,'Données projet'!$E$11+1,1))</f>
        <v>292.09131652373259</v>
      </c>
      <c r="BJ56" s="59">
        <f t="shared" si="38"/>
        <v>200.24819245805861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16.896963538662639</v>
      </c>
      <c r="BQ56" s="21">
        <f>EXP(-LN(2)/25)*BQ55+(1-EXP(-LN(2)/25))/(LN(2)/25)*Calculateur!BL56*Calculateur!BN56*VLOOKUP('Données projet'!$B$11,Paramètres!$A$1:$I$89,3,0)*0.475*44/12</f>
        <v>31.709656927070167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48.606620465732803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13.14</v>
      </c>
      <c r="N57" s="13">
        <f>IF('Données projet'!$A$36&gt;35,N56+M57-V56,IF(A57&lt;'Données projet'!$A$36,$K$205^A57,IF(A57='Données projet'!$A$36,'Données projet'!$B$36,N56+M57-V56)))</f>
        <v>357.49999999999994</v>
      </c>
      <c r="O57" s="13">
        <f>N57*VLOOKUP('Données projet'!$B$9,Paramètres!$A$1:$I$89,3,0)*VLOOKUP('Données projet'!$B$9,Paramètres!$A$1:$I$89,5,0)</f>
        <v>213.785</v>
      </c>
      <c r="P57" s="13">
        <f t="shared" si="33"/>
        <v>52.761841557402377</v>
      </c>
      <c r="Q57" s="20">
        <f t="shared" si="53"/>
        <v>464.23574904580914</v>
      </c>
      <c r="R57" s="59">
        <f t="shared" si="0"/>
        <v>757.5690823791424</v>
      </c>
      <c r="S57" s="59">
        <f ca="1">AVERAGE(OFFSET($R$3,0,0,'Données projet'!$E$9+1,1))-AVERAGE(OFFSET($H$3,0,0,'Données projet'!$E$9+1,1))</f>
        <v>300.80663531652721</v>
      </c>
      <c r="T57" s="59">
        <f t="shared" si="34"/>
        <v>306.01967513533549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32.955402605128512</v>
      </c>
      <c r="AA57" s="21">
        <f>EXP(-LN(2)/25)*AA56+(1-EXP(-LN(2)/25))/(LN(2)/25)*Calculateur!V57*Calculateur!X57*VLOOKUP('Données projet'!$B$9,Paramètres!$A$1:$I$89,3,0)*0.475*44/12</f>
        <v>46.236020118091723</v>
      </c>
      <c r="AB57" s="21">
        <f>EXP(-LN(2)/2)*AB56+(1-EXP(-LN(2)/2))/(LN(2)/2)*V57*Y57*VLOOKUP('Données projet'!$B$9,Paramètres!$A$1:$I$89,3,0)*0.475*44/12</f>
        <v>0</v>
      </c>
      <c r="AC57" s="22">
        <f t="shared" si="3"/>
        <v>79.191422723220228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9.5537500000000009</v>
      </c>
      <c r="AI57" s="13">
        <f>IF('Données projet'!$A$62&gt;35,AI56+AH57-AQ56,IF(A57&lt;'Données projet'!$A$62,$AF$205^A57,IF(A57='Données projet'!$A$62,'Données projet'!$B$62,AI56+AH57-AQ56)))</f>
        <v>197.65500000000017</v>
      </c>
      <c r="AJ57" s="13">
        <f>AI57*VLOOKUP('Données projet'!$B$10,Paramètres!$A$1:$I$89,3,0)*VLOOKUP('Données projet'!$B$10,Paramètres!$A$1:$I$89,5,0)</f>
        <v>178.83824400000015</v>
      </c>
      <c r="AK57" s="13">
        <f t="shared" si="35"/>
        <v>45.06361953668285</v>
      </c>
      <c r="AL57" s="20">
        <f t="shared" si="4"/>
        <v>389.96241232638954</v>
      </c>
      <c r="AM57" s="59">
        <f t="shared" si="5"/>
        <v>683.2957456597228</v>
      </c>
      <c r="AN57" s="59">
        <f ca="1">AVERAGE(OFFSET($AM$3,0,0,'Données projet'!$E$10+1,1))-AVERAGE(OFFSET($H$3,0,0,'Données projet'!$E$10+1,1))</f>
        <v>581.88778927327667</v>
      </c>
      <c r="AO57" s="59">
        <f t="shared" si="36"/>
        <v>269.67340993773422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8.6372888190399202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8.6372888190399202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8.6137500000000031</v>
      </c>
      <c r="BD57" s="12">
        <f>IF('Données projet'!$A$88&gt;35,BD56+BC57-BL56,IF(A57&lt;'Données projet'!$A$88,$BA$205^A57,IF(A57='Données projet'!$A$88,'Données projet'!$B$88,BD56+BC57-BL56)))</f>
        <v>244.18749999999991</v>
      </c>
      <c r="BE57" s="13">
        <f>BD57*VLOOKUP('Données projet'!$B$11,Paramètres!$A$1:$I$89,3,0)*VLOOKUP('Données projet'!$B$11,Paramètres!$A$1:$I$89,5,0)</f>
        <v>139.67524999999995</v>
      </c>
      <c r="BF57" s="13">
        <f t="shared" si="37"/>
        <v>36.222599777963005</v>
      </c>
      <c r="BG57" s="20">
        <f t="shared" si="7"/>
        <v>306.35542169661886</v>
      </c>
      <c r="BH57" s="59">
        <f t="shared" si="8"/>
        <v>599.68875502995218</v>
      </c>
      <c r="BI57" s="59">
        <f ca="1">AVERAGE(OFFSET($BH$3,0,0,'Données projet'!$E$11+1,1))-AVERAGE(OFFSET($H$3,0,0,'Données projet'!$E$11+1,1))</f>
        <v>292.09131652373259</v>
      </c>
      <c r="BJ57" s="59">
        <f t="shared" si="38"/>
        <v>200.24819245805861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16.565624389799577</v>
      </c>
      <c r="BQ57" s="21">
        <f>EXP(-LN(2)/25)*BQ56+(1-EXP(-LN(2)/25))/(LN(2)/25)*Calculateur!BL57*Calculateur!BN57*VLOOKUP('Données projet'!$B$11,Paramètres!$A$1:$I$89,3,0)*0.475*44/12</f>
        <v>30.84255469086105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47.408179080660631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13.14</v>
      </c>
      <c r="N58" s="13">
        <f>IF('Données projet'!$A$36&gt;35,N57+M58-V57,IF(A58&lt;'Données projet'!$A$36,$K$205^A58,IF(A58='Données projet'!$A$36,'Données projet'!$B$36,N57+M58-V57)))</f>
        <v>370.63999999999993</v>
      </c>
      <c r="O58" s="13">
        <f>N58*VLOOKUP('Données projet'!$B$9,Paramètres!$A$1:$I$89,3,0)*VLOOKUP('Données projet'!$B$9,Paramètres!$A$1:$I$89,5,0)</f>
        <v>221.64272</v>
      </c>
      <c r="P58" s="13">
        <f t="shared" si="33"/>
        <v>54.471768066609272</v>
      </c>
      <c r="Q58" s="20">
        <f t="shared" si="53"/>
        <v>480.89940004934442</v>
      </c>
      <c r="R58" s="59">
        <f t="shared" si="0"/>
        <v>774.23273338267768</v>
      </c>
      <c r="S58" s="59">
        <f ca="1">AVERAGE(OFFSET($R$3,0,0,'Données projet'!$E$9+1,1))-AVERAGE(OFFSET($H$3,0,0,'Données projet'!$E$9+1,1))</f>
        <v>300.80663531652721</v>
      </c>
      <c r="T58" s="59">
        <f t="shared" si="34"/>
        <v>306.01967513533549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32.309167260852739</v>
      </c>
      <c r="AA58" s="21">
        <f>EXP(-LN(2)/25)*AA57+(1-EXP(-LN(2)/25))/(LN(2)/25)*Calculateur!V58*Calculateur!X58*VLOOKUP('Données projet'!$B$9,Paramètres!$A$1:$I$89,3,0)*0.475*44/12</f>
        <v>44.97169371651588</v>
      </c>
      <c r="AB58" s="21">
        <f>EXP(-LN(2)/2)*AB57+(1-EXP(-LN(2)/2))/(LN(2)/2)*V58*Y58*VLOOKUP('Données projet'!$B$9,Paramètres!$A$1:$I$89,3,0)*0.475*44/12</f>
        <v>0</v>
      </c>
      <c r="AC58" s="22">
        <f t="shared" si="3"/>
        <v>77.280860977368619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9.5537500000000009</v>
      </c>
      <c r="AI58" s="13">
        <f>IF('Données projet'!$A$62&gt;35,AI57+AH58-AQ57,IF(A58&lt;'Données projet'!$A$62,$AF$205^A58,IF(A58='Données projet'!$A$62,'Données projet'!$B$62,AI57+AH58-AQ57)))</f>
        <v>207.20875000000018</v>
      </c>
      <c r="AJ58" s="13">
        <f>AI58*VLOOKUP('Données projet'!$B$10,Paramètres!$A$1:$I$89,3,0)*VLOOKUP('Données projet'!$B$10,Paramètres!$A$1:$I$89,5,0)</f>
        <v>187.48247700000016</v>
      </c>
      <c r="AK58" s="13">
        <f t="shared" si="35"/>
        <v>46.982932911694917</v>
      </c>
      <c r="AL58" s="20">
        <f t="shared" si="4"/>
        <v>408.3605889295356</v>
      </c>
      <c r="AM58" s="59">
        <f t="shared" si="5"/>
        <v>701.69392226286891</v>
      </c>
      <c r="AN58" s="59">
        <f ca="1">AVERAGE(OFFSET($AM$3,0,0,'Données projet'!$E$10+1,1))-AVERAGE(OFFSET($H$3,0,0,'Données projet'!$E$10+1,1))</f>
        <v>581.88778927327667</v>
      </c>
      <c r="AO58" s="59">
        <f t="shared" si="36"/>
        <v>269.67340993773422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8.4679168535245335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8.4679168535245335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8.6137500000000031</v>
      </c>
      <c r="BD58" s="12">
        <f>IF('Données projet'!$A$88&gt;35,BD57+BC58-BL57,IF(A58&lt;'Données projet'!$A$88,$BA$205^A58,IF(A58='Données projet'!$A$88,'Données projet'!$B$88,BD57+BC58-BL57)))</f>
        <v>252.80124999999992</v>
      </c>
      <c r="BE58" s="13">
        <f>BD58*VLOOKUP('Données projet'!$B$11,Paramètres!$A$1:$I$89,3,0)*VLOOKUP('Données projet'!$B$11,Paramètres!$A$1:$I$89,5,0)</f>
        <v>144.60231499999995</v>
      </c>
      <c r="BF58" s="13">
        <f t="shared" si="37"/>
        <v>37.349338303384592</v>
      </c>
      <c r="BG58" s="20">
        <f t="shared" si="7"/>
        <v>316.89912950339476</v>
      </c>
      <c r="BH58" s="59">
        <f t="shared" si="8"/>
        <v>610.23246283672802</v>
      </c>
      <c r="BI58" s="59">
        <f ca="1">AVERAGE(OFFSET($BH$3,0,0,'Données projet'!$E$11+1,1))-AVERAGE(OFFSET($H$3,0,0,'Données projet'!$E$11+1,1))</f>
        <v>292.09131652373259</v>
      </c>
      <c r="BJ58" s="59">
        <f t="shared" si="38"/>
        <v>200.24819245805861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16.240782599548794</v>
      </c>
      <c r="BQ58" s="21">
        <f>EXP(-LN(2)/25)*BQ57+(1-EXP(-LN(2)/25))/(LN(2)/25)*Calculateur!BL58*Calculateur!BN58*VLOOKUP('Données projet'!$B$11,Paramètres!$A$1:$I$89,3,0)*0.475*44/12</f>
        <v>29.999163410899996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46.23994601044879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13.14</v>
      </c>
      <c r="N59" s="13">
        <f>IF('Données projet'!$A$36&gt;35,N58+M59-V58,IF(A59&lt;'Données projet'!$A$36,$K$205^A59,IF(A59='Données projet'!$A$36,'Données projet'!$B$36,N58+M59-V58)))</f>
        <v>383.77999999999992</v>
      </c>
      <c r="O59" s="13">
        <f>N59*VLOOKUP('Données projet'!$B$9,Paramètres!$A$1:$I$89,3,0)*VLOOKUP('Données projet'!$B$9,Paramètres!$A$1:$I$89,5,0)</f>
        <v>229.50043999999997</v>
      </c>
      <c r="P59" s="13">
        <f t="shared" si="33"/>
        <v>56.174651313961498</v>
      </c>
      <c r="Q59" s="20">
        <f t="shared" si="53"/>
        <v>497.55078403848285</v>
      </c>
      <c r="R59" s="59">
        <f t="shared" si="0"/>
        <v>790.88411737181616</v>
      </c>
      <c r="S59" s="59">
        <f ca="1">AVERAGE(OFFSET($R$3,0,0,'Données projet'!$E$9+1,1))-AVERAGE(OFFSET($H$3,0,0,'Données projet'!$E$9+1,1))</f>
        <v>300.80663531652721</v>
      </c>
      <c r="T59" s="59">
        <f t="shared" si="34"/>
        <v>306.01967513533549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31.675604197513575</v>
      </c>
      <c r="AA59" s="21">
        <f>EXP(-LN(2)/25)*AA58+(1-EXP(-LN(2)/25))/(LN(2)/25)*Calculateur!V59*Calculateur!X59*VLOOKUP('Données projet'!$B$9,Paramètres!$A$1:$I$89,3,0)*0.475*44/12</f>
        <v>43.741940386879165</v>
      </c>
      <c r="AB59" s="21">
        <f>EXP(-LN(2)/2)*AB58+(1-EXP(-LN(2)/2))/(LN(2)/2)*V59*Y59*VLOOKUP('Données projet'!$B$9,Paramètres!$A$1:$I$89,3,0)*0.475*44/12</f>
        <v>0</v>
      </c>
      <c r="AC59" s="22">
        <f t="shared" si="3"/>
        <v>75.417544584392743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9.5537500000000009</v>
      </c>
      <c r="AI59" s="13">
        <f>IF('Données projet'!$A$62&gt;35,AI58+AH59-AQ58,IF(A59&lt;'Données projet'!$A$62,$AF$205^A59,IF(A59='Données projet'!$A$62,'Données projet'!$B$62,AI58+AH59-AQ58)))</f>
        <v>216.76250000000019</v>
      </c>
      <c r="AJ59" s="13">
        <f>AI59*VLOOKUP('Données projet'!$B$10,Paramètres!$A$1:$I$89,3,0)*VLOOKUP('Données projet'!$B$10,Paramètres!$A$1:$I$89,5,0)</f>
        <v>196.12671000000017</v>
      </c>
      <c r="AK59" s="13">
        <f t="shared" si="35"/>
        <v>48.891969383051702</v>
      </c>
      <c r="AL59" s="20">
        <f t="shared" si="4"/>
        <v>426.74086659214868</v>
      </c>
      <c r="AM59" s="59">
        <f t="shared" si="5"/>
        <v>720.07419992548193</v>
      </c>
      <c r="AN59" s="59">
        <f ca="1">AVERAGE(OFFSET($AM$3,0,0,'Données projet'!$E$10+1,1))-AVERAGE(OFFSET($H$3,0,0,'Données projet'!$E$10+1,1))</f>
        <v>581.88778927327667</v>
      </c>
      <c r="AO59" s="59">
        <f t="shared" si="36"/>
        <v>269.67340993773422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8.301866168946205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8.301866168946205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8.6137500000000031</v>
      </c>
      <c r="BD59" s="12">
        <f>IF('Données projet'!$A$88&gt;35,BD58+BC59-BL58,IF(A59&lt;'Données projet'!$A$88,$BA$205^A59,IF(A59='Données projet'!$A$88,'Données projet'!$B$88,BD58+BC59-BL58)))</f>
        <v>261.41499999999991</v>
      </c>
      <c r="BE59" s="13">
        <f>BD59*VLOOKUP('Données projet'!$B$11,Paramètres!$A$1:$I$89,3,0)*VLOOKUP('Données projet'!$B$11,Paramètres!$A$1:$I$89,5,0)</f>
        <v>149.52937999999995</v>
      </c>
      <c r="BF59" s="13">
        <f t="shared" si="37"/>
        <v>38.471615985113367</v>
      </c>
      <c r="BG59" s="20">
        <f t="shared" si="7"/>
        <v>327.43506800740573</v>
      </c>
      <c r="BH59" s="59">
        <f t="shared" si="8"/>
        <v>620.76840134073905</v>
      </c>
      <c r="BI59" s="59">
        <f ca="1">AVERAGE(OFFSET($BH$3,0,0,'Données projet'!$E$11+1,1))-AVERAGE(OFFSET($H$3,0,0,'Données projet'!$E$11+1,1))</f>
        <v>292.09131652373259</v>
      </c>
      <c r="BJ59" s="59">
        <f t="shared" si="38"/>
        <v>200.24819245805861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15.922310758670902</v>
      </c>
      <c r="BQ59" s="21">
        <f>EXP(-LN(2)/25)*BQ58+(1-EXP(-LN(2)/25))/(LN(2)/25)*Calculateur!BL59*Calculateur!BN59*VLOOKUP('Données projet'!$B$11,Paramètres!$A$1:$I$89,3,0)*0.475*44/12</f>
        <v>29.178834709841496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45.101145468512399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13.14</v>
      </c>
      <c r="N60" s="13">
        <f>IF('Données projet'!$A$36&gt;35,N59+M60-V59,IF(A60&lt;'Données projet'!$A$36,$K$205^A60,IF(A60='Données projet'!$A$36,'Données projet'!$B$36,N59+M60-V59)))</f>
        <v>396.9199999999999</v>
      </c>
      <c r="O60" s="13">
        <f>N60*VLOOKUP('Données projet'!$B$9,Paramètres!$A$1:$I$89,3,0)*VLOOKUP('Données projet'!$B$9,Paramètres!$A$1:$I$89,5,0)</f>
        <v>237.35815999999997</v>
      </c>
      <c r="P60" s="13">
        <f t="shared" si="33"/>
        <v>57.870760090028412</v>
      </c>
      <c r="Q60" s="20">
        <f t="shared" si="53"/>
        <v>514.19036915679942</v>
      </c>
      <c r="R60" s="59">
        <f t="shared" si="0"/>
        <v>807.52370249013279</v>
      </c>
      <c r="S60" s="59">
        <f ca="1">AVERAGE(OFFSET($R$3,0,0,'Données projet'!$E$9+1,1))-AVERAGE(OFFSET($H$3,0,0,'Données projet'!$E$9+1,1))</f>
        <v>300.80663531652721</v>
      </c>
      <c r="T60" s="59">
        <f t="shared" si="34"/>
        <v>306.01967513533549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31.054464919411181</v>
      </c>
      <c r="AA60" s="21">
        <f>EXP(-LN(2)/25)*AA59+(1-EXP(-LN(2)/25))/(LN(2)/25)*Calculateur!V60*Calculateur!X60*VLOOKUP('Données projet'!$B$9,Paramètres!$A$1:$I$89,3,0)*0.475*44/12</f>
        <v>42.545814726711285</v>
      </c>
      <c r="AB60" s="21">
        <f>EXP(-LN(2)/2)*AB59+(1-EXP(-LN(2)/2))/(LN(2)/2)*V60*Y60*VLOOKUP('Données projet'!$B$9,Paramètres!$A$1:$I$89,3,0)*0.475*44/12</f>
        <v>0</v>
      </c>
      <c r="AC60" s="22">
        <f t="shared" si="3"/>
        <v>73.600279646122459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9.5537500000000009</v>
      </c>
      <c r="AI60" s="13">
        <f>IF('Données projet'!$A$62&gt;35,AI59+AH60-AQ59,IF(A60&lt;'Données projet'!$A$62,$AF$205^A60,IF(A60='Données projet'!$A$62,'Données projet'!$B$62,AI59+AH60-AQ59)))</f>
        <v>226.3162500000002</v>
      </c>
      <c r="AJ60" s="13">
        <f>AI60*VLOOKUP('Données projet'!$B$10,Paramètres!$A$1:$I$89,3,0)*VLOOKUP('Données projet'!$B$10,Paramètres!$A$1:$I$89,5,0)</f>
        <v>204.77094300000016</v>
      </c>
      <c r="AK60" s="13">
        <f t="shared" si="35"/>
        <v>50.791233664926693</v>
      </c>
      <c r="AL60" s="20">
        <f t="shared" si="4"/>
        <v>445.10412435808092</v>
      </c>
      <c r="AM60" s="59">
        <f t="shared" si="5"/>
        <v>738.43745769141424</v>
      </c>
      <c r="AN60" s="59">
        <f ca="1">AVERAGE(OFFSET($AM$3,0,0,'Données projet'!$E$10+1,1))-AVERAGE(OFFSET($H$3,0,0,'Données projet'!$E$10+1,1))</f>
        <v>581.88778927327667</v>
      </c>
      <c r="AO60" s="59">
        <f t="shared" si="36"/>
        <v>269.67340993773422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8.1390716370115399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8.1390716370115399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8.6137500000000031</v>
      </c>
      <c r="BD60" s="12">
        <f>IF('Données projet'!$A$88&gt;35,BD59+BC60-BL59,IF(A60&lt;'Données projet'!$A$88,$BA$205^A60,IF(A60='Données projet'!$A$88,'Données projet'!$B$88,BD59+BC60-BL59)))</f>
        <v>270.02874999999989</v>
      </c>
      <c r="BE60" s="13">
        <f>BD60*VLOOKUP('Données projet'!$B$11,Paramètres!$A$1:$I$89,3,0)*VLOOKUP('Données projet'!$B$11,Paramètres!$A$1:$I$89,5,0)</f>
        <v>154.45644499999995</v>
      </c>
      <c r="BF60" s="13">
        <f t="shared" si="37"/>
        <v>39.589596665295829</v>
      </c>
      <c r="BG60" s="20">
        <f t="shared" si="7"/>
        <v>337.96352256705677</v>
      </c>
      <c r="BH60" s="59">
        <f t="shared" si="8"/>
        <v>631.29685590039003</v>
      </c>
      <c r="BI60" s="59">
        <f ca="1">AVERAGE(OFFSET($BH$3,0,0,'Données projet'!$E$11+1,1))-AVERAGE(OFFSET($H$3,0,0,'Données projet'!$E$11+1,1))</f>
        <v>292.09131652373259</v>
      </c>
      <c r="BJ60" s="59">
        <f t="shared" si="38"/>
        <v>200.24819245805861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15.610083956343983</v>
      </c>
      <c r="BQ60" s="21">
        <f>EXP(-LN(2)/25)*BQ59+(1-EXP(-LN(2)/25))/(LN(2)/25)*Calculateur!BL60*Calculateur!BN60*VLOOKUP('Données projet'!$B$11,Paramètres!$A$1:$I$89,3,0)*0.475*44/12</f>
        <v>28.38093794025265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43.991021896596635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13.14</v>
      </c>
      <c r="N61" s="13">
        <f>IF('Données projet'!$A$36&gt;35,N60+M61-V60,IF(A61&lt;'Données projet'!$A$36,$K$205^A61,IF(A61='Données projet'!$A$36,'Données projet'!$B$36,N60+M61-V60)))</f>
        <v>410.05999999999989</v>
      </c>
      <c r="O61" s="13">
        <f>N61*VLOOKUP('Données projet'!$B$9,Paramètres!$A$1:$I$89,3,0)*VLOOKUP('Données projet'!$B$9,Paramètres!$A$1:$I$89,5,0)</f>
        <v>245.21587999999994</v>
      </c>
      <c r="P61" s="13">
        <f t="shared" si="33"/>
        <v>59.560344378839609</v>
      </c>
      <c r="Q61" s="20">
        <f t="shared" si="53"/>
        <v>530.81859079314563</v>
      </c>
      <c r="R61" s="59">
        <f t="shared" si="0"/>
        <v>824.15192412647889</v>
      </c>
      <c r="S61" s="59">
        <f ca="1">AVERAGE(OFFSET($R$3,0,0,'Données projet'!$E$9+1,1))-AVERAGE(OFFSET($H$3,0,0,'Données projet'!$E$9+1,1))</f>
        <v>300.80663531652721</v>
      </c>
      <c r="T61" s="59">
        <f t="shared" si="34"/>
        <v>306.01967513533549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30.445505803694825</v>
      </c>
      <c r="AA61" s="21">
        <f>EXP(-LN(2)/25)*AA60+(1-EXP(-LN(2)/25))/(LN(2)/25)*Calculateur!V61*Calculateur!X61*VLOOKUP('Données projet'!$B$9,Paramètres!$A$1:$I$89,3,0)*0.475*44/12</f>
        <v>41.38239718562221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71.827902989317039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235.87</v>
      </c>
      <c r="AG61" s="12">
        <f>VLOOKUP(A61,'Données projet'!$A$61:$I$81,9,0)</f>
        <v>9.5537500000000009</v>
      </c>
      <c r="AH61" s="12">
        <f t="array" ref="AH61">INDEX(AG:AG,MIN(IF(ISNUMBER(AG61:AG257),ROW(AG61:AG257),"")))</f>
        <v>9.5537500000000009</v>
      </c>
      <c r="AI61" s="13">
        <f>IF('Données projet'!$A$62&gt;35,AI60+AH61-AQ60,IF(A61&lt;'Données projet'!$A$62,$AF$205^A61,IF(A61='Données projet'!$A$62,'Données projet'!$B$62,AI60+AH61-AQ60)))</f>
        <v>235.8700000000002</v>
      </c>
      <c r="AJ61" s="13">
        <f>AI61*VLOOKUP('Données projet'!$B$10,Paramètres!$A$1:$I$89,3,0)*VLOOKUP('Données projet'!$B$10,Paramètres!$A$1:$I$89,5,0)</f>
        <v>213.41517600000017</v>
      </c>
      <c r="AK61" s="13">
        <f t="shared" si="35"/>
        <v>52.681185448853228</v>
      </c>
      <c r="AL61" s="20">
        <f t="shared" si="4"/>
        <v>463.45116285675294</v>
      </c>
      <c r="AM61" s="59">
        <f t="shared" si="5"/>
        <v>756.7844961900862</v>
      </c>
      <c r="AN61" s="59">
        <f ca="1">AVERAGE(OFFSET($AM$3,0,0,'Données projet'!$E$10+1,1))-AVERAGE(OFFSET($H$3,0,0,'Données projet'!$E$10+1,1))</f>
        <v>581.88778927327667</v>
      </c>
      <c r="AO61" s="59">
        <f t="shared" si="36"/>
        <v>269.67340993773422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0.129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13.776770157795863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13.776770157795863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8.6137500000000031</v>
      </c>
      <c r="BD61" s="12">
        <f>IF('Données projet'!$A$88&gt;35,BD60+BC61-BL60,IF(A61&lt;'Données projet'!$A$88,$BA$205^A61,IF(A61='Données projet'!$A$88,'Données projet'!$B$88,BD60+BC61-BL60)))</f>
        <v>278.64249999999987</v>
      </c>
      <c r="BE61" s="13">
        <f>BD61*VLOOKUP('Données projet'!$B$11,Paramètres!$A$1:$I$89,3,0)*VLOOKUP('Données projet'!$B$11,Paramètres!$A$1:$I$89,5,0)</f>
        <v>159.38350999999992</v>
      </c>
      <c r="BF61" s="13">
        <f t="shared" si="37"/>
        <v>40.703433139614219</v>
      </c>
      <c r="BG61" s="20">
        <f t="shared" si="7"/>
        <v>348.48475930149465</v>
      </c>
      <c r="BH61" s="59">
        <f t="shared" si="8"/>
        <v>641.81809263482796</v>
      </c>
      <c r="BI61" s="59">
        <f ca="1">AVERAGE(OFFSET($BH$3,0,0,'Données projet'!$E$11+1,1))-AVERAGE(OFFSET($H$3,0,0,'Données projet'!$E$11+1,1))</f>
        <v>292.09131652373259</v>
      </c>
      <c r="BJ61" s="59">
        <f t="shared" si="38"/>
        <v>200.24819245805861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15.30397973117115</v>
      </c>
      <c r="BQ61" s="21">
        <f>EXP(-LN(2)/25)*BQ60+(1-EXP(-LN(2)/25))/(LN(2)/25)*Calculateur!BL61*Calculateur!BN61*VLOOKUP('Données projet'!$B$11,Paramètres!$A$1:$I$89,3,0)*0.475*44/12</f>
        <v>27.604859699787781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42.908839430958935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13.14</v>
      </c>
      <c r="N62" s="13">
        <f>IF('Données projet'!$A$36&gt;35,N61+M62-V61,IF(A62&lt;'Données projet'!$A$36,$K$205^A62,IF(A62='Données projet'!$A$36,'Données projet'!$B$36,N61+M62-V61)))</f>
        <v>423.19999999999987</v>
      </c>
      <c r="O62" s="13">
        <f>N62*VLOOKUP('Données projet'!$B$9,Paramètres!$A$1:$I$89,3,0)*VLOOKUP('Données projet'!$B$9,Paramètres!$A$1:$I$89,5,0)</f>
        <v>253.07359999999994</v>
      </c>
      <c r="P62" s="13">
        <f t="shared" si="33"/>
        <v>61.243637233758619</v>
      </c>
      <c r="Q62" s="20">
        <f t="shared" si="53"/>
        <v>547.43585484879611</v>
      </c>
      <c r="R62" s="59">
        <f t="shared" si="0"/>
        <v>840.76918818212948</v>
      </c>
      <c r="S62" s="59">
        <f ca="1">AVERAGE(OFFSET($R$3,0,0,'Données projet'!$E$9+1,1))-AVERAGE(OFFSET($H$3,0,0,'Données projet'!$E$9+1,1))</f>
        <v>300.80663531652721</v>
      </c>
      <c r="T62" s="59">
        <f t="shared" si="34"/>
        <v>306.01967513533549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29.848488004809283</v>
      </c>
      <c r="AA62" s="21">
        <f>EXP(-LN(2)/25)*AA61+(1-EXP(-LN(2)/25))/(LN(2)/25)*Calculateur!V62*Calculateur!X62*VLOOKUP('Données projet'!$B$9,Paramètres!$A$1:$I$89,3,0)*0.475*44/12</f>
        <v>40.250793358375681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70.099281363184957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9.2524999999999977</v>
      </c>
      <c r="AI62" s="13">
        <f>IF('Données projet'!$A$62&gt;35,AI61+AH62-AQ61,IF(A62&lt;'Données projet'!$A$62,$AF$205^A62,IF(A62='Données projet'!$A$62,'Données projet'!$B$62,AI61+AH62-AQ61)))</f>
        <v>200.19250000000019</v>
      </c>
      <c r="AJ62" s="13">
        <f>AI62*VLOOKUP('Données projet'!$B$10,Paramètres!$A$1:$I$89,3,0)*VLOOKUP('Données projet'!$B$10,Paramètres!$A$1:$I$89,5,0)</f>
        <v>181.13417400000017</v>
      </c>
      <c r="AK62" s="13">
        <f t="shared" si="35"/>
        <v>45.574426667354729</v>
      </c>
      <c r="AL62" s="20">
        <f t="shared" si="4"/>
        <v>394.85081282897653</v>
      </c>
      <c r="AM62" s="59">
        <f t="shared" si="5"/>
        <v>688.18414616230984</v>
      </c>
      <c r="AN62" s="59">
        <f ca="1">AVERAGE(OFFSET($AM$3,0,0,'Données projet'!$E$10+1,1))-AVERAGE(OFFSET($H$3,0,0,'Données projet'!$E$10+1,1))</f>
        <v>581.88778927327667</v>
      </c>
      <c r="AO62" s="59">
        <f t="shared" si="36"/>
        <v>269.67340993773422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13.506616098001555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13.506616098001555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8.6137500000000031</v>
      </c>
      <c r="BD62" s="12">
        <f>IF('Données projet'!$A$88&gt;35,BD61+BC62-BL61,IF(A62&lt;'Données projet'!$A$88,$BA$205^A62,IF(A62='Données projet'!$A$88,'Données projet'!$B$88,BD61+BC62-BL61)))</f>
        <v>287.25624999999985</v>
      </c>
      <c r="BE62" s="13">
        <f>BD62*VLOOKUP('Données projet'!$B$11,Paramètres!$A$1:$I$89,3,0)*VLOOKUP('Données projet'!$B$11,Paramètres!$A$1:$I$89,5,0)</f>
        <v>164.31057499999991</v>
      </c>
      <c r="BF62" s="13">
        <f t="shared" si="37"/>
        <v>41.813268220259054</v>
      </c>
      <c r="BG62" s="20">
        <f t="shared" si="7"/>
        <v>358.99902694195106</v>
      </c>
      <c r="BH62" s="59">
        <f t="shared" si="8"/>
        <v>652.33236027528437</v>
      </c>
      <c r="BI62" s="59">
        <f ca="1">AVERAGE(OFFSET($BH$3,0,0,'Données projet'!$E$11+1,1))-AVERAGE(OFFSET($H$3,0,0,'Données projet'!$E$11+1,1))</f>
        <v>292.09131652373259</v>
      </c>
      <c r="BJ62" s="59">
        <f t="shared" si="38"/>
        <v>200.24819245805861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15.003878023148815</v>
      </c>
      <c r="BQ62" s="21">
        <f>EXP(-LN(2)/25)*BQ61+(1-EXP(-LN(2)/25))/(LN(2)/25)*Calculateur!BL62*Calculateur!BN62*VLOOKUP('Données projet'!$B$11,Paramètres!$A$1:$I$89,3,0)*0.475*44/12</f>
        <v>26.850003359620604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41.853881382769416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436.34</v>
      </c>
      <c r="L63" s="12">
        <f>VLOOKUP(A63,'Données projet'!$A$35:$I$55,9,0)</f>
        <v>13.14</v>
      </c>
      <c r="M63" s="12">
        <f t="array" ref="M63">INDEX(L:L,MIN(IF(ISNUMBER(L63:L259),ROW(L63:L259),"")))</f>
        <v>13.14</v>
      </c>
      <c r="N63" s="13">
        <f>IF('Données projet'!$A$36&gt;35,N62+M63-V62,IF(A63&lt;'Données projet'!$A$36,$K$205^A63,IF(A63='Données projet'!$A$36,'Données projet'!$B$36,N62+M63-V62)))</f>
        <v>436.33999999999986</v>
      </c>
      <c r="O63" s="13">
        <f>N63*VLOOKUP('Données projet'!$B$9,Paramètres!$A$1:$I$89,3,0)*VLOOKUP('Données projet'!$B$9,Paramètres!$A$1:$I$89,5,0)</f>
        <v>260.93131999999991</v>
      </c>
      <c r="P63" s="13">
        <f t="shared" si="33"/>
        <v>62.92085641383472</v>
      </c>
      <c r="Q63" s="20">
        <f t="shared" si="53"/>
        <v>564.04254058742856</v>
      </c>
      <c r="R63" s="59">
        <f t="shared" si="0"/>
        <v>857.37587392076193</v>
      </c>
      <c r="S63" s="59">
        <f ca="1">AVERAGE(OFFSET($R$3,0,0,'Données projet'!$E$9+1,1))-AVERAGE(OFFSET($H$3,0,0,'Données projet'!$E$9+1,1))</f>
        <v>300.80663531652721</v>
      </c>
      <c r="T63" s="59">
        <f t="shared" si="34"/>
        <v>306.01967513533549</v>
      </c>
      <c r="U63" s="15">
        <f>IF(ISNA(VLOOKUP(A63,'Données projet'!$A$35:$I$55,3,0)),0,VLOOKUP(A63,'Données projet'!$A$35:$I$55,3,0))</f>
        <v>7</v>
      </c>
      <c r="V63" s="15">
        <f>IF(ISNA(VLOOKUP(A63,'Données projet'!$A$35:$I$55,4,0)),0,VLOOKUP(A63,'Données projet'!$A$35:$I$55,4,0))</f>
        <v>436.34</v>
      </c>
      <c r="W63" s="16">
        <f>IF(ISNA(VLOOKUP(A63,'Données projet'!$A$35:$I$55,5,0)),0%,VLOOKUP(A63,'Données projet'!$A$35:$I$55,5,0)*VLOOKUP('Données projet'!$B$9,Paramètres!$A$1:$I$89,7,0))</f>
        <v>0.315</v>
      </c>
      <c r="X63" s="16">
        <f>IF(ISNA(VLOOKUP(A63,'Données projet'!$A$35:$I$55,6,0)),0%,VLOOKUP(A63,'Données projet'!$A$35:$I$55,6,0)*VLOOKUP('Données projet'!$B$9,Paramètres!$A$1:$I$89,7,0))</f>
        <v>0.13500000000000001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138.2979749040349</v>
      </c>
      <c r="AA63" s="21">
        <f>EXP(-LN(2)/25)*AA62+(1-EXP(-LN(2)/25))/(LN(2)/25)*Calculateur!V63*Calculateur!X63*VLOOKUP('Données projet'!$B$9,Paramètres!$A$1:$I$89,3,0)*0.475*44/12</f>
        <v>85.695341582912519</v>
      </c>
      <c r="AB63" s="21">
        <f>EXP(-LN(2)/2)*AB62+(1-EXP(-LN(2)/2))/(LN(2)/2)*V63*Y63*VLOOKUP('Données projet'!$B$9,Paramètres!$A$1:$I$89,3,0)*0.475*44/12</f>
        <v>0</v>
      </c>
      <c r="AC63" s="22">
        <f t="shared" si="3"/>
        <v>223.99331648694744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9.2524999999999977</v>
      </c>
      <c r="AI63" s="13">
        <f>IF('Données projet'!$A$62&gt;35,AI62+AH63-AQ62,IF(A63&lt;'Données projet'!$A$62,$AF$205^A63,IF(A63='Données projet'!$A$62,'Données projet'!$B$62,AI62+AH63-AQ62)))</f>
        <v>209.44500000000019</v>
      </c>
      <c r="AJ63" s="13">
        <f>AI63*VLOOKUP('Données projet'!$B$10,Paramètres!$A$1:$I$89,3,0)*VLOOKUP('Données projet'!$B$10,Paramètres!$A$1:$I$89,5,0)</f>
        <v>189.50583600000016</v>
      </c>
      <c r="AK63" s="13">
        <f t="shared" si="35"/>
        <v>47.430683653447495</v>
      </c>
      <c r="AL63" s="20">
        <f t="shared" si="4"/>
        <v>412.6644383964213</v>
      </c>
      <c r="AM63" s="59">
        <f t="shared" si="5"/>
        <v>705.99777172975462</v>
      </c>
      <c r="AN63" s="59">
        <f ca="1">AVERAGE(OFFSET($AM$3,0,0,'Données projet'!$E$10+1,1))-AVERAGE(OFFSET($H$3,0,0,'Données projet'!$E$10+1,1))</f>
        <v>581.88778927327667</v>
      </c>
      <c r="AO63" s="59">
        <f t="shared" si="36"/>
        <v>269.67340993773422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13.241759594542106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13.241759594542106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295.87</v>
      </c>
      <c r="BB63" s="12">
        <f>VLOOKUP(A63,'Données projet'!$A$87:$I$107,9,0)</f>
        <v>8.6137500000000031</v>
      </c>
      <c r="BC63" s="12">
        <f t="array" ref="BC63">INDEX(BB:BB,MIN(IF(ISNUMBER(BB63:BB259),ROW(BB63:BB259),"")))</f>
        <v>8.6137500000000031</v>
      </c>
      <c r="BD63" s="12">
        <f>IF('Données projet'!$A$88&gt;35,BD62+BC63-BL62,IF(A63&lt;'Données projet'!$A$88,$BA$205^A63,IF(A63='Données projet'!$A$88,'Données projet'!$B$88,BD62+BC63-BL62)))</f>
        <v>295.86999999999983</v>
      </c>
      <c r="BE63" s="13">
        <f>BD63*VLOOKUP('Données projet'!$B$11,Paramètres!$A$1:$I$89,3,0)*VLOOKUP('Données projet'!$B$11,Paramètres!$A$1:$I$89,5,0)</f>
        <v>169.23763999999991</v>
      </c>
      <c r="BF63" s="13">
        <f t="shared" si="37"/>
        <v>42.919235667820544</v>
      </c>
      <c r="BG63" s="20">
        <f t="shared" si="7"/>
        <v>369.50655845478735</v>
      </c>
      <c r="BH63" s="59">
        <f t="shared" si="8"/>
        <v>662.83989178812067</v>
      </c>
      <c r="BI63" s="59">
        <f ca="1">AVERAGE(OFFSET($BH$3,0,0,'Données projet'!$E$11+1,1))-AVERAGE(OFFSET($H$3,0,0,'Données projet'!$E$11+1,1))</f>
        <v>292.09131652373259</v>
      </c>
      <c r="BJ63" s="59">
        <f t="shared" si="38"/>
        <v>200.24819245805861</v>
      </c>
      <c r="BK63" s="15">
        <f>IF(ISNA(VLOOKUP(A63,'Données projet'!$A$87:$I$107,3,0)),0,VLOOKUP(A63,'Données projet'!$A$87:$I$107,3,0))</f>
        <v>6</v>
      </c>
      <c r="BL63" s="15">
        <f>IF(ISNA(VLOOKUP(A63,'Données projet'!$A$87:$I$107,4,0)),0,VLOOKUP(A63,'Données projet'!$A$87:$I$107,4,0))</f>
        <v>41.67</v>
      </c>
      <c r="BM63" s="16">
        <f>IF(ISNA(VLOOKUP(A63,'Données projet'!$A$87:$I$107,5,0)),0%,VLOOKUP(A63,'Données projet'!$A$87:$I$107,5,0)*VLOOKUP('Données projet'!$B$11,Paramètres!$A$1:$I$89,7,0))</f>
        <v>0.315</v>
      </c>
      <c r="BN63" s="16">
        <f>IF(ISNA(VLOOKUP(A63,'Données projet'!$A$87:$I$107,6,0)),0%,VLOOKUP(A63,'Données projet'!$A$87:$I$107,6,0)*VLOOKUP('Données projet'!$B$11,Paramètres!$A$1:$I$89,7,0))</f>
        <v>0.13500000000000001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24.669640510401113</v>
      </c>
      <c r="BQ63" s="21">
        <f>EXP(-LN(2)/25)*BQ62+(1-EXP(-LN(2)/25))/(LN(2)/25)*Calculateur!BL63*Calculateur!BN63*VLOOKUP('Données projet'!$B$11,Paramètres!$A$1:$I$89,3,0)*0.475*44/12</f>
        <v>30.367544241460255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55.037184751861368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-6.7984728957526396E-14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300.80663531652721</v>
      </c>
      <c r="T64" s="59">
        <f t="shared" si="34"/>
        <v>306.01967513533549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135.58603596960225</v>
      </c>
      <c r="AA64" s="21">
        <f>EXP(-LN(2)/25)*AA63+(1-EXP(-LN(2)/25))/(LN(2)/25)*Calculateur!V64*Calculateur!X64*VLOOKUP('Données projet'!$B$9,Paramètres!$A$1:$I$89,3,0)*0.475*44/12</f>
        <v>83.351997960805619</v>
      </c>
      <c r="AB64" s="21">
        <f>EXP(-LN(2)/2)*AB63+(1-EXP(-LN(2)/2))/(LN(2)/2)*V64*Y64*VLOOKUP('Données projet'!$B$9,Paramètres!$A$1:$I$89,3,0)*0.475*44/12</f>
        <v>0</v>
      </c>
      <c r="AC64" s="22">
        <f t="shared" si="3"/>
        <v>218.93803393040787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9.2524999999999977</v>
      </c>
      <c r="AI64" s="13">
        <f>IF('Données projet'!$A$62&gt;35,AI63+AH64-AQ63,IF(A64&lt;'Données projet'!$A$62,$AF$205^A64,IF(A64='Données projet'!$A$62,'Données projet'!$B$62,AI63+AH64-AQ63)))</f>
        <v>218.69750000000019</v>
      </c>
      <c r="AJ64" s="13">
        <f>AI64*VLOOKUP('Données projet'!$B$10,Paramètres!$A$1:$I$89,3,0)*VLOOKUP('Données projet'!$B$10,Paramètres!$A$1:$I$89,5,0)</f>
        <v>197.87749800000014</v>
      </c>
      <c r="AK64" s="13">
        <f t="shared" si="35"/>
        <v>49.277416774103372</v>
      </c>
      <c r="AL64" s="20">
        <f t="shared" si="4"/>
        <v>430.46147656489694</v>
      </c>
      <c r="AM64" s="59">
        <f t="shared" si="5"/>
        <v>723.79480989823026</v>
      </c>
      <c r="AN64" s="59">
        <f ca="1">AVERAGE(OFFSET($AM$3,0,0,'Données projet'!$E$10+1,1))-AVERAGE(OFFSET($H$3,0,0,'Données projet'!$E$10+1,1))</f>
        <v>581.88778927327667</v>
      </c>
      <c r="AO64" s="59">
        <f t="shared" si="36"/>
        <v>269.67340993773422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12.982096765568983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12.982096765568983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7.6040000000000019</v>
      </c>
      <c r="BD64" s="12">
        <f>IF('Données projet'!$A$88&gt;35,BD63+BC64-BL63,IF(A64&lt;'Données projet'!$A$88,$BA$205^A64,IF(A64='Données projet'!$A$88,'Données projet'!$B$88,BD63+BC64-BL63)))</f>
        <v>261.8039999999998</v>
      </c>
      <c r="BE64" s="13">
        <f>BD64*VLOOKUP('Données projet'!$B$11,Paramètres!$A$1:$I$89,3,0)*VLOOKUP('Données projet'!$B$11,Paramètres!$A$1:$I$89,5,0)</f>
        <v>149.75188799999989</v>
      </c>
      <c r="BF64" s="13">
        <f t="shared" si="37"/>
        <v>38.522195847216238</v>
      </c>
      <c r="BG64" s="20">
        <f t="shared" si="7"/>
        <v>327.91069603390139</v>
      </c>
      <c r="BH64" s="59">
        <f t="shared" si="8"/>
        <v>621.2440293672347</v>
      </c>
      <c r="BI64" s="59">
        <f ca="1">AVERAGE(OFFSET($BH$3,0,0,'Données projet'!$E$11+1,1))-AVERAGE(OFFSET($H$3,0,0,'Données projet'!$E$11+1,1))</f>
        <v>292.09131652373259</v>
      </c>
      <c r="BJ64" s="59">
        <f t="shared" si="38"/>
        <v>200.24819245805861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24.18588390698709</v>
      </c>
      <c r="BQ64" s="21">
        <f>EXP(-LN(2)/25)*BQ63+(1-EXP(-LN(2)/25))/(LN(2)/25)*Calculateur!BL64*Calculateur!BN64*VLOOKUP('Données projet'!$B$11,Paramètres!$A$1:$I$89,3,0)*0.475*44/12</f>
        <v>29.537142147217779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53.723026054204865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-6.7984728957526396E-14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300.80663531652721</v>
      </c>
      <c r="T65" s="59">
        <f t="shared" si="34"/>
        <v>306.01967513533549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132.92727650355442</v>
      </c>
      <c r="AA65" s="21">
        <f>EXP(-LN(2)/25)*AA64+(1-EXP(-LN(2)/25))/(LN(2)/25)*Calculateur!V65*Calculateur!X65*VLOOKUP('Données projet'!$B$9,Paramètres!$A$1:$I$89,3,0)*0.475*44/12</f>
        <v>81.072733193276321</v>
      </c>
      <c r="AB65" s="21">
        <f>EXP(-LN(2)/2)*AB64+(1-EXP(-LN(2)/2))/(LN(2)/2)*V65*Y65*VLOOKUP('Données projet'!$B$9,Paramètres!$A$1:$I$89,3,0)*0.475*44/12</f>
        <v>0</v>
      </c>
      <c r="AC65" s="22">
        <f t="shared" si="3"/>
        <v>214.00000969683074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9.2524999999999977</v>
      </c>
      <c r="AI65" s="13">
        <f>IF('Données projet'!$A$62&gt;35,AI64+AH65-AQ64,IF(A65&lt;'Données projet'!$A$62,$AF$205^A65,IF(A65='Données projet'!$A$62,'Données projet'!$B$62,AI64+AH65-AQ64)))</f>
        <v>227.95000000000019</v>
      </c>
      <c r="AJ65" s="13">
        <f>AI65*VLOOKUP('Données projet'!$B$10,Paramètres!$A$1:$I$89,3,0)*VLOOKUP('Données projet'!$B$10,Paramètres!$A$1:$I$89,5,0)</f>
        <v>206.24916000000016</v>
      </c>
      <c r="AK65" s="13">
        <f t="shared" si="35"/>
        <v>51.115075026737237</v>
      </c>
      <c r="AL65" s="20">
        <f t="shared" si="4"/>
        <v>448.24270933823431</v>
      </c>
      <c r="AM65" s="59">
        <f t="shared" si="5"/>
        <v>741.57604267156762</v>
      </c>
      <c r="AN65" s="59">
        <f ca="1">AVERAGE(OFFSET($AM$3,0,0,'Données projet'!$E$10+1,1))-AVERAGE(OFFSET($H$3,0,0,'Données projet'!$E$10+1,1))</f>
        <v>581.88778927327667</v>
      </c>
      <c r="AO65" s="59">
        <f t="shared" si="36"/>
        <v>269.67340993773422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12.727525766293335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12.727525766293335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7.6040000000000019</v>
      </c>
      <c r="BD65" s="12">
        <f>IF('Données projet'!$A$88&gt;35,BD64+BC65-BL64,IF(A65&lt;'Données projet'!$A$88,$BA$205^A65,IF(A65='Données projet'!$A$88,'Données projet'!$B$88,BD64+BC65-BL64)))</f>
        <v>269.40799999999979</v>
      </c>
      <c r="BE65" s="13">
        <f>BD65*VLOOKUP('Données projet'!$B$11,Paramètres!$A$1:$I$89,3,0)*VLOOKUP('Données projet'!$B$11,Paramètres!$A$1:$I$89,5,0)</f>
        <v>154.1013759999999</v>
      </c>
      <c r="BF65" s="13">
        <f t="shared" si="37"/>
        <v>39.509169704527757</v>
      </c>
      <c r="BG65" s="20">
        <f t="shared" si="7"/>
        <v>337.20503376871898</v>
      </c>
      <c r="BH65" s="59">
        <f t="shared" si="8"/>
        <v>630.53836710205223</v>
      </c>
      <c r="BI65" s="59">
        <f ca="1">AVERAGE(OFFSET($BH$3,0,0,'Données projet'!$E$11+1,1))-AVERAGE(OFFSET($H$3,0,0,'Données projet'!$E$11+1,1))</f>
        <v>292.09131652373259</v>
      </c>
      <c r="BJ65" s="59">
        <f t="shared" si="38"/>
        <v>200.24819245805861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23.711613475503626</v>
      </c>
      <c r="BQ65" s="21">
        <f>EXP(-LN(2)/25)*BQ64+(1-EXP(-LN(2)/25))/(LN(2)/25)*Calculateur!BL65*Calculateur!BN65*VLOOKUP('Données projet'!$B$11,Paramètres!$A$1:$I$89,3,0)*0.475*44/12</f>
        <v>28.729447441911312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52.441060917414937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-6.7984728957526396E-14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300.80663531652721</v>
      </c>
      <c r="T66" s="59">
        <f t="shared" si="34"/>
        <v>306.01967513533549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130.32065368895263</v>
      </c>
      <c r="AA66" s="21">
        <f>EXP(-LN(2)/25)*AA65+(1-EXP(-LN(2)/25))/(LN(2)/25)*Calculateur!V66*Calculateur!X66*VLOOKUP('Données projet'!$B$9,Paramètres!$A$1:$I$89,3,0)*0.475*44/12</f>
        <v>78.855795040676441</v>
      </c>
      <c r="AB66" s="21">
        <f>EXP(-LN(2)/2)*AB65+(1-EXP(-LN(2)/2))/(LN(2)/2)*V66*Y66*VLOOKUP('Données projet'!$B$9,Paramètres!$A$1:$I$89,3,0)*0.475*44/12</f>
        <v>0</v>
      </c>
      <c r="AC66" s="22">
        <f t="shared" si="3"/>
        <v>209.17644872962907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9.2524999999999977</v>
      </c>
      <c r="AI66" s="13">
        <f>IF('Données projet'!$A$62&gt;35,AI65+AH66-AQ65,IF(A66&lt;'Données projet'!$A$62,$AF$205^A66,IF(A66='Données projet'!$A$62,'Données projet'!$B$62,AI65+AH66-AQ65)))</f>
        <v>237.20250000000019</v>
      </c>
      <c r="AJ66" s="13">
        <f>AI66*VLOOKUP('Données projet'!$B$10,Paramètres!$A$1:$I$89,3,0)*VLOOKUP('Données projet'!$B$10,Paramètres!$A$1:$I$89,5,0)</f>
        <v>214.62082200000015</v>
      </c>
      <c r="AK66" s="13">
        <f t="shared" si="35"/>
        <v>52.944068896315315</v>
      </c>
      <c r="AL66" s="20">
        <f t="shared" si="4"/>
        <v>466.0088516444161</v>
      </c>
      <c r="AM66" s="59">
        <f t="shared" si="5"/>
        <v>759.34218497774941</v>
      </c>
      <c r="AN66" s="59">
        <f ca="1">AVERAGE(OFFSET($AM$3,0,0,'Données projet'!$E$10+1,1))-AVERAGE(OFFSET($H$3,0,0,'Données projet'!$E$10+1,1))</f>
        <v>581.88778927327667</v>
      </c>
      <c r="AO66" s="59">
        <f t="shared" si="36"/>
        <v>269.67340993773422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12.477946749040505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12.477946749040505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7.6040000000000019</v>
      </c>
      <c r="BD66" s="12">
        <f>IF('Données projet'!$A$88&gt;35,BD65+BC66-BL65,IF(A66&lt;'Données projet'!$A$88,$BA$205^A66,IF(A66='Données projet'!$A$88,'Données projet'!$B$88,BD65+BC66-BL65)))</f>
        <v>277.01199999999977</v>
      </c>
      <c r="BE66" s="13">
        <f>BD66*VLOOKUP('Données projet'!$B$11,Paramètres!$A$1:$I$89,3,0)*VLOOKUP('Données projet'!$B$11,Paramètres!$A$1:$I$89,5,0)</f>
        <v>158.45086399999988</v>
      </c>
      <c r="BF66" s="13">
        <f t="shared" si="37"/>
        <v>40.492905851661241</v>
      </c>
      <c r="BG66" s="20">
        <f t="shared" si="7"/>
        <v>346.49373249164313</v>
      </c>
      <c r="BH66" s="59">
        <f t="shared" si="8"/>
        <v>639.82706582497644</v>
      </c>
      <c r="BI66" s="59">
        <f ca="1">AVERAGE(OFFSET($BH$3,0,0,'Données projet'!$E$11+1,1))-AVERAGE(OFFSET($H$3,0,0,'Données projet'!$E$11+1,1))</f>
        <v>292.09131652373259</v>
      </c>
      <c r="BJ66" s="59">
        <f t="shared" si="38"/>
        <v>200.24819245805861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23.246643197905151</v>
      </c>
      <c r="BQ66" s="21">
        <f>EXP(-LN(2)/25)*BQ65+(1-EXP(-LN(2)/25))/(LN(2)/25)*Calculateur!BL66*Calculateur!BN66*VLOOKUP('Données projet'!$B$11,Paramètres!$A$1:$I$89,3,0)*0.475*44/12</f>
        <v>27.943839190796268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51.190482388701419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-6.7984728957526396E-14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300.80663531652721</v>
      </c>
      <c r="T67" s="59">
        <f t="shared" si="34"/>
        <v>306.01967513533549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127.76514515786226</v>
      </c>
      <c r="AA67" s="21">
        <f>EXP(-LN(2)/25)*AA66+(1-EXP(-LN(2)/25))/(LN(2)/25)*Calculateur!V67*Calculateur!X67*VLOOKUP('Données projet'!$B$9,Paramètres!$A$1:$I$89,3,0)*0.475*44/12</f>
        <v>76.699479178443113</v>
      </c>
      <c r="AB67" s="21">
        <f>EXP(-LN(2)/2)*AB66+(1-EXP(-LN(2)/2))/(LN(2)/2)*V67*Y67*VLOOKUP('Données projet'!$B$9,Paramètres!$A$1:$I$89,3,0)*0.475*44/12</f>
        <v>0</v>
      </c>
      <c r="AC67" s="22">
        <f t="shared" si="3"/>
        <v>204.46462433630538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9.2524999999999977</v>
      </c>
      <c r="AI67" s="13">
        <f>IF('Données projet'!$A$62&gt;35,AI66+AH67-AQ66,IF(A67&lt;'Données projet'!$A$62,$AF$205^A67,IF(A67='Données projet'!$A$62,'Données projet'!$B$62,AI66+AH67-AQ66)))</f>
        <v>246.45500000000018</v>
      </c>
      <c r="AJ67" s="13">
        <f>AI67*VLOOKUP('Données projet'!$B$10,Paramètres!$A$1:$I$89,3,0)*VLOOKUP('Données projet'!$B$10,Paramètres!$A$1:$I$89,5,0)</f>
        <v>222.99248400000016</v>
      </c>
      <c r="AK67" s="13">
        <f t="shared" si="35"/>
        <v>54.764775031234961</v>
      </c>
      <c r="AL67" s="20">
        <f t="shared" si="4"/>
        <v>483.76055947940108</v>
      </c>
      <c r="AM67" s="59">
        <f t="shared" si="5"/>
        <v>777.09389281273434</v>
      </c>
      <c r="AN67" s="59">
        <f ca="1">AVERAGE(OFFSET($AM$3,0,0,'Données projet'!$E$10+1,1))-AVERAGE(OFFSET($H$3,0,0,'Données projet'!$E$10+1,1))</f>
        <v>581.88778927327667</v>
      </c>
      <c r="AO67" s="59">
        <f t="shared" si="36"/>
        <v>269.67340993773422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12.233261824087835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12.233261824087835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7.6040000000000019</v>
      </c>
      <c r="BD67" s="12">
        <f>IF('Données projet'!$A$88&gt;35,BD66+BC67-BL66,IF(A67&lt;'Données projet'!$A$88,$BA$205^A67,IF(A67='Données projet'!$A$88,'Données projet'!$B$88,BD66+BC67-BL66)))</f>
        <v>284.61599999999976</v>
      </c>
      <c r="BE67" s="13">
        <f>BD67*VLOOKUP('Données projet'!$B$11,Paramètres!$A$1:$I$89,3,0)*VLOOKUP('Données projet'!$B$11,Paramètres!$A$1:$I$89,5,0)</f>
        <v>162.80035199999986</v>
      </c>
      <c r="BF67" s="13">
        <f t="shared" si="37"/>
        <v>41.47350337595487</v>
      </c>
      <c r="BG67" s="20">
        <f t="shared" si="7"/>
        <v>355.77696477978776</v>
      </c>
      <c r="BH67" s="59">
        <f t="shared" si="8"/>
        <v>649.11029811312108</v>
      </c>
      <c r="BI67" s="59">
        <f ca="1">AVERAGE(OFFSET($BH$3,0,0,'Données projet'!$E$11+1,1))-AVERAGE(OFFSET($H$3,0,0,'Données projet'!$E$11+1,1))</f>
        <v>292.09131652373259</v>
      </c>
      <c r="BJ67" s="59">
        <f t="shared" si="38"/>
        <v>200.24819245805861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22.790790703846515</v>
      </c>
      <c r="BQ67" s="21">
        <f>EXP(-LN(2)/25)*BQ66+(1-EXP(-LN(2)/25))/(LN(2)/25)*Calculateur!BL67*Calculateur!BN67*VLOOKUP('Données projet'!$B$11,Paramètres!$A$1:$I$89,3,0)*0.475*44/12</f>
        <v>27.179713438621306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49.970504142467817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-6.7984728957526396E-14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300.80663531652721</v>
      </c>
      <c r="T68" s="59">
        <f t="shared" si="34"/>
        <v>306.01967513533549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125.25974859036027</v>
      </c>
      <c r="AA68" s="21">
        <f>EXP(-LN(2)/25)*AA67+(1-EXP(-LN(2)/25))/(LN(2)/25)*Calculateur!V68*Calculateur!X68*VLOOKUP('Données projet'!$B$9,Paramètres!$A$1:$I$89,3,0)*0.475*44/12</f>
        <v>74.60212788685827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199.86187647721854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9.2524999999999977</v>
      </c>
      <c r="AI68" s="13">
        <f>IF('Données projet'!$A$62&gt;35,AI67+AH68-AQ67,IF(A68&lt;'Données projet'!$A$62,$AF$205^A68,IF(A68='Données projet'!$A$62,'Données projet'!$B$62,AI67+AH68-AQ67)))</f>
        <v>255.70750000000018</v>
      </c>
      <c r="AJ68" s="13">
        <f>AI68*VLOOKUP('Données projet'!$B$10,Paramètres!$A$1:$I$89,3,0)*VLOOKUP('Données projet'!$B$10,Paramètres!$A$1:$I$89,5,0)</f>
        <v>231.36414600000015</v>
      </c>
      <c r="AK68" s="13">
        <f t="shared" si="35"/>
        <v>56.57754019728695</v>
      </c>
      <c r="AL68" s="20">
        <f t="shared" ref="AL68:AL131" si="58">(AJ68+AK68)*0.475*44/12</f>
        <v>501.49843679360833</v>
      </c>
      <c r="AM68" s="59">
        <f t="shared" ref="AM68:AM131" si="59">AL68+(AD68+AE68)*44/12</f>
        <v>794.83177012694159</v>
      </c>
      <c r="AN68" s="59">
        <f ca="1">AVERAGE(OFFSET($AM$3,0,0,'Données projet'!$E$10+1,1))-AVERAGE(OFFSET($H$3,0,0,'Données projet'!$E$10+1,1))</f>
        <v>581.88778927327667</v>
      </c>
      <c r="AO68" s="59">
        <f t="shared" si="36"/>
        <v>269.67340993773422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11.993375021270419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11.993375021270419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7.6040000000000019</v>
      </c>
      <c r="BD68" s="12">
        <f>IF('Données projet'!$A$88&gt;35,BD67+BC68-BL67,IF(A68&lt;'Données projet'!$A$88,$BA$205^A68,IF(A68='Données projet'!$A$88,'Données projet'!$B$88,BD67+BC68-BL67)))</f>
        <v>292.21999999999974</v>
      </c>
      <c r="BE68" s="13">
        <f>BD68*VLOOKUP('Données projet'!$B$11,Paramètres!$A$1:$I$89,3,0)*VLOOKUP('Données projet'!$B$11,Paramètres!$A$1:$I$89,5,0)</f>
        <v>167.14983999999984</v>
      </c>
      <c r="BF68" s="13">
        <f t="shared" si="37"/>
        <v>42.451055768721659</v>
      </c>
      <c r="BG68" s="20">
        <f t="shared" ref="BG68:BG131" si="61">(BE68+BF68)*0.475*44/12</f>
        <v>365.05489346385662</v>
      </c>
      <c r="BH68" s="59">
        <f t="shared" ref="BH68:BH131" si="62">BG68+(AY68+AZ68)*44/12</f>
        <v>658.38822679718987</v>
      </c>
      <c r="BI68" s="59">
        <f ca="1">AVERAGE(OFFSET($BH$3,0,0,'Données projet'!$E$11+1,1))-AVERAGE(OFFSET($H$3,0,0,'Données projet'!$E$11+1,1))</f>
        <v>292.09131652373259</v>
      </c>
      <c r="BJ68" s="59">
        <f t="shared" si="38"/>
        <v>200.24819245805861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22.343877199153802</v>
      </c>
      <c r="BQ68" s="21">
        <f>EXP(-LN(2)/25)*BQ67+(1-EXP(-LN(2)/25))/(LN(2)/25)*Calculateur!BL68*Calculateur!BN68*VLOOKUP('Données projet'!$B$11,Paramètres!$A$1:$I$89,3,0)*0.475*44/12</f>
        <v>26.436482745323197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48.780359944476999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-6.7984728957526396E-14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300.80663531652721</v>
      </c>
      <c r="T69" s="59">
        <f t="shared" ref="T69:T132" si="88">$T$3</f>
        <v>306.01967513533549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122.80348132140598</v>
      </c>
      <c r="AA69" s="21">
        <f>EXP(-LN(2)/25)*AA68+(1-EXP(-LN(2)/25))/(LN(2)/25)*Calculateur!V69*Calculateur!X69*VLOOKUP('Données projet'!$B$9,Paramètres!$A$1:$I$89,3,0)*0.475*44/12</f>
        <v>72.562128776636726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195.36561009804271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264.95999999999998</v>
      </c>
      <c r="AG69" s="12">
        <f>VLOOKUP(A69,'Données projet'!$A$61:$I$81,9,0)</f>
        <v>9.2524999999999977</v>
      </c>
      <c r="AH69" s="12">
        <f t="array" ref="AH69">INDEX(AG:AG,MIN(IF(ISNUMBER(AG69:AG265),ROW(AG69:AG265),"")))</f>
        <v>9.2524999999999977</v>
      </c>
      <c r="AI69" s="13">
        <f>IF('Données projet'!$A$62&gt;35,AI68+AH69-AQ68,IF(A69&lt;'Données projet'!$A$62,$AF$205^A69,IF(A69='Données projet'!$A$62,'Données projet'!$B$62,AI68+AH69-AQ68)))</f>
        <v>264.96000000000015</v>
      </c>
      <c r="AJ69" s="13">
        <f>AI69*VLOOKUP('Données projet'!$B$10,Paramètres!$A$1:$I$89,3,0)*VLOOKUP('Données projet'!$B$10,Paramètres!$A$1:$I$89,5,0)</f>
        <v>239.73580800000011</v>
      </c>
      <c r="AK69" s="13">
        <f t="shared" ref="AK69:AK132" si="89">EXP(-1.0587+0.8836*LN(AJ69)+0.284)</f>
        <v>58.38268464325516</v>
      </c>
      <c r="AL69" s="20">
        <f t="shared" si="58"/>
        <v>519.22304135366949</v>
      </c>
      <c r="AM69" s="59">
        <f t="shared" si="59"/>
        <v>812.55637468700274</v>
      </c>
      <c r="AN69" s="59">
        <f ca="1">AVERAGE(OFFSET($AM$3,0,0,'Données projet'!$E$10+1,1))-AVERAGE(OFFSET($H$3,0,0,'Données projet'!$E$10+1,1))</f>
        <v>581.88778927327667</v>
      </c>
      <c r="AO69" s="59">
        <f t="shared" ref="AO69:AO132" si="90">$AO$3</f>
        <v>269.67340993773422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0.25800000000000001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24.637928753319876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24.637928753319876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7.6040000000000019</v>
      </c>
      <c r="BD69" s="12">
        <f>IF('Données projet'!$A$88&gt;35,BD68+BC69-BL68,IF(A69&lt;'Données projet'!$A$88,$BA$205^A69,IF(A69='Données projet'!$A$88,'Données projet'!$B$88,BD68+BC69-BL68)))</f>
        <v>299.82399999999973</v>
      </c>
      <c r="BE69" s="13">
        <f>BD69*VLOOKUP('Données projet'!$B$11,Paramètres!$A$1:$I$89,3,0)*VLOOKUP('Données projet'!$B$11,Paramètres!$A$1:$I$89,5,0)</f>
        <v>171.49932799999988</v>
      </c>
      <c r="BF69" s="13">
        <f t="shared" ref="BF69:BF132" si="91">EXP(-1.0587+0.8836*LN(BE69)+0.284)</f>
        <v>43.425651378570286</v>
      </c>
      <c r="BG69" s="20">
        <f t="shared" si="61"/>
        <v>374.3276724176763</v>
      </c>
      <c r="BH69" s="59">
        <f t="shared" si="62"/>
        <v>667.66100575100961</v>
      </c>
      <c r="BI69" s="59">
        <f ca="1">AVERAGE(OFFSET($BH$3,0,0,'Données projet'!$E$11+1,1))-AVERAGE(OFFSET($H$3,0,0,'Données projet'!$E$11+1,1))</f>
        <v>292.09131652373259</v>
      </c>
      <c r="BJ69" s="59">
        <f t="shared" ref="BJ69:BJ132" si="92">$BJ$3</f>
        <v>200.24819245805861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21.905727395697792</v>
      </c>
      <c r="BQ69" s="21">
        <f>EXP(-LN(2)/25)*BQ68+(1-EXP(-LN(2)/25))/(LN(2)/25)*Calculateur!BL69*Calculateur!BN69*VLOOKUP('Données projet'!$B$11,Paramètres!$A$1:$I$89,3,0)*0.475*44/12</f>
        <v>25.713575734418129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47.619303130115924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-6.7984728957526396E-14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300.80663531652721</v>
      </c>
      <c r="T70" s="59">
        <f t="shared" si="88"/>
        <v>306.01967513533549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120.39537995542079</v>
      </c>
      <c r="AA70" s="21">
        <f>EXP(-LN(2)/25)*AA69+(1-EXP(-LN(2)/25))/(LN(2)/25)*Calculateur!V70*Calculateur!X70*VLOOKUP('Données projet'!$B$9,Paramètres!$A$1:$I$89,3,0)*0.475*44/12</f>
        <v>70.577913549363089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190.9732935047839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8.8662500000000044</v>
      </c>
      <c r="AI70" s="13">
        <f>IF('Données projet'!$A$62&gt;35,AI69+AH70-AQ69,IF(A70&lt;'Données projet'!$A$62,$AF$205^A70,IF(A70='Données projet'!$A$62,'Données projet'!$B$62,AI69+AH70-AQ69)))</f>
        <v>223.91625000000013</v>
      </c>
      <c r="AJ70" s="13">
        <f>AI70*VLOOKUP('Données projet'!$B$10,Paramètres!$A$1:$I$89,3,0)*VLOOKUP('Données projet'!$B$10,Paramètres!$A$1:$I$89,5,0)</f>
        <v>202.59942300000012</v>
      </c>
      <c r="AK70" s="13">
        <f t="shared" si="89"/>
        <v>50.315012169520465</v>
      </c>
      <c r="AL70" s="20">
        <f t="shared" si="58"/>
        <v>440.49264125358167</v>
      </c>
      <c r="AM70" s="59">
        <f t="shared" si="59"/>
        <v>733.82597458691498</v>
      </c>
      <c r="AN70" s="59">
        <f ca="1">AVERAGE(OFFSET($AM$3,0,0,'Données projet'!$E$10+1,1))-AVERAGE(OFFSET($H$3,0,0,'Données projet'!$E$10+1,1))</f>
        <v>581.88778927327667</v>
      </c>
      <c r="AO70" s="59">
        <f t="shared" si="90"/>
        <v>269.67340993773422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24.154793998119956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24.154793998119956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7.6040000000000019</v>
      </c>
      <c r="BD70" s="12">
        <f>IF('Données projet'!$A$88&gt;35,BD69+BC70-BL69,IF(A70&lt;'Données projet'!$A$88,$BA$205^A70,IF(A70='Données projet'!$A$88,'Données projet'!$B$88,BD69+BC70-BL69)))</f>
        <v>307.42799999999971</v>
      </c>
      <c r="BE70" s="13">
        <f>BD70*VLOOKUP('Données projet'!$B$11,Paramètres!$A$1:$I$89,3,0)*VLOOKUP('Données projet'!$B$11,Paramètres!$A$1:$I$89,5,0)</f>
        <v>175.84881599999986</v>
      </c>
      <c r="BF70" s="13">
        <f t="shared" si="91"/>
        <v>44.397373817443622</v>
      </c>
      <c r="BG70" s="20">
        <f t="shared" si="61"/>
        <v>383.5954472653807</v>
      </c>
      <c r="BH70" s="59">
        <f t="shared" si="62"/>
        <v>676.92878059871396</v>
      </c>
      <c r="BI70" s="59">
        <f ca="1">AVERAGE(OFFSET($BH$3,0,0,'Données projet'!$E$11+1,1))-AVERAGE(OFFSET($H$3,0,0,'Données projet'!$E$11+1,1))</f>
        <v>292.09131652373259</v>
      </c>
      <c r="BJ70" s="59">
        <f t="shared" si="92"/>
        <v>200.24819245805861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21.476169442642561</v>
      </c>
      <c r="BQ70" s="21">
        <f>EXP(-LN(2)/25)*BQ69+(1-EXP(-LN(2)/25))/(LN(2)/25)*Calculateur!BL70*Calculateur!BN70*VLOOKUP('Données projet'!$B$11,Paramètres!$A$1:$I$89,3,0)*0.475*44/12</f>
        <v>25.010436653742286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46.486606096384847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-6.7984728957526396E-14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300.80663531652721</v>
      </c>
      <c r="T71" s="59">
        <f t="shared" si="88"/>
        <v>306.01967513533549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118.03449998842576</v>
      </c>
      <c r="AA71" s="21">
        <f>EXP(-LN(2)/25)*AA70+(1-EXP(-LN(2)/25))/(LN(2)/25)*Calculateur!V71*Calculateur!X71*VLOOKUP('Données projet'!$B$9,Paramètres!$A$1:$I$89,3,0)*0.475*44/12</f>
        <v>68.647956791824583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186.68245678025033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8.8662500000000044</v>
      </c>
      <c r="AI71" s="13">
        <f>IF('Données projet'!$A$62&gt;35,AI70+AH71-AQ70,IF(A71&lt;'Données projet'!$A$62,$AF$205^A71,IF(A71='Données projet'!$A$62,'Données projet'!$B$62,AI70+AH71-AQ70)))</f>
        <v>232.78250000000014</v>
      </c>
      <c r="AJ71" s="13">
        <f>AI71*VLOOKUP('Données projet'!$B$10,Paramètres!$A$1:$I$89,3,0)*VLOOKUP('Données projet'!$B$10,Paramètres!$A$1:$I$89,5,0)</f>
        <v>210.62160600000013</v>
      </c>
      <c r="AK71" s="13">
        <f t="shared" si="89"/>
        <v>52.071398873356536</v>
      </c>
      <c r="AL71" s="20">
        <f t="shared" si="58"/>
        <v>457.5236501544295</v>
      </c>
      <c r="AM71" s="59">
        <f t="shared" si="59"/>
        <v>750.85698348776282</v>
      </c>
      <c r="AN71" s="59">
        <f ca="1">AVERAGE(OFFSET($AM$3,0,0,'Données projet'!$E$10+1,1))-AVERAGE(OFFSET($H$3,0,0,'Données projet'!$E$10+1,1))</f>
        <v>581.88778927327667</v>
      </c>
      <c r="AO71" s="59">
        <f t="shared" si="90"/>
        <v>269.67340993773422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23.681133220786403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23.681133220786403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7.6040000000000019</v>
      </c>
      <c r="BD71" s="12">
        <f>IF('Données projet'!$A$88&gt;35,BD70+BC71-BL70,IF(A71&lt;'Données projet'!$A$88,$BA$205^A71,IF(A71='Données projet'!$A$88,'Données projet'!$B$88,BD70+BC71-BL70)))</f>
        <v>315.0319999999997</v>
      </c>
      <c r="BE71" s="13">
        <f>BD71*VLOOKUP('Données projet'!$B$11,Paramètres!$A$1:$I$89,3,0)*VLOOKUP('Données projet'!$B$11,Paramètres!$A$1:$I$89,5,0)</f>
        <v>180.19830399999984</v>
      </c>
      <c r="BF71" s="13">
        <f t="shared" si="91"/>
        <v>45.366302325354525</v>
      </c>
      <c r="BG71" s="20">
        <f t="shared" si="61"/>
        <v>392.85835601665889</v>
      </c>
      <c r="BH71" s="59">
        <f t="shared" si="62"/>
        <v>686.1916893499922</v>
      </c>
      <c r="BI71" s="59">
        <f ca="1">AVERAGE(OFFSET($BH$3,0,0,'Données projet'!$E$11+1,1))-AVERAGE(OFFSET($H$3,0,0,'Données projet'!$E$11+1,1))</f>
        <v>292.09131652373259</v>
      </c>
      <c r="BJ71" s="59">
        <f t="shared" si="92"/>
        <v>200.24819245805861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21.055034859042266</v>
      </c>
      <c r="BQ71" s="21">
        <f>EXP(-LN(2)/25)*BQ70+(1-EXP(-LN(2)/25))/(LN(2)/25)*Calculateur!BL71*Calculateur!BN71*VLOOKUP('Données projet'!$B$11,Paramètres!$A$1:$I$89,3,0)*0.475*44/12</f>
        <v>24.326524948204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45.381559807246262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-6.7984728957526396E-14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300.80663531652721</v>
      </c>
      <c r="T72" s="59">
        <f t="shared" si="88"/>
        <v>306.01967513533549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115.71991543758892</v>
      </c>
      <c r="AA72" s="21">
        <f>EXP(-LN(2)/25)*AA71+(1-EXP(-LN(2)/25))/(LN(2)/25)*Calculateur!V72*Calculateur!X72*VLOOKUP('Données projet'!$B$9,Paramètres!$A$1:$I$89,3,0)*0.475*44/12</f>
        <v>66.770774803312989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182.49069024090193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8.8662500000000044</v>
      </c>
      <c r="AI72" s="13">
        <f>IF('Données projet'!$A$62&gt;35,AI71+AH72-AQ71,IF(A72&lt;'Données projet'!$A$62,$AF$205^A72,IF(A72='Données projet'!$A$62,'Données projet'!$B$62,AI71+AH72-AQ71)))</f>
        <v>241.64875000000015</v>
      </c>
      <c r="AJ72" s="13">
        <f>AI72*VLOOKUP('Données projet'!$B$10,Paramètres!$A$1:$I$89,3,0)*VLOOKUP('Données projet'!$B$10,Paramètres!$A$1:$I$89,5,0)</f>
        <v>218.64378900000014</v>
      </c>
      <c r="AK72" s="13">
        <f t="shared" si="89"/>
        <v>53.820013961218514</v>
      </c>
      <c r="AL72" s="20">
        <f t="shared" si="58"/>
        <v>474.54112349078923</v>
      </c>
      <c r="AM72" s="59">
        <f t="shared" si="59"/>
        <v>767.87445682412249</v>
      </c>
      <c r="AN72" s="59">
        <f ca="1">AVERAGE(OFFSET($AM$3,0,0,'Données projet'!$E$10+1,1))-AVERAGE(OFFSET($H$3,0,0,'Données projet'!$E$10+1,1))</f>
        <v>581.88778927327667</v>
      </c>
      <c r="AO72" s="59">
        <f t="shared" si="90"/>
        <v>269.67340993773422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23.216760642391815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23.216760642391815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7.6040000000000019</v>
      </c>
      <c r="BD72" s="12">
        <f>IF('Données projet'!$A$88&gt;35,BD71+BC72-BL71,IF(A72&lt;'Données projet'!$A$88,$BA$205^A72,IF(A72='Données projet'!$A$88,'Données projet'!$B$88,BD71+BC72-BL71)))</f>
        <v>322.63599999999968</v>
      </c>
      <c r="BE72" s="13">
        <f>BD72*VLOOKUP('Données projet'!$B$11,Paramètres!$A$1:$I$89,3,0)*VLOOKUP('Données projet'!$B$11,Paramètres!$A$1:$I$89,5,0)</f>
        <v>184.54779199999984</v>
      </c>
      <c r="BF72" s="13">
        <f t="shared" si="91"/>
        <v>46.332512098914904</v>
      </c>
      <c r="BG72" s="20">
        <f t="shared" si="61"/>
        <v>402.11652963894318</v>
      </c>
      <c r="BH72" s="59">
        <f t="shared" si="62"/>
        <v>695.44986297227649</v>
      </c>
      <c r="BI72" s="59">
        <f ca="1">AVERAGE(OFFSET($BH$3,0,0,'Données projet'!$E$11+1,1))-AVERAGE(OFFSET($H$3,0,0,'Données projet'!$E$11+1,1))</f>
        <v>292.09131652373259</v>
      </c>
      <c r="BJ72" s="59">
        <f t="shared" si="92"/>
        <v>200.24819245805861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20.642158467759639</v>
      </c>
      <c r="BQ72" s="21">
        <f>EXP(-LN(2)/25)*BQ71+(1-EXP(-LN(2)/25))/(LN(2)/25)*Calculateur!BL72*Calculateur!BN72*VLOOKUP('Données projet'!$B$11,Paramètres!$A$1:$I$89,3,0)*0.475*44/12</f>
        <v>23.661314844219014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44.303473311978649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-6.7984728957526396E-14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300.80663531652721</v>
      </c>
      <c r="T73" s="59">
        <f t="shared" si="88"/>
        <v>306.01967513533549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113.4507184780368</v>
      </c>
      <c r="AA73" s="21">
        <f>EXP(-LN(2)/25)*AA72+(1-EXP(-LN(2)/25))/(LN(2)/25)*Calculateur!V73*Calculateur!X73*VLOOKUP('Données projet'!$B$9,Paramètres!$A$1:$I$89,3,0)*0.475*44/12</f>
        <v>64.944924454993952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178.39564293303076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8.8662500000000044</v>
      </c>
      <c r="AI73" s="13">
        <f>IF('Données projet'!$A$62&gt;35,AI72+AH73-AQ72,IF(A73&lt;'Données projet'!$A$62,$AF$205^A73,IF(A73='Données projet'!$A$62,'Données projet'!$B$62,AI72+AH73-AQ72)))</f>
        <v>250.51500000000016</v>
      </c>
      <c r="AJ73" s="13">
        <f>AI73*VLOOKUP('Données projet'!$B$10,Paramètres!$A$1:$I$89,3,0)*VLOOKUP('Données projet'!$B$10,Paramètres!$A$1:$I$89,5,0)</f>
        <v>226.66597200000012</v>
      </c>
      <c r="AK73" s="13">
        <f t="shared" si="89"/>
        <v>55.561175235972904</v>
      </c>
      <c r="AL73" s="20">
        <f t="shared" si="58"/>
        <v>491.54561476931968</v>
      </c>
      <c r="AM73" s="59">
        <f t="shared" si="59"/>
        <v>784.878948102653</v>
      </c>
      <c r="AN73" s="59">
        <f ca="1">AVERAGE(OFFSET($AM$3,0,0,'Données projet'!$E$10+1,1))-AVERAGE(OFFSET($H$3,0,0,'Données projet'!$E$10+1,1))</f>
        <v>581.88778927327667</v>
      </c>
      <c r="AO73" s="59">
        <f t="shared" si="90"/>
        <v>269.67340993773422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22.761494127020239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22.761494127020239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330.24</v>
      </c>
      <c r="BB73" s="12">
        <f>VLOOKUP(A73,'Données projet'!$A$87:$I$107,9,0)</f>
        <v>7.6040000000000019</v>
      </c>
      <c r="BC73" s="12">
        <f t="array" ref="BC73">INDEX(BB:BB,MIN(IF(ISNUMBER(BB73:BB269),ROW(BB73:BB269),"")))</f>
        <v>7.6040000000000019</v>
      </c>
      <c r="BD73" s="12">
        <f>IF('Données projet'!$A$88&gt;35,BD72+BC73-BL72,IF(A73&lt;'Données projet'!$A$88,$BA$205^A73,IF(A73='Données projet'!$A$88,'Données projet'!$B$88,BD72+BC73-BL72)))</f>
        <v>330.23999999999967</v>
      </c>
      <c r="BE73" s="13">
        <f>BD73*VLOOKUP('Données projet'!$B$11,Paramètres!$A$1:$I$89,3,0)*VLOOKUP('Données projet'!$B$11,Paramètres!$A$1:$I$89,5,0)</f>
        <v>188.89727999999982</v>
      </c>
      <c r="BF73" s="13">
        <f t="shared" si="91"/>
        <v>47.296074588020424</v>
      </c>
      <c r="BG73" s="20">
        <f t="shared" si="61"/>
        <v>411.37009257413524</v>
      </c>
      <c r="BH73" s="59">
        <f t="shared" si="62"/>
        <v>704.7034259074685</v>
      </c>
      <c r="BI73" s="59">
        <f ca="1">AVERAGE(OFFSET($BH$3,0,0,'Données projet'!$E$11+1,1))-AVERAGE(OFFSET($H$3,0,0,'Données projet'!$E$11+1,1))</f>
        <v>292.09131652373259</v>
      </c>
      <c r="BJ73" s="59">
        <f t="shared" si="92"/>
        <v>200.24819245805861</v>
      </c>
      <c r="BK73" s="15">
        <f>IF(ISNA(VLOOKUP(A73,'Données projet'!$A$87:$I$107,3,0)),0,VLOOKUP(A73,'Données projet'!$A$87:$I$107,3,0))</f>
        <v>7</v>
      </c>
      <c r="BL73" s="15">
        <f>IF(ISNA(VLOOKUP(A73,'Données projet'!$A$87:$I$107,4,0)),0,VLOOKUP(A73,'Données projet'!$A$87:$I$107,4,0))</f>
        <v>50</v>
      </c>
      <c r="BM73" s="16">
        <f>IF(ISNA(VLOOKUP(A73,'Données projet'!$A$87:$I$107,5,0)),0%,VLOOKUP(A73,'Données projet'!$A$87:$I$107,5,0)*VLOOKUP('Données projet'!$B$11,Paramètres!$A$1:$I$89,7,0))</f>
        <v>0.315</v>
      </c>
      <c r="BN73" s="16">
        <f>IF(ISNA(VLOOKUP(A73,'Données projet'!$A$87:$I$107,6,0)),0%,VLOOKUP(A73,'Données projet'!$A$87:$I$107,6,0)*VLOOKUP('Données projet'!$B$11,Paramètres!$A$1:$I$89,7,0))</f>
        <v>0.13500000000000001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32.188397509735154</v>
      </c>
      <c r="BQ73" s="21">
        <f>EXP(-LN(2)/25)*BQ72+(1-EXP(-LN(2)/25))/(LN(2)/25)*Calculateur!BL73*Calculateur!BN73*VLOOKUP('Données projet'!$B$11,Paramètres!$A$1:$I$89,3,0)*0.475*44/12</f>
        <v>28.115993572445763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60.304391082180913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-6.7984728957526396E-14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300.80663531652721</v>
      </c>
      <c r="T74" s="59">
        <f t="shared" si="88"/>
        <v>306.01967513533549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111.22601908678803</v>
      </c>
      <c r="AA74" s="21">
        <f>EXP(-LN(2)/25)*AA73+(1-EXP(-LN(2)/25))/(LN(2)/25)*Calculateur!V74*Calculateur!X74*VLOOKUP('Données projet'!$B$9,Paramètres!$A$1:$I$89,3,0)*0.475*44/12</f>
        <v>63.169002080466996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174.39502116725504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8.8662500000000044</v>
      </c>
      <c r="AI74" s="13">
        <f>IF('Données projet'!$A$62&gt;35,AI73+AH74-AQ73,IF(A74&lt;'Données projet'!$A$62,$AF$205^A74,IF(A74='Données projet'!$A$62,'Données projet'!$B$62,AI73+AH74-AQ73)))</f>
        <v>259.38125000000014</v>
      </c>
      <c r="AJ74" s="13">
        <f>AI74*VLOOKUP('Données projet'!$B$10,Paramètres!$A$1:$I$89,3,0)*VLOOKUP('Données projet'!$B$10,Paramètres!$A$1:$I$89,5,0)</f>
        <v>234.68815500000011</v>
      </c>
      <c r="AK74" s="13">
        <f t="shared" si="89"/>
        <v>57.295176729679312</v>
      </c>
      <c r="AL74" s="20">
        <f t="shared" si="58"/>
        <v>508.53763609585832</v>
      </c>
      <c r="AM74" s="59">
        <f t="shared" si="59"/>
        <v>801.87096942919163</v>
      </c>
      <c r="AN74" s="59">
        <f ca="1">AVERAGE(OFFSET($AM$3,0,0,'Données projet'!$E$10+1,1))-AVERAGE(OFFSET($H$3,0,0,'Données projet'!$E$10+1,1))</f>
        <v>581.88778927327667</v>
      </c>
      <c r="AO74" s="59">
        <f t="shared" si="90"/>
        <v>269.67340993773422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22.315155110329943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22.315155110329943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6.5490000000000013</v>
      </c>
      <c r="BD74" s="12">
        <f>IF('Données projet'!$A$88&gt;35,BD73+BC74-BL73,IF(A74&lt;'Données projet'!$A$88,$BA$205^A74,IF(A74='Données projet'!$A$88,'Données projet'!$B$88,BD73+BC74-BL73)))</f>
        <v>286.78899999999965</v>
      </c>
      <c r="BE74" s="13">
        <f>BD74*VLOOKUP('Données projet'!$B$11,Paramètres!$A$1:$I$89,3,0)*VLOOKUP('Données projet'!$B$11,Paramètres!$A$1:$I$89,5,0)</f>
        <v>164.0433079999998</v>
      </c>
      <c r="BF74" s="13">
        <f t="shared" si="91"/>
        <v>41.753165963203386</v>
      </c>
      <c r="BG74" s="20">
        <f t="shared" si="61"/>
        <v>358.42885881924553</v>
      </c>
      <c r="BH74" s="59">
        <f t="shared" si="62"/>
        <v>651.76219215257879</v>
      </c>
      <c r="BI74" s="59">
        <f ca="1">AVERAGE(OFFSET($BH$3,0,0,'Données projet'!$E$11+1,1))-AVERAGE(OFFSET($H$3,0,0,'Données projet'!$E$11+1,1))</f>
        <v>292.09131652373259</v>
      </c>
      <c r="BJ74" s="59">
        <f t="shared" si="92"/>
        <v>200.24819245805861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31.557202667553131</v>
      </c>
      <c r="BQ74" s="21">
        <f>EXP(-LN(2)/25)*BQ73+(1-EXP(-LN(2)/25))/(LN(2)/25)*Calculateur!BL74*Calculateur!BN74*VLOOKUP('Données projet'!$B$11,Paramètres!$A$1:$I$89,3,0)*0.475*44/12</f>
        <v>27.347160249651392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58.904362917204523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-6.7984728957526396E-14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300.80663531652721</v>
      </c>
      <c r="T75" s="59">
        <f t="shared" si="88"/>
        <v>306.01967513533549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109.044944693669</v>
      </c>
      <c r="AA75" s="21">
        <f>EXP(-LN(2)/25)*AA74+(1-EXP(-LN(2)/25))/(LN(2)/25)*Calculateur!V75*Calculateur!X75*VLOOKUP('Données projet'!$B$9,Paramètres!$A$1:$I$89,3,0)*0.475*44/12</f>
        <v>61.441642396663184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170.48658709033219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8.8662500000000044</v>
      </c>
      <c r="AI75" s="13">
        <f>IF('Données projet'!$A$62&gt;35,AI74+AH75-AQ74,IF(A75&lt;'Données projet'!$A$62,$AF$205^A75,IF(A75='Données projet'!$A$62,'Données projet'!$B$62,AI74+AH75-AQ74)))</f>
        <v>268.24750000000012</v>
      </c>
      <c r="AJ75" s="13">
        <f>AI75*VLOOKUP('Données projet'!$B$10,Paramètres!$A$1:$I$89,3,0)*VLOOKUP('Données projet'!$B$10,Paramètres!$A$1:$I$89,5,0)</f>
        <v>242.71033800000009</v>
      </c>
      <c r="AK75" s="13">
        <f t="shared" si="89"/>
        <v>59.022291232778812</v>
      </c>
      <c r="AL75" s="20">
        <f t="shared" si="58"/>
        <v>525.51766258042323</v>
      </c>
      <c r="AM75" s="59">
        <f t="shared" si="59"/>
        <v>818.85099591375661</v>
      </c>
      <c r="AN75" s="59">
        <f ca="1">AVERAGE(OFFSET($AM$3,0,0,'Données projet'!$E$10+1,1))-AVERAGE(OFFSET($H$3,0,0,'Données projet'!$E$10+1,1))</f>
        <v>581.88778927327667</v>
      </c>
      <c r="AO75" s="59">
        <f t="shared" si="90"/>
        <v>269.67340993773422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21.877568529517024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21.877568529517024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6.5490000000000013</v>
      </c>
      <c r="BD75" s="12">
        <f>IF('Données projet'!$A$88&gt;35,BD74+BC75-BL74,IF(A75&lt;'Données projet'!$A$88,$BA$205^A75,IF(A75='Données projet'!$A$88,'Données projet'!$B$88,BD74+BC75-BL74)))</f>
        <v>293.33799999999962</v>
      </c>
      <c r="BE75" s="13">
        <f>BD75*VLOOKUP('Données projet'!$B$11,Paramètres!$A$1:$I$89,3,0)*VLOOKUP('Données projet'!$B$11,Paramètres!$A$1:$I$89,5,0)</f>
        <v>167.78933599999979</v>
      </c>
      <c r="BF75" s="13">
        <f t="shared" si="91"/>
        <v>42.59453184586949</v>
      </c>
      <c r="BG75" s="20">
        <f t="shared" si="61"/>
        <v>366.41856983155566</v>
      </c>
      <c r="BH75" s="59">
        <f t="shared" si="62"/>
        <v>659.75190316488897</v>
      </c>
      <c r="BI75" s="59">
        <f ca="1">AVERAGE(OFFSET($BH$3,0,0,'Données projet'!$E$11+1,1))-AVERAGE(OFFSET($H$3,0,0,'Données projet'!$E$11+1,1))</f>
        <v>292.09131652373259</v>
      </c>
      <c r="BJ75" s="59">
        <f t="shared" si="92"/>
        <v>200.24819245805861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30.93838517123546</v>
      </c>
      <c r="BQ75" s="21">
        <f>EXP(-LN(2)/25)*BQ74+(1-EXP(-LN(2)/25))/(LN(2)/25)*Calculateur!BL75*Calculateur!BN75*VLOOKUP('Données projet'!$B$11,Paramètres!$A$1:$I$89,3,0)*0.475*44/12</f>
        <v>26.599350714500019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57.537735885735479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-6.7984728957526396E-14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300.80663531652721</v>
      </c>
      <c r="T76" s="59">
        <f t="shared" si="88"/>
        <v>306.01967513533549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106.90663983907501</v>
      </c>
      <c r="AA76" s="21">
        <f>EXP(-LN(2)/25)*AA75+(1-EXP(-LN(2)/25))/(LN(2)/25)*Calculateur!V76*Calculateur!X76*VLOOKUP('Données projet'!$B$9,Paramètres!$A$1:$I$89,3,0)*0.475*44/12</f>
        <v>59.761517454250885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166.66815729332589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8.8662500000000044</v>
      </c>
      <c r="AI76" s="13">
        <f>IF('Données projet'!$A$62&gt;35,AI75+AH76-AQ75,IF(A76&lt;'Données projet'!$A$62,$AF$205^A76,IF(A76='Données projet'!$A$62,'Données projet'!$B$62,AI75+AH76-AQ75)))</f>
        <v>277.1137500000001</v>
      </c>
      <c r="AJ76" s="13">
        <f>AI76*VLOOKUP('Données projet'!$B$10,Paramètres!$A$1:$I$89,3,0)*VLOOKUP('Données projet'!$B$10,Paramètres!$A$1:$I$89,5,0)</f>
        <v>250.73252100000005</v>
      </c>
      <c r="AK76" s="13">
        <f t="shared" si="89"/>
        <v>60.74277247950485</v>
      </c>
      <c r="AL76" s="20">
        <f t="shared" si="58"/>
        <v>542.48613614347107</v>
      </c>
      <c r="AM76" s="59">
        <f t="shared" si="59"/>
        <v>835.81946947680444</v>
      </c>
      <c r="AN76" s="59">
        <f ca="1">AVERAGE(OFFSET($AM$3,0,0,'Données projet'!$E$10+1,1))-AVERAGE(OFFSET($H$3,0,0,'Données projet'!$E$10+1,1))</f>
        <v>581.88778927327667</v>
      </c>
      <c r="AO76" s="59">
        <f t="shared" si="90"/>
        <v>269.67340993773422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21.448562754652389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21.448562754652389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6.5490000000000013</v>
      </c>
      <c r="BD76" s="12">
        <f>IF('Données projet'!$A$88&gt;35,BD75+BC76-BL75,IF(A76&lt;'Données projet'!$A$88,$BA$205^A76,IF(A76='Données projet'!$A$88,'Données projet'!$B$88,BD75+BC76-BL75)))</f>
        <v>299.8869999999996</v>
      </c>
      <c r="BE76" s="13">
        <f>BD76*VLOOKUP('Données projet'!$B$11,Paramètres!$A$1:$I$89,3,0)*VLOOKUP('Données projet'!$B$11,Paramètres!$A$1:$I$89,5,0)</f>
        <v>171.53536399999979</v>
      </c>
      <c r="BF76" s="13">
        <f t="shared" si="91"/>
        <v>43.433713900216532</v>
      </c>
      <c r="BG76" s="20">
        <f t="shared" si="61"/>
        <v>374.40447734287676</v>
      </c>
      <c r="BH76" s="59">
        <f t="shared" si="62"/>
        <v>667.73781067621007</v>
      </c>
      <c r="BI76" s="59">
        <f ca="1">AVERAGE(OFFSET($BH$3,0,0,'Données projet'!$E$11+1,1))-AVERAGE(OFFSET($H$3,0,0,'Données projet'!$E$11+1,1))</f>
        <v>292.09131652373259</v>
      </c>
      <c r="BJ76" s="59">
        <f t="shared" si="92"/>
        <v>200.24819245805861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30.331702308579175</v>
      </c>
      <c r="BQ76" s="21">
        <f>EXP(-LN(2)/25)*BQ75+(1-EXP(-LN(2)/25))/(LN(2)/25)*Calculateur!BL76*Calculateur!BN76*VLOOKUP('Données projet'!$B$11,Paramètres!$A$1:$I$89,3,0)*0.475*44/12</f>
        <v>25.871990070412956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56.20369237899213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-6.7984728957526396E-14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300.80663531652721</v>
      </c>
      <c r="T77" s="59">
        <f t="shared" si="88"/>
        <v>306.01967513533549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104.81026583844243</v>
      </c>
      <c r="AA77" s="21">
        <f>EXP(-LN(2)/25)*AA76+(1-EXP(-LN(2)/25))/(LN(2)/25)*Calculateur!V77*Calculateur!X77*VLOOKUP('Données projet'!$B$9,Paramètres!$A$1:$I$89,3,0)*0.475*44/12</f>
        <v>58.127335616742776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162.93760145518522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285.98</v>
      </c>
      <c r="AG77" s="12">
        <f>VLOOKUP(A77,'Données projet'!$A$61:$I$81,9,0)</f>
        <v>8.8662500000000044</v>
      </c>
      <c r="AH77" s="12">
        <f t="array" ref="AH77">INDEX(AG:AG,MIN(IF(ISNUMBER(AG77:AG273),ROW(AG77:AG273),"")))</f>
        <v>8.8662500000000044</v>
      </c>
      <c r="AI77" s="13">
        <f>IF('Données projet'!$A$62&gt;35,AI76+AH77-AQ76,IF(A77&lt;'Données projet'!$A$62,$AF$205^A77,IF(A77='Données projet'!$A$62,'Données projet'!$B$62,AI76+AH77-AQ76)))</f>
        <v>285.98000000000008</v>
      </c>
      <c r="AJ77" s="13">
        <f>AI77*VLOOKUP('Données projet'!$B$10,Paramètres!$A$1:$I$89,3,0)*VLOOKUP('Données projet'!$B$10,Paramètres!$A$1:$I$89,5,0)</f>
        <v>258.75470400000006</v>
      </c>
      <c r="AK77" s="13">
        <f t="shared" si="89"/>
        <v>62.456857045748947</v>
      </c>
      <c r="AL77" s="20">
        <f t="shared" si="58"/>
        <v>559.4434688213463</v>
      </c>
      <c r="AM77" s="59">
        <f t="shared" si="59"/>
        <v>852.77680215467967</v>
      </c>
      <c r="AN77" s="59">
        <f ca="1">AVERAGE(OFFSET($AM$3,0,0,'Données projet'!$E$10+1,1))-AVERAGE(OFFSET($H$3,0,0,'Données projet'!$E$10+1,1))</f>
        <v>581.88778927327667</v>
      </c>
      <c r="AO77" s="59">
        <f t="shared" si="90"/>
        <v>269.67340993773422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0.25800000000000001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33.259977338364926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33.259977338364926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6.5490000000000013</v>
      </c>
      <c r="BD77" s="12">
        <f>IF('Données projet'!$A$88&gt;35,BD76+BC77-BL76,IF(A77&lt;'Données projet'!$A$88,$BA$205^A77,IF(A77='Données projet'!$A$88,'Données projet'!$B$88,BD76+BC77-BL76)))</f>
        <v>306.43599999999958</v>
      </c>
      <c r="BE77" s="13">
        <f>BD77*VLOOKUP('Données projet'!$B$11,Paramètres!$A$1:$I$89,3,0)*VLOOKUP('Données projet'!$B$11,Paramètres!$A$1:$I$89,5,0)</f>
        <v>175.28139199999978</v>
      </c>
      <c r="BF77" s="13">
        <f t="shared" si="91"/>
        <v>44.270765309331445</v>
      </c>
      <c r="BG77" s="20">
        <f t="shared" si="61"/>
        <v>382.38667398041849</v>
      </c>
      <c r="BH77" s="59">
        <f t="shared" si="62"/>
        <v>675.72000731375181</v>
      </c>
      <c r="BI77" s="59">
        <f ca="1">AVERAGE(OFFSET($BH$3,0,0,'Données projet'!$E$11+1,1))-AVERAGE(OFFSET($H$3,0,0,'Données projet'!$E$11+1,1))</f>
        <v>292.09131652373259</v>
      </c>
      <c r="BJ77" s="59">
        <f t="shared" si="92"/>
        <v>200.24819245805861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29.736916126819573</v>
      </c>
      <c r="BQ77" s="21">
        <f>EXP(-LN(2)/25)*BQ76+(1-EXP(-LN(2)/25))/(LN(2)/25)*Calculateur!BL77*Calculateur!BN77*VLOOKUP('Données projet'!$B$11,Paramètres!$A$1:$I$89,3,0)*0.475*44/12</f>
        <v>25.164519141388688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54.90143526820826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-6.7984728957526396E-14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300.80663531652721</v>
      </c>
      <c r="T78" s="59">
        <f t="shared" si="88"/>
        <v>306.01967513533549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102.75500045330038</v>
      </c>
      <c r="AA78" s="21">
        <f>EXP(-LN(2)/25)*AA77+(1-EXP(-LN(2)/25))/(LN(2)/25)*Calculateur!V78*Calculateur!X78*VLOOKUP('Données projet'!$B$9,Paramètres!$A$1:$I$89,3,0)*0.475*44/12</f>
        <v>56.537840567519218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159.29284102081959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8.6770000000000014</v>
      </c>
      <c r="AI78" s="13">
        <f>IF('Données projet'!$A$62&gt;35,AI77+AH78-AQ77,IF(A78&lt;'Données projet'!$A$62,$AF$205^A78,IF(A78='Données projet'!$A$62,'Données projet'!$B$62,AI77+AH78-AQ77)))</f>
        <v>247.25700000000009</v>
      </c>
      <c r="AJ78" s="13">
        <f>AI78*VLOOKUP('Données projet'!$B$10,Paramètres!$A$1:$I$89,3,0)*VLOOKUP('Données projet'!$B$10,Paramètres!$A$1:$I$89,5,0)</f>
        <v>223.71813360000007</v>
      </c>
      <c r="AK78" s="13">
        <f t="shared" si="89"/>
        <v>54.92221376571495</v>
      </c>
      <c r="AL78" s="20">
        <f t="shared" si="58"/>
        <v>485.29860499528695</v>
      </c>
      <c r="AM78" s="59">
        <f t="shared" si="59"/>
        <v>778.63193832862021</v>
      </c>
      <c r="AN78" s="59">
        <f ca="1">AVERAGE(OFFSET($AM$3,0,0,'Données projet'!$E$10+1,1))-AVERAGE(OFFSET($H$3,0,0,'Données projet'!$E$10+1,1))</f>
        <v>581.88778927327667</v>
      </c>
      <c r="AO78" s="59">
        <f t="shared" si="90"/>
        <v>269.67340993773422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32.607769469342635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32.607769469342635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6.5490000000000013</v>
      </c>
      <c r="BD78" s="12">
        <f>IF('Données projet'!$A$88&gt;35,BD77+BC78-BL77,IF(A78&lt;'Données projet'!$A$88,$BA$205^A78,IF(A78='Données projet'!$A$88,'Données projet'!$B$88,BD77+BC78-BL77)))</f>
        <v>312.98499999999956</v>
      </c>
      <c r="BE78" s="13">
        <f>BD78*VLOOKUP('Données projet'!$B$11,Paramètres!$A$1:$I$89,3,0)*VLOOKUP('Données projet'!$B$11,Paramètres!$A$1:$I$89,5,0)</f>
        <v>179.02741999999975</v>
      </c>
      <c r="BF78" s="13">
        <f t="shared" si="91"/>
        <v>45.105736853235101</v>
      </c>
      <c r="BG78" s="20">
        <f t="shared" si="61"/>
        <v>390.36524818605068</v>
      </c>
      <c r="BH78" s="59">
        <f t="shared" si="62"/>
        <v>683.69858151938399</v>
      </c>
      <c r="BI78" s="59">
        <f ca="1">AVERAGE(OFFSET($BH$3,0,0,'Données projet'!$E$11+1,1))-AVERAGE(OFFSET($H$3,0,0,'Données projet'!$E$11+1,1))</f>
        <v>292.09131652373259</v>
      </c>
      <c r="BJ78" s="59">
        <f t="shared" si="92"/>
        <v>200.24819245805861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29.153793339300528</v>
      </c>
      <c r="BQ78" s="21">
        <f>EXP(-LN(2)/25)*BQ77+(1-EXP(-LN(2)/25))/(LN(2)/25)*Calculateur!BL78*Calculateur!BN78*VLOOKUP('Données projet'!$B$11,Paramètres!$A$1:$I$89,3,0)*0.475*44/12</f>
        <v>24.476394042122866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53.630187381423397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-6.7984728957526396E-14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300.80663531652721</v>
      </c>
      <c r="T79" s="59">
        <f t="shared" si="88"/>
        <v>306.01967513533549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100.74003756877286</v>
      </c>
      <c r="AA79" s="21">
        <f>EXP(-LN(2)/25)*AA78+(1-EXP(-LN(2)/25))/(LN(2)/25)*Calculateur!V79*Calculateur!X79*VLOOKUP('Données projet'!$B$9,Paramètres!$A$1:$I$89,3,0)*0.475*44/12</f>
        <v>54.991810344004591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155.73184791277745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8.6770000000000014</v>
      </c>
      <c r="AI79" s="13">
        <f>IF('Données projet'!$A$62&gt;35,AI78+AH79-AQ78,IF(A79&lt;'Données projet'!$A$62,$AF$205^A79,IF(A79='Données projet'!$A$62,'Données projet'!$B$62,AI78+AH79-AQ78)))</f>
        <v>255.93400000000008</v>
      </c>
      <c r="AJ79" s="13">
        <f>AI79*VLOOKUP('Données projet'!$B$10,Paramètres!$A$1:$I$89,3,0)*VLOOKUP('Données projet'!$B$10,Paramètres!$A$1:$I$89,5,0)</f>
        <v>231.56908320000005</v>
      </c>
      <c r="AK79" s="13">
        <f t="shared" si="89"/>
        <v>56.621819638037671</v>
      </c>
      <c r="AL79" s="20">
        <f t="shared" si="58"/>
        <v>501.93248910958238</v>
      </c>
      <c r="AM79" s="59">
        <f t="shared" si="59"/>
        <v>795.26582244291569</v>
      </c>
      <c r="AN79" s="59">
        <f ca="1">AVERAGE(OFFSET($AM$3,0,0,'Données projet'!$E$10+1,1))-AVERAGE(OFFSET($H$3,0,0,'Données projet'!$E$10+1,1))</f>
        <v>581.88778927327667</v>
      </c>
      <c r="AO79" s="59">
        <f t="shared" si="90"/>
        <v>269.67340993773422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31.968350998824349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31.968350998824349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6.5490000000000013</v>
      </c>
      <c r="BD79" s="12">
        <f>IF('Données projet'!$A$88&gt;35,BD78+BC79-BL78,IF(A79&lt;'Données projet'!$A$88,$BA$205^A79,IF(A79='Données projet'!$A$88,'Données projet'!$B$88,BD78+BC79-BL78)))</f>
        <v>319.53399999999954</v>
      </c>
      <c r="BE79" s="13">
        <f>BD79*VLOOKUP('Données projet'!$B$11,Paramètres!$A$1:$I$89,3,0)*VLOOKUP('Données projet'!$B$11,Paramètres!$A$1:$I$89,5,0)</f>
        <v>182.77344799999972</v>
      </c>
      <c r="BF79" s="13">
        <f t="shared" si="91"/>
        <v>45.938677065437702</v>
      </c>
      <c r="BG79" s="20">
        <f t="shared" si="61"/>
        <v>398.34028448897016</v>
      </c>
      <c r="BH79" s="59">
        <f t="shared" si="62"/>
        <v>691.67361782230341</v>
      </c>
      <c r="BI79" s="59">
        <f ca="1">AVERAGE(OFFSET($BH$3,0,0,'Données projet'!$E$11+1,1))-AVERAGE(OFFSET($H$3,0,0,'Données projet'!$E$11+1,1))</f>
        <v>292.09131652373259</v>
      </c>
      <c r="BJ79" s="59">
        <f t="shared" si="92"/>
        <v>200.24819245805861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28.58210523397495</v>
      </c>
      <c r="BQ79" s="21">
        <f>EXP(-LN(2)/25)*BQ78+(1-EXP(-LN(2)/25))/(LN(2)/25)*Calculateur!BL79*Calculateur!BN79*VLOOKUP('Données projet'!$B$11,Paramètres!$A$1:$I$89,3,0)*0.475*44/12</f>
        <v>23.807085759883396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52.38919099385835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-6.7984728957526396E-14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300.80663531652721</v>
      </c>
      <c r="T80" s="59">
        <f t="shared" si="88"/>
        <v>306.01967513533549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98.764586877404923</v>
      </c>
      <c r="AA80" s="21">
        <f>EXP(-LN(2)/25)*AA79+(1-EXP(-LN(2)/25))/(LN(2)/25)*Calculateur!V80*Calculateur!X80*VLOOKUP('Données projet'!$B$9,Paramètres!$A$1:$I$89,3,0)*0.475*44/12</f>
        <v>53.488056398254166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152.2526432756591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8.6770000000000014</v>
      </c>
      <c r="AI80" s="13">
        <f>IF('Données projet'!$A$62&gt;35,AI79+AH80-AQ79,IF(A80&lt;'Données projet'!$A$62,$AF$205^A80,IF(A80='Données projet'!$A$62,'Données projet'!$B$62,AI79+AH80-AQ79)))</f>
        <v>264.6110000000001</v>
      </c>
      <c r="AJ80" s="13">
        <f>AI80*VLOOKUP('Données projet'!$B$10,Paramètres!$A$1:$I$89,3,0)*VLOOKUP('Données projet'!$B$10,Paramètres!$A$1:$I$89,5,0)</f>
        <v>239.42003280000009</v>
      </c>
      <c r="AK80" s="13">
        <f t="shared" si="89"/>
        <v>58.314730148380967</v>
      </c>
      <c r="AL80" s="20">
        <f t="shared" si="58"/>
        <v>518.55471213509702</v>
      </c>
      <c r="AM80" s="59">
        <f t="shared" si="59"/>
        <v>811.88804546843039</v>
      </c>
      <c r="AN80" s="59">
        <f ca="1">AVERAGE(OFFSET($AM$3,0,0,'Données projet'!$E$10+1,1))-AVERAGE(OFFSET($H$3,0,0,'Données projet'!$E$10+1,1))</f>
        <v>581.88778927327667</v>
      </c>
      <c r="AO80" s="59">
        <f t="shared" si="90"/>
        <v>269.67340993773422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31.341471134506168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31.341471134506168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6.5490000000000013</v>
      </c>
      <c r="BD80" s="12">
        <f>IF('Données projet'!$A$88&gt;35,BD79+BC80-BL79,IF(A80&lt;'Données projet'!$A$88,$BA$205^A80,IF(A80='Données projet'!$A$88,'Données projet'!$B$88,BD79+BC80-BL79)))</f>
        <v>326.08299999999952</v>
      </c>
      <c r="BE80" s="13">
        <f>BD80*VLOOKUP('Données projet'!$B$11,Paramètres!$A$1:$I$89,3,0)*VLOOKUP('Données projet'!$B$11,Paramètres!$A$1:$I$89,5,0)</f>
        <v>186.51947599999974</v>
      </c>
      <c r="BF80" s="13">
        <f t="shared" si="91"/>
        <v>46.769632376297373</v>
      </c>
      <c r="BG80" s="20">
        <f t="shared" si="61"/>
        <v>406.31186375538414</v>
      </c>
      <c r="BH80" s="59">
        <f t="shared" si="62"/>
        <v>699.6451970887174</v>
      </c>
      <c r="BI80" s="59">
        <f ca="1">AVERAGE(OFFSET($BH$3,0,0,'Données projet'!$E$11+1,1))-AVERAGE(OFFSET($H$3,0,0,'Données projet'!$E$11+1,1))</f>
        <v>292.09131652373259</v>
      </c>
      <c r="BJ80" s="59">
        <f t="shared" si="92"/>
        <v>200.24819245805861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28.021627583699491</v>
      </c>
      <c r="BQ80" s="21">
        <f>EXP(-LN(2)/25)*BQ79+(1-EXP(-LN(2)/25))/(LN(2)/25)*Calculateur!BL80*Calculateur!BN80*VLOOKUP('Données projet'!$B$11,Paramètres!$A$1:$I$89,3,0)*0.475*44/12</f>
        <v>23.156079747819156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51.177707331518647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-6.7984728957526396E-14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300.80663531652721</v>
      </c>
      <c r="T81" s="59">
        <f t="shared" si="88"/>
        <v>306.01967513533549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96.827873569188753</v>
      </c>
      <c r="AA81" s="21">
        <f>EXP(-LN(2)/25)*AA80+(1-EXP(-LN(2)/25))/(LN(2)/25)*Calculateur!V81*Calculateur!X81*VLOOKUP('Données projet'!$B$9,Paramètres!$A$1:$I$89,3,0)*0.475*44/12</f>
        <v>52.025422683229266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148.85329625241803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8.6770000000000014</v>
      </c>
      <c r="AI81" s="13">
        <f>IF('Données projet'!$A$62&gt;35,AI80+AH81-AQ80,IF(A81&lt;'Données projet'!$A$62,$AF$205^A81,IF(A81='Données projet'!$A$62,'Données projet'!$B$62,AI80+AH81-AQ80)))</f>
        <v>273.28800000000012</v>
      </c>
      <c r="AJ81" s="13">
        <f>AI81*VLOOKUP('Données projet'!$B$10,Paramètres!$A$1:$I$89,3,0)*VLOOKUP('Données projet'!$B$10,Paramètres!$A$1:$I$89,5,0)</f>
        <v>247.27098240000012</v>
      </c>
      <c r="AK81" s="13">
        <f t="shared" si="89"/>
        <v>60.001190025553029</v>
      </c>
      <c r="AL81" s="20">
        <f t="shared" si="58"/>
        <v>535.16570030783839</v>
      </c>
      <c r="AM81" s="59">
        <f t="shared" si="59"/>
        <v>828.49903364117176</v>
      </c>
      <c r="AN81" s="59">
        <f ca="1">AVERAGE(OFFSET($AM$3,0,0,'Données projet'!$E$10+1,1))-AVERAGE(OFFSET($H$3,0,0,'Données projet'!$E$10+1,1))</f>
        <v>581.88778927327667</v>
      </c>
      <c r="AO81" s="59">
        <f t="shared" si="90"/>
        <v>269.67340993773422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30.726884001968305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30.726884001968305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6.5490000000000013</v>
      </c>
      <c r="BD81" s="12">
        <f>IF('Données projet'!$A$88&gt;35,BD80+BC81-BL80,IF(A81&lt;'Données projet'!$A$88,$BA$205^A81,IF(A81='Données projet'!$A$88,'Données projet'!$B$88,BD80+BC81-BL80)))</f>
        <v>332.63199999999949</v>
      </c>
      <c r="BE81" s="13">
        <f>BD81*VLOOKUP('Données projet'!$B$11,Paramètres!$A$1:$I$89,3,0)*VLOOKUP('Données projet'!$B$11,Paramètres!$A$1:$I$89,5,0)</f>
        <v>190.26550399999971</v>
      </c>
      <c r="BF81" s="13">
        <f t="shared" si="91"/>
        <v>47.598647244536394</v>
      </c>
      <c r="BG81" s="20">
        <f t="shared" si="61"/>
        <v>414.28006341756708</v>
      </c>
      <c r="BH81" s="59">
        <f t="shared" si="62"/>
        <v>707.61339675090039</v>
      </c>
      <c r="BI81" s="59">
        <f ca="1">AVERAGE(OFFSET($BH$3,0,0,'Données projet'!$E$11+1,1))-AVERAGE(OFFSET($H$3,0,0,'Données projet'!$E$11+1,1))</f>
        <v>292.09131652373259</v>
      </c>
      <c r="BJ81" s="59">
        <f t="shared" si="92"/>
        <v>200.24819245805861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27.472140558288324</v>
      </c>
      <c r="BQ81" s="21">
        <f>EXP(-LN(2)/25)*BQ80+(1-EXP(-LN(2)/25))/(LN(2)/25)*Calculateur!BL81*Calculateur!BN81*VLOOKUP('Données projet'!$B$11,Paramètres!$A$1:$I$89,3,0)*0.475*44/12</f>
        <v>22.522875529389733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49.995016087678053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-6.7984728957526396E-14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300.80663531652721</v>
      </c>
      <c r="T82" s="59">
        <f t="shared" si="88"/>
        <v>306.01967513533549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94.92913802766823</v>
      </c>
      <c r="AA82" s="21">
        <f>EXP(-LN(2)/25)*AA81+(1-EXP(-LN(2)/25))/(LN(2)/25)*Calculateur!V82*Calculateur!X82*VLOOKUP('Données projet'!$B$9,Paramètres!$A$1:$I$89,3,0)*0.475*44/12</f>
        <v>50.602784764058292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145.53192279172652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8.6770000000000014</v>
      </c>
      <c r="AI82" s="13">
        <f>IF('Données projet'!$A$62&gt;35,AI81+AH82-AQ81,IF(A82&lt;'Données projet'!$A$62,$AF$205^A82,IF(A82='Données projet'!$A$62,'Données projet'!$B$62,AI81+AH82-AQ81)))</f>
        <v>281.96500000000015</v>
      </c>
      <c r="AJ82" s="13">
        <f>AI82*VLOOKUP('Données projet'!$B$10,Paramètres!$A$1:$I$89,3,0)*VLOOKUP('Données projet'!$B$10,Paramètres!$A$1:$I$89,5,0)</f>
        <v>255.1219320000001</v>
      </c>
      <c r="AK82" s="13">
        <f t="shared" si="89"/>
        <v>61.681427575411924</v>
      </c>
      <c r="AL82" s="20">
        <f t="shared" si="58"/>
        <v>551.76585126050918</v>
      </c>
      <c r="AM82" s="59">
        <f t="shared" si="59"/>
        <v>845.09918459384244</v>
      </c>
      <c r="AN82" s="59">
        <f ca="1">AVERAGE(OFFSET($AM$3,0,0,'Données projet'!$E$10+1,1))-AVERAGE(OFFSET($H$3,0,0,'Données projet'!$E$10+1,1))</f>
        <v>581.88778927327667</v>
      </c>
      <c r="AO82" s="59">
        <f t="shared" si="90"/>
        <v>269.67340993773422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30.124348548238373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30.124348548238373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6.5490000000000013</v>
      </c>
      <c r="BD82" s="12">
        <f>IF('Données projet'!$A$88&gt;35,BD81+BC82-BL81,IF(A82&lt;'Données projet'!$A$88,$BA$205^A82,IF(A82='Données projet'!$A$88,'Données projet'!$B$88,BD81+BC82-BL81)))</f>
        <v>339.18099999999947</v>
      </c>
      <c r="BE82" s="13">
        <f>BD82*VLOOKUP('Données projet'!$B$11,Paramètres!$A$1:$I$89,3,0)*VLOOKUP('Données projet'!$B$11,Paramètres!$A$1:$I$89,5,0)</f>
        <v>194.01153199999973</v>
      </c>
      <c r="BF82" s="13">
        <f t="shared" si="91"/>
        <v>48.425764278108019</v>
      </c>
      <c r="BG82" s="20">
        <f t="shared" si="61"/>
        <v>422.24495768437095</v>
      </c>
      <c r="BH82" s="59">
        <f t="shared" si="62"/>
        <v>715.57829101770426</v>
      </c>
      <c r="BI82" s="59">
        <f ca="1">AVERAGE(OFFSET($BH$3,0,0,'Données projet'!$E$11+1,1))-AVERAGE(OFFSET($H$3,0,0,'Données projet'!$E$11+1,1))</f>
        <v>292.09131652373259</v>
      </c>
      <c r="BJ82" s="59">
        <f t="shared" si="92"/>
        <v>200.24819245805861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26.933428638291478</v>
      </c>
      <c r="BQ82" s="21">
        <f>EXP(-LN(2)/25)*BQ81+(1-EXP(-LN(2)/25))/(LN(2)/25)*Calculateur!BL82*Calculateur!BN82*VLOOKUP('Données projet'!$B$11,Paramètres!$A$1:$I$89,3,0)*0.475*44/12</f>
        <v>21.906986313612023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48.840414951903497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-6.7984728957526396E-14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300.80663531652721</v>
      </c>
      <c r="T83" s="59">
        <f t="shared" si="88"/>
        <v>306.01967513533549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93.067635532002598</v>
      </c>
      <c r="AA83" s="21">
        <f>EXP(-LN(2)/25)*AA82+(1-EXP(-LN(2)/25))/(LN(2)/25)*Calculateur!V83*Calculateur!X83*VLOOKUP('Données projet'!$B$9,Paramètres!$A$1:$I$89,3,0)*0.475*44/12</f>
        <v>49.219048953600321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142.2866844856029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8.6770000000000014</v>
      </c>
      <c r="AI83" s="13">
        <f>IF('Données projet'!$A$62&gt;35,AI82+AH83-AQ82,IF(A83&lt;'Données projet'!$A$62,$AF$205^A83,IF(A83='Données projet'!$A$62,'Données projet'!$B$62,AI82+AH83-AQ82)))</f>
        <v>290.64200000000017</v>
      </c>
      <c r="AJ83" s="13">
        <f>AI83*VLOOKUP('Données projet'!$B$10,Paramètres!$A$1:$I$89,3,0)*VLOOKUP('Données projet'!$B$10,Paramètres!$A$1:$I$89,5,0)</f>
        <v>262.97288160000016</v>
      </c>
      <c r="AK83" s="13">
        <f t="shared" si="89"/>
        <v>63.355656254051972</v>
      </c>
      <c r="AL83" s="20">
        <f t="shared" si="58"/>
        <v>568.35553676247412</v>
      </c>
      <c r="AM83" s="59">
        <f t="shared" si="59"/>
        <v>861.68887009580749</v>
      </c>
      <c r="AN83" s="59">
        <f ca="1">AVERAGE(OFFSET($AM$3,0,0,'Données projet'!$E$10+1,1))-AVERAGE(OFFSET($H$3,0,0,'Données projet'!$E$10+1,1))</f>
        <v>581.88778927327667</v>
      </c>
      <c r="AO83" s="59">
        <f t="shared" si="90"/>
        <v>269.67340993773422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29.533628447245746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29.533628447245746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345.73</v>
      </c>
      <c r="BB83" s="12">
        <f>VLOOKUP(A83,'Données projet'!$A$87:$I$107,9,0)</f>
        <v>6.5490000000000013</v>
      </c>
      <c r="BC83" s="12">
        <f t="array" ref="BC83">INDEX(BB:BB,MIN(IF(ISNUMBER(BB83:BB279),ROW(BB83:BB279),"")))</f>
        <v>6.5490000000000013</v>
      </c>
      <c r="BD83" s="12">
        <f>IF('Données projet'!$A$88&gt;35,BD82+BC83-BL82,IF(A83&lt;'Données projet'!$A$88,$BA$205^A83,IF(A83='Données projet'!$A$88,'Données projet'!$B$88,BD82+BC83-BL82)))</f>
        <v>345.72999999999945</v>
      </c>
      <c r="BE83" s="13">
        <f>BD83*VLOOKUP('Données projet'!$B$11,Paramètres!$A$1:$I$89,3,0)*VLOOKUP('Données projet'!$B$11,Paramètres!$A$1:$I$89,5,0)</f>
        <v>197.7575599999997</v>
      </c>
      <c r="BF83" s="13">
        <f t="shared" si="91"/>
        <v>49.251024345463584</v>
      </c>
      <c r="BG83" s="20">
        <f t="shared" si="61"/>
        <v>430.20661773501519</v>
      </c>
      <c r="BH83" s="59">
        <f t="shared" si="62"/>
        <v>723.5399510683485</v>
      </c>
      <c r="BI83" s="59">
        <f ca="1">AVERAGE(OFFSET($BH$3,0,0,'Données projet'!$E$11+1,1))-AVERAGE(OFFSET($H$3,0,0,'Données projet'!$E$11+1,1))</f>
        <v>292.09131652373259</v>
      </c>
      <c r="BJ83" s="59">
        <f t="shared" si="92"/>
        <v>200.24819245805861</v>
      </c>
      <c r="BK83" s="15">
        <f>IF(ISNA(VLOOKUP(A83,'Données projet'!$A$87:$I$107,3,0)),0,VLOOKUP(A83,'Données projet'!$A$87:$I$107,3,0))</f>
        <v>8</v>
      </c>
      <c r="BL83" s="21">
        <f>IF(ISNA(VLOOKUP(A83,'Données projet'!$A$87:$I$107,4,0)),0,VLOOKUP(A83,'Données projet'!$A$87:$I$107,4,0))</f>
        <v>39.97</v>
      </c>
      <c r="BM83" s="16">
        <f>IF(ISNA(VLOOKUP(A83,'Données projet'!$A$87:$I$107,5,0)),0%,VLOOKUP(A83,'Données projet'!$A$87:$I$107,5,0)*VLOOKUP('Données projet'!$B$11,Paramètres!$A$1:$I$89,7,0))</f>
        <v>0.315</v>
      </c>
      <c r="BN83" s="16">
        <f>IF(ISNA(VLOOKUP(A83,'Données projet'!$A$87:$I$107,6,0)),0%,VLOOKUP(A83,'Données projet'!$A$87:$I$107,6,0)*VLOOKUP('Données projet'!$B$11,Paramètres!$A$1:$I$89,7,0))</f>
        <v>0.13500000000000001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35.958925262200367</v>
      </c>
      <c r="BQ83" s="21">
        <f>EXP(-LN(2)/25)*BQ82+(1-EXP(-LN(2)/25))/(LN(2)/25)*Calculateur!BL83*Calculateur!BN83*VLOOKUP('Données projet'!$B$11,Paramètres!$A$1:$I$89,3,0)*0.475*44/12</f>
        <v>25.386236503200909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61.345161765401272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-6.7984728957526396E-14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300.80663531652721</v>
      </c>
      <c r="T84" s="59">
        <f t="shared" si="88"/>
        <v>306.01967513533549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91.242635964872562</v>
      </c>
      <c r="AA84" s="21">
        <f>EXP(-LN(2)/25)*AA83+(1-EXP(-LN(2)/25))/(LN(2)/25)*Calculateur!V84*Calculateur!X84*VLOOKUP('Données projet'!$B$9,Paramètres!$A$1:$I$89,3,0)*0.475*44/12</f>
        <v>47.873151471646828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139.11578743651938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8.6770000000000014</v>
      </c>
      <c r="AI84" s="13">
        <f>IF('Données projet'!$A$62&gt;35,AI83+AH84-AQ83,IF(A84&lt;'Données projet'!$A$62,$AF$205^A84,IF(A84='Données projet'!$A$62,'Données projet'!$B$62,AI83+AH84-AQ83)))</f>
        <v>299.31900000000019</v>
      </c>
      <c r="AJ84" s="13">
        <f>AI84*VLOOKUP('Données projet'!$B$10,Paramètres!$A$1:$I$89,3,0)*VLOOKUP('Données projet'!$B$10,Paramètres!$A$1:$I$89,5,0)</f>
        <v>270.8238312000002</v>
      </c>
      <c r="AK84" s="13">
        <f t="shared" si="89"/>
        <v>65.024076047844915</v>
      </c>
      <c r="AL84" s="20">
        <f t="shared" si="58"/>
        <v>584.93510512333023</v>
      </c>
      <c r="AM84" s="59">
        <f t="shared" si="59"/>
        <v>878.26843845666349</v>
      </c>
      <c r="AN84" s="59">
        <f ca="1">AVERAGE(OFFSET($AM$3,0,0,'Données projet'!$E$10+1,1))-AVERAGE(OFFSET($H$3,0,0,'Données projet'!$E$10+1,1))</f>
        <v>581.88778927327667</v>
      </c>
      <c r="AO84" s="59">
        <f t="shared" si="90"/>
        <v>269.67340993773422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28.9544920071299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28.9544920071299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5.669999999999999</v>
      </c>
      <c r="BD84" s="12">
        <f>IF('Données projet'!$A$88&gt;35,BD83+BC84-BL83,IF(A84&lt;'Données projet'!$A$88,$BA$205^A84,IF(A84='Données projet'!$A$88,'Données projet'!$B$88,BD83+BC84-BL83)))</f>
        <v>311.4299999999995</v>
      </c>
      <c r="BE84" s="13">
        <f>BD84*VLOOKUP('Données projet'!$B$11,Paramètres!$A$1:$I$89,3,0)*VLOOKUP('Données projet'!$B$11,Paramètres!$A$1:$I$89,5,0)</f>
        <v>178.13795999999971</v>
      </c>
      <c r="BF84" s="13">
        <f t="shared" si="91"/>
        <v>44.907666192193211</v>
      </c>
      <c r="BG84" s="20">
        <f t="shared" si="61"/>
        <v>388.47113228473592</v>
      </c>
      <c r="BH84" s="59">
        <f t="shared" si="62"/>
        <v>681.80446561806923</v>
      </c>
      <c r="BI84" s="59">
        <f ca="1">AVERAGE(OFFSET($BH$3,0,0,'Données projet'!$E$11+1,1))-AVERAGE(OFFSET($H$3,0,0,'Données projet'!$E$11+1,1))</f>
        <v>292.09131652373259</v>
      </c>
      <c r="BJ84" s="59">
        <f t="shared" si="92"/>
        <v>200.24819245805861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35.253792670587345</v>
      </c>
      <c r="BQ84" s="21">
        <f>EXP(-LN(2)/25)*BQ83+(1-EXP(-LN(2)/25))/(LN(2)/25)*Calculateur!BL84*Calculateur!BN84*VLOOKUP('Données projet'!$B$11,Paramètres!$A$1:$I$89,3,0)*0.475*44/12</f>
        <v>24.692048531016724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59.945841201604068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-6.7984728957526396E-14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300.80663531652721</v>
      </c>
      <c r="T85" s="59">
        <f t="shared" si="88"/>
        <v>306.01967513533549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89.453423526114122</v>
      </c>
      <c r="AA85" s="21">
        <f>EXP(-LN(2)/25)*AA84+(1-EXP(-LN(2)/25))/(LN(2)/25)*Calculateur!V85*Calculateur!X85*VLOOKUP('Données projet'!$B$9,Paramètres!$A$1:$I$89,3,0)*0.475*44/12</f>
        <v>46.564057627115027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136.01748115322914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8.6770000000000014</v>
      </c>
      <c r="AI85" s="13">
        <f>IF('Données projet'!$A$62&gt;35,AI84+AH85-AQ84,IF(A85&lt;'Données projet'!$A$62,$AF$205^A85,IF(A85='Données projet'!$A$62,'Données projet'!$B$62,AI84+AH85-AQ84)))</f>
        <v>307.99600000000021</v>
      </c>
      <c r="AJ85" s="13">
        <f>AI85*VLOOKUP('Données projet'!$B$10,Paramètres!$A$1:$I$89,3,0)*VLOOKUP('Données projet'!$B$10,Paramètres!$A$1:$I$89,5,0)</f>
        <v>278.67478080000018</v>
      </c>
      <c r="AK85" s="13">
        <f t="shared" si="89"/>
        <v>66.686874688958113</v>
      </c>
      <c r="AL85" s="20">
        <f t="shared" si="58"/>
        <v>601.50488330993562</v>
      </c>
      <c r="AM85" s="59">
        <f t="shared" si="59"/>
        <v>894.83821664326888</v>
      </c>
      <c r="AN85" s="59">
        <f ca="1">AVERAGE(OFFSET($AM$3,0,0,'Données projet'!$E$10+1,1))-AVERAGE(OFFSET($H$3,0,0,'Données projet'!$E$10+1,1))</f>
        <v>581.88778927327667</v>
      </c>
      <c r="AO85" s="59">
        <f t="shared" si="90"/>
        <v>269.67340993773422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28.386712079366379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28.386712079366379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5.669999999999999</v>
      </c>
      <c r="BD85" s="12">
        <f>IF('Données projet'!$A$88&gt;35,BD84+BC85-BL84,IF(A85&lt;'Données projet'!$A$88,$BA$205^A85,IF(A85='Données projet'!$A$88,'Données projet'!$B$88,BD84+BC85-BL84)))</f>
        <v>317.09999999999951</v>
      </c>
      <c r="BE85" s="13">
        <f>BD85*VLOOKUP('Données projet'!$B$11,Paramètres!$A$1:$I$89,3,0)*VLOOKUP('Données projet'!$B$11,Paramètres!$A$1:$I$89,5,0)</f>
        <v>181.38119999999972</v>
      </c>
      <c r="BF85" s="13">
        <f t="shared" si="91"/>
        <v>45.629340877028937</v>
      </c>
      <c r="BG85" s="20">
        <f t="shared" si="61"/>
        <v>395.37669202749157</v>
      </c>
      <c r="BH85" s="59">
        <f t="shared" si="62"/>
        <v>688.71002536082483</v>
      </c>
      <c r="BI85" s="59">
        <f ca="1">AVERAGE(OFFSET($BH$3,0,0,'Données projet'!$E$11+1,1))-AVERAGE(OFFSET($H$3,0,0,'Données projet'!$E$11+1,1))</f>
        <v>292.09131652373259</v>
      </c>
      <c r="BJ85" s="59">
        <f t="shared" si="92"/>
        <v>200.24819245805861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34.562487299007444</v>
      </c>
      <c r="BQ85" s="21">
        <f>EXP(-LN(2)/25)*BQ84+(1-EXP(-LN(2)/25))/(LN(2)/25)*Calculateur!BL85*Calculateur!BN85*VLOOKUP('Données projet'!$B$11,Paramètres!$A$1:$I$89,3,0)*0.475*44/12</f>
        <v>24.016843165437674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58.579330464445121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-6.7984728957526396E-14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300.80663531652721</v>
      </c>
      <c r="T86" s="59">
        <f t="shared" si="88"/>
        <v>306.01967513533549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87.699296451967911</v>
      </c>
      <c r="AA86" s="21">
        <f>EXP(-LN(2)/25)*AA85+(1-EXP(-LN(2)/25))/(LN(2)/25)*Calculateur!V86*Calculateur!X86*VLOOKUP('Données projet'!$B$9,Paramètres!$A$1:$I$89,3,0)*0.475*44/12</f>
        <v>45.290761022604201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132.9900574745721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8.6770000000000014</v>
      </c>
      <c r="AI86" s="13">
        <f>IF('Données projet'!$A$62&gt;35,AI85+AH86-AQ85,IF(A86&lt;'Données projet'!$A$62,$AF$205^A86,IF(A86='Données projet'!$A$62,'Données projet'!$B$62,AI85+AH86-AQ85)))</f>
        <v>316.67300000000023</v>
      </c>
      <c r="AJ86" s="13">
        <f>AI86*VLOOKUP('Données projet'!$B$10,Paramètres!$A$1:$I$89,3,0)*VLOOKUP('Données projet'!$B$10,Paramètres!$A$1:$I$89,5,0)</f>
        <v>286.52573040000021</v>
      </c>
      <c r="AK86" s="13">
        <f t="shared" si="89"/>
        <v>68.344228730046424</v>
      </c>
      <c r="AL86" s="20">
        <f t="shared" si="58"/>
        <v>618.06517881816455</v>
      </c>
      <c r="AM86" s="59">
        <f t="shared" si="59"/>
        <v>911.39851215149793</v>
      </c>
      <c r="AN86" s="59">
        <f ca="1">AVERAGE(OFFSET($AM$3,0,0,'Données projet'!$E$10+1,1))-AVERAGE(OFFSET($H$3,0,0,'Données projet'!$E$10+1,1))</f>
        <v>581.88778927327667</v>
      </c>
      <c r="AO86" s="59">
        <f t="shared" si="90"/>
        <v>269.67340993773422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27.830065969674738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27.830065969674738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5.669999999999999</v>
      </c>
      <c r="BD86" s="12">
        <f>IF('Données projet'!$A$88&gt;35,BD85+BC86-BL85,IF(A86&lt;'Données projet'!$A$88,$BA$205^A86,IF(A86='Données projet'!$A$88,'Données projet'!$B$88,BD85+BC86-BL85)))</f>
        <v>322.76999999999953</v>
      </c>
      <c r="BE86" s="13">
        <f>BD86*VLOOKUP('Données projet'!$B$11,Paramètres!$A$1:$I$89,3,0)*VLOOKUP('Données projet'!$B$11,Paramètres!$A$1:$I$89,5,0)</f>
        <v>184.62443999999974</v>
      </c>
      <c r="BF86" s="13">
        <f t="shared" si="91"/>
        <v>46.349515000158355</v>
      </c>
      <c r="BG86" s="20">
        <f t="shared" si="61"/>
        <v>402.27963829194204</v>
      </c>
      <c r="BH86" s="59">
        <f t="shared" si="62"/>
        <v>695.61297162527535</v>
      </c>
      <c r="BI86" s="59">
        <f ca="1">AVERAGE(OFFSET($BH$3,0,0,'Données projet'!$E$11+1,1))-AVERAGE(OFFSET($H$3,0,0,'Données projet'!$E$11+1,1))</f>
        <v>292.09131652373259</v>
      </c>
      <c r="BJ86" s="59">
        <f t="shared" si="92"/>
        <v>200.24819245805861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33.884738004109579</v>
      </c>
      <c r="BQ86" s="21">
        <f>EXP(-LN(2)/25)*BQ85+(1-EXP(-LN(2)/25))/(LN(2)/25)*Calculateur!BL86*Calculateur!BN86*VLOOKUP('Données projet'!$B$11,Paramètres!$A$1:$I$89,3,0)*0.475*44/12</f>
        <v>23.360101326087889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57.244839330197465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-6.7984728957526396E-14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300.80663531652721</v>
      </c>
      <c r="T87" s="59">
        <f t="shared" si="88"/>
        <v>306.01967513533549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85.979566739833828</v>
      </c>
      <c r="AA87" s="21">
        <f>EXP(-LN(2)/25)*AA86+(1-EXP(-LN(2)/25))/(LN(2)/25)*Calculateur!V87*Calculateur!X87*VLOOKUP('Données projet'!$B$9,Paramètres!$A$1:$I$89,3,0)*0.475*44/12</f>
        <v>44.052282780703479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130.03184952053732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325.35000000000002</v>
      </c>
      <c r="AG87" s="12">
        <f>VLOOKUP(A87,'Données projet'!$A$61:$I$81,9,0)</f>
        <v>8.6770000000000014</v>
      </c>
      <c r="AH87" s="12">
        <f t="array" ref="AH87">INDEX(AG:AG,MIN(IF(ISNUMBER(AG87:AG283),ROW(AG87:AG283),"")))</f>
        <v>8.6770000000000014</v>
      </c>
      <c r="AI87" s="13">
        <f>IF('Données projet'!$A$62&gt;35,AI86+AH87-AQ86,IF(A87&lt;'Données projet'!$A$62,$AF$205^A87,IF(A87='Données projet'!$A$62,'Données projet'!$B$62,AI86+AH87-AQ86)))</f>
        <v>325.35000000000025</v>
      </c>
      <c r="AJ87" s="13">
        <f>AI87*VLOOKUP('Données projet'!$B$10,Paramètres!$A$1:$I$89,3,0)*VLOOKUP('Données projet'!$B$10,Paramètres!$A$1:$I$89,5,0)</f>
        <v>294.37668000000025</v>
      </c>
      <c r="AK87" s="13">
        <f t="shared" si="89"/>
        <v>69.99630449784344</v>
      </c>
      <c r="AL87" s="20">
        <f t="shared" si="58"/>
        <v>634.61628133374438</v>
      </c>
      <c r="AM87" s="59">
        <f t="shared" si="59"/>
        <v>927.94961466707764</v>
      </c>
      <c r="AN87" s="59">
        <f ca="1">AVERAGE(OFFSET($AM$3,0,0,'Données projet'!$E$10+1,1))-AVERAGE(OFFSET($H$3,0,0,'Données projet'!$E$10+1,1))</f>
        <v>581.88778927327667</v>
      </c>
      <c r="AO87" s="59">
        <f t="shared" si="90"/>
        <v>269.67340993773422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0.25800000000000001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43.147236627276406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43.147236627276406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5.669999999999999</v>
      </c>
      <c r="BD87" s="12">
        <f>IF('Données projet'!$A$88&gt;35,BD86+BC87-BL86,IF(A87&lt;'Données projet'!$A$88,$BA$205^A87,IF(A87='Données projet'!$A$88,'Données projet'!$B$88,BD86+BC87-BL86)))</f>
        <v>328.43999999999954</v>
      </c>
      <c r="BE87" s="13">
        <f>BD87*VLOOKUP('Données projet'!$B$11,Paramètres!$A$1:$I$89,3,0)*VLOOKUP('Données projet'!$B$11,Paramètres!$A$1:$I$89,5,0)</f>
        <v>187.86767999999975</v>
      </c>
      <c r="BF87" s="13">
        <f t="shared" si="91"/>
        <v>47.068217962755867</v>
      </c>
      <c r="BG87" s="20">
        <f t="shared" si="61"/>
        <v>409.18002228513274</v>
      </c>
      <c r="BH87" s="59">
        <f t="shared" si="62"/>
        <v>702.51335561846599</v>
      </c>
      <c r="BI87" s="59">
        <f ca="1">AVERAGE(OFFSET($BH$3,0,0,'Données projet'!$E$11+1,1))-AVERAGE(OFFSET($H$3,0,0,'Données projet'!$E$11+1,1))</f>
        <v>292.09131652373259</v>
      </c>
      <c r="BJ87" s="59">
        <f t="shared" si="92"/>
        <v>200.24819245805861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33.220278959498408</v>
      </c>
      <c r="BQ87" s="21">
        <f>EXP(-LN(2)/25)*BQ86+(1-EXP(-LN(2)/25))/(LN(2)/25)*Calculateur!BL87*Calculateur!BN87*VLOOKUP('Données projet'!$B$11,Paramètres!$A$1:$I$89,3,0)*0.475*44/12</f>
        <v>22.721318126871676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55.941597086370081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-6.7984728957526396E-14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300.80663531652721</v>
      </c>
      <c r="T88" s="59">
        <f t="shared" si="88"/>
        <v>306.01967513533549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84.293559878423139</v>
      </c>
      <c r="AA88" s="21">
        <f>EXP(-LN(2)/25)*AA87+(1-EXP(-LN(2)/25))/(LN(2)/25)*Calculateur!V88*Calculateur!X88*VLOOKUP('Données projet'!$B$9,Paramètres!$A$1:$I$89,3,0)*0.475*44/12</f>
        <v>42.847670791456274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127.14123066987941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8.2910000000000021</v>
      </c>
      <c r="AI88" s="13">
        <f>IF('Données projet'!$A$62&gt;35,AI87+AH88-AQ87,IF(A88&lt;'Données projet'!$A$62,$AF$205^A88,IF(A88='Données projet'!$A$62,'Données projet'!$B$62,AI87+AH88-AQ87)))</f>
        <v>272.17100000000028</v>
      </c>
      <c r="AJ88" s="13">
        <f>AI88*VLOOKUP('Données projet'!$B$10,Paramètres!$A$1:$I$89,3,0)*VLOOKUP('Données projet'!$B$10,Paramètres!$A$1:$I$89,5,0)</f>
        <v>246.26032080000024</v>
      </c>
      <c r="AK88" s="13">
        <f t="shared" si="89"/>
        <v>59.784443753506842</v>
      </c>
      <c r="AL88" s="20">
        <f t="shared" si="58"/>
        <v>533.02796493069138</v>
      </c>
      <c r="AM88" s="59">
        <f t="shared" si="59"/>
        <v>826.36129826402475</v>
      </c>
      <c r="AN88" s="59">
        <f ca="1">AVERAGE(OFFSET($AM$3,0,0,'Données projet'!$E$10+1,1))-AVERAGE(OFFSET($H$3,0,0,'Données projet'!$E$10+1,1))</f>
        <v>581.88778927327667</v>
      </c>
      <c r="AO88" s="59">
        <f t="shared" si="90"/>
        <v>269.67340993773422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42.301145634231247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42.301145634231247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5.669999999999999</v>
      </c>
      <c r="BD88" s="12">
        <f>IF('Données projet'!$A$88&gt;35,BD87+BC88-BL87,IF(A88&lt;'Données projet'!$A$88,$BA$205^A88,IF(A88='Données projet'!$A$88,'Données projet'!$B$88,BD87+BC88-BL87)))</f>
        <v>334.10999999999956</v>
      </c>
      <c r="BE88" s="13">
        <f>BD88*VLOOKUP('Données projet'!$B$11,Paramètres!$A$1:$I$89,3,0)*VLOOKUP('Données projet'!$B$11,Paramètres!$A$1:$I$89,5,0)</f>
        <v>191.11091999999974</v>
      </c>
      <c r="BF88" s="13">
        <f t="shared" si="91"/>
        <v>47.785478092704174</v>
      </c>
      <c r="BG88" s="20">
        <f t="shared" si="61"/>
        <v>416.07789334479259</v>
      </c>
      <c r="BH88" s="59">
        <f t="shared" si="62"/>
        <v>709.4112266781259</v>
      </c>
      <c r="BI88" s="59">
        <f ca="1">AVERAGE(OFFSET($BH$3,0,0,'Données projet'!$E$11+1,1))-AVERAGE(OFFSET($H$3,0,0,'Données projet'!$E$11+1,1))</f>
        <v>292.09131652373259</v>
      </c>
      <c r="BJ88" s="59">
        <f t="shared" si="92"/>
        <v>200.24819245805861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32.56884955147207</v>
      </c>
      <c r="BQ88" s="21">
        <f>EXP(-LN(2)/25)*BQ87+(1-EXP(-LN(2)/25))/(LN(2)/25)*Calculateur!BL88*Calculateur!BN88*VLOOKUP('Données projet'!$B$11,Paramètres!$A$1:$I$89,3,0)*0.475*44/12</f>
        <v>22.100002487830182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54.668852039302251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-6.7984728957526396E-14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300.80663531652721</v>
      </c>
      <c r="T89" s="59">
        <f t="shared" si="88"/>
        <v>306.01967513533549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82.64061458320208</v>
      </c>
      <c r="AA89" s="21">
        <f>EXP(-LN(2)/25)*AA88+(1-EXP(-LN(2)/25))/(LN(2)/25)*Calculateur!V89*Calculateur!X89*VLOOKUP('Données projet'!$B$9,Paramètres!$A$1:$I$89,3,0)*0.475*44/12</f>
        <v>41.675998980402824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124.3166135636049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8.2910000000000021</v>
      </c>
      <c r="AI89" s="13">
        <f>IF('Données projet'!$A$62&gt;35,AI88+AH89-AQ88,IF(A89&lt;'Données projet'!$A$62,$AF$205^A89,IF(A89='Données projet'!$A$62,'Données projet'!$B$62,AI88+AH89-AQ88)))</f>
        <v>280.46200000000027</v>
      </c>
      <c r="AJ89" s="13">
        <f>AI89*VLOOKUP('Données projet'!$B$10,Paramètres!$A$1:$I$89,3,0)*VLOOKUP('Données projet'!$B$10,Paramètres!$A$1:$I$89,5,0)</f>
        <v>253.76201760000023</v>
      </c>
      <c r="AK89" s="13">
        <f t="shared" si="89"/>
        <v>61.390818695638195</v>
      </c>
      <c r="AL89" s="20">
        <f t="shared" si="58"/>
        <v>548.89118988157031</v>
      </c>
      <c r="AM89" s="59">
        <f t="shared" si="59"/>
        <v>842.22452321490368</v>
      </c>
      <c r="AN89" s="59">
        <f ca="1">AVERAGE(OFFSET($AM$3,0,0,'Données projet'!$E$10+1,1))-AVERAGE(OFFSET($H$3,0,0,'Données projet'!$E$10+1,1))</f>
        <v>581.88778927327667</v>
      </c>
      <c r="AO89" s="59">
        <f t="shared" si="90"/>
        <v>269.67340993773422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41.471645969495157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41.471645969495157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5.669999999999999</v>
      </c>
      <c r="BD89" s="12">
        <f>IF('Données projet'!$A$88&gt;35,BD88+BC89-BL88,IF(A89&lt;'Données projet'!$A$88,$BA$205^A89,IF(A89='Données projet'!$A$88,'Données projet'!$B$88,BD88+BC89-BL88)))</f>
        <v>339.77999999999957</v>
      </c>
      <c r="BE89" s="13">
        <f>BD89*VLOOKUP('Données projet'!$B$11,Paramètres!$A$1:$I$89,3,0)*VLOOKUP('Données projet'!$B$11,Paramètres!$A$1:$I$89,5,0)</f>
        <v>194.35415999999978</v>
      </c>
      <c r="BF89" s="13">
        <f t="shared" si="91"/>
        <v>48.501322701312205</v>
      </c>
      <c r="BG89" s="20">
        <f t="shared" si="61"/>
        <v>422.97329903811834</v>
      </c>
      <c r="BH89" s="59">
        <f t="shared" si="62"/>
        <v>716.30663237145166</v>
      </c>
      <c r="BI89" s="59">
        <f ca="1">AVERAGE(OFFSET($BH$3,0,0,'Données projet'!$E$11+1,1))-AVERAGE(OFFSET($H$3,0,0,'Données projet'!$E$11+1,1))</f>
        <v>292.09131652373259</v>
      </c>
      <c r="BJ89" s="59">
        <f t="shared" si="92"/>
        <v>200.24819245805861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31.930194276804421</v>
      </c>
      <c r="BQ89" s="21">
        <f>EXP(-LN(2)/25)*BQ88+(1-EXP(-LN(2)/25))/(LN(2)/25)*Calculateur!BL89*Calculateur!BN89*VLOOKUP('Données projet'!$B$11,Paramètres!$A$1:$I$89,3,0)*0.475*44/12</f>
        <v>21.495676757611843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53.425871034416261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-6.7984728957526396E-14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300.80663531652721</v>
      </c>
      <c r="T90" s="59">
        <f t="shared" si="88"/>
        <v>306.01967513533549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81.020082537023228</v>
      </c>
      <c r="AA90" s="21">
        <f>EXP(-LN(2)/25)*AA89+(1-EXP(-LN(2)/25))/(LN(2)/25)*Calculateur!V90*Calculateur!X90*VLOOKUP('Données projet'!$B$9,Paramètres!$A$1:$I$89,3,0)*0.475*44/12</f>
        <v>40.536366596638175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121.5564491336614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8.2910000000000021</v>
      </c>
      <c r="AI90" s="13">
        <f>IF('Données projet'!$A$62&gt;35,AI89+AH90-AQ89,IF(A90&lt;'Données projet'!$A$62,$AF$205^A90,IF(A90='Données projet'!$A$62,'Données projet'!$B$62,AI89+AH90-AQ89)))</f>
        <v>288.75300000000027</v>
      </c>
      <c r="AJ90" s="13">
        <f>AI90*VLOOKUP('Données projet'!$B$10,Paramètres!$A$1:$I$89,3,0)*VLOOKUP('Données projet'!$B$10,Paramètres!$A$1:$I$89,5,0)</f>
        <v>261.26371440000025</v>
      </c>
      <c r="AK90" s="13">
        <f t="shared" si="89"/>
        <v>62.991674736313257</v>
      </c>
      <c r="AL90" s="20">
        <f t="shared" si="58"/>
        <v>564.74480274574603</v>
      </c>
      <c r="AM90" s="59">
        <f t="shared" si="59"/>
        <v>858.07813607907929</v>
      </c>
      <c r="AN90" s="59">
        <f ca="1">AVERAGE(OFFSET($AM$3,0,0,'Données projet'!$E$10+1,1))-AVERAGE(OFFSET($H$3,0,0,'Données projet'!$E$10+1,1))</f>
        <v>581.88778927327667</v>
      </c>
      <c r="AO90" s="59">
        <f t="shared" si="90"/>
        <v>269.67340993773422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40.658412287239706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40.658412287239706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5.669999999999999</v>
      </c>
      <c r="BD90" s="12">
        <f>IF('Données projet'!$A$88&gt;35,BD89+BC90-BL89,IF(A90&lt;'Données projet'!$A$88,$BA$205^A90,IF(A90='Données projet'!$A$88,'Données projet'!$B$88,BD89+BC90-BL89)))</f>
        <v>345.44999999999959</v>
      </c>
      <c r="BE90" s="13">
        <f>BD90*VLOOKUP('Données projet'!$B$11,Paramètres!$A$1:$I$89,3,0)*VLOOKUP('Données projet'!$B$11,Paramètres!$A$1:$I$89,5,0)</f>
        <v>197.59739999999977</v>
      </c>
      <c r="BF90" s="13">
        <f t="shared" si="91"/>
        <v>49.215778136139598</v>
      </c>
      <c r="BG90" s="20">
        <f t="shared" si="61"/>
        <v>429.86628525377608</v>
      </c>
      <c r="BH90" s="59">
        <f t="shared" si="62"/>
        <v>723.1996185871094</v>
      </c>
      <c r="BI90" s="59">
        <f ca="1">AVERAGE(OFFSET($BH$3,0,0,'Données projet'!$E$11+1,1))-AVERAGE(OFFSET($H$3,0,0,'Données projet'!$E$11+1,1))</f>
        <v>292.09131652373259</v>
      </c>
      <c r="BJ90" s="59">
        <f t="shared" si="92"/>
        <v>200.24819245805861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31.304062642531751</v>
      </c>
      <c r="BQ90" s="21">
        <f>EXP(-LN(2)/25)*BQ89+(1-EXP(-LN(2)/25))/(LN(2)/25)*Calculateur!BL90*Calculateur!BN90*VLOOKUP('Données projet'!$B$11,Paramètres!$A$1:$I$89,3,0)*0.475*44/12</f>
        <v>20.907876346266434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52.211938988798181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-6.7984728957526396E-14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300.80663531652721</v>
      </c>
      <c r="T91" s="59">
        <f t="shared" si="88"/>
        <v>306.01967513533549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79.431328135842989</v>
      </c>
      <c r="AA91" s="21">
        <f>EXP(-LN(2)/25)*AA90+(1-EXP(-LN(2)/25))/(LN(2)/25)*Calculateur!V91*Calculateur!X91*VLOOKUP('Données projet'!$B$9,Paramètres!$A$1:$I$89,3,0)*0.475*44/12</f>
        <v>39.427897520338234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118.85922565618122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8.2910000000000021</v>
      </c>
      <c r="AI91" s="13">
        <f>IF('Données projet'!$A$62&gt;35,AI90+AH91-AQ90,IF(A91&lt;'Données projet'!$A$62,$AF$205^A91,IF(A91='Données projet'!$A$62,'Données projet'!$B$62,AI90+AH91-AQ90)))</f>
        <v>297.04400000000027</v>
      </c>
      <c r="AJ91" s="13">
        <f>AI91*VLOOKUP('Données projet'!$B$10,Paramètres!$A$1:$I$89,3,0)*VLOOKUP('Données projet'!$B$10,Paramètres!$A$1:$I$89,5,0)</f>
        <v>268.76541120000024</v>
      </c>
      <c r="AK91" s="13">
        <f t="shared" si="89"/>
        <v>64.587188539623412</v>
      </c>
      <c r="AL91" s="20">
        <f t="shared" si="58"/>
        <v>580.58911121317794</v>
      </c>
      <c r="AM91" s="59">
        <f t="shared" si="59"/>
        <v>873.92244454651131</v>
      </c>
      <c r="AN91" s="59">
        <f ca="1">AVERAGE(OFFSET($AM$3,0,0,'Données projet'!$E$10+1,1))-AVERAGE(OFFSET($H$3,0,0,'Données projet'!$E$10+1,1))</f>
        <v>581.88778927327667</v>
      </c>
      <c r="AO91" s="59">
        <f t="shared" si="90"/>
        <v>269.67340993773422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39.861125621469718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39.861125621469718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5.669999999999999</v>
      </c>
      <c r="BD91" s="12">
        <f>IF('Données projet'!$A$88&gt;35,BD90+BC91-BL90,IF(A91&lt;'Données projet'!$A$88,$BA$205^A91,IF(A91='Données projet'!$A$88,'Données projet'!$B$88,BD90+BC91-BL90)))</f>
        <v>351.11999999999961</v>
      </c>
      <c r="BE91" s="13">
        <f>BD91*VLOOKUP('Données projet'!$B$11,Paramètres!$A$1:$I$89,3,0)*VLOOKUP('Données projet'!$B$11,Paramètres!$A$1:$I$89,5,0)</f>
        <v>200.84063999999978</v>
      </c>
      <c r="BF91" s="13">
        <f t="shared" si="91"/>
        <v>49.928869830254925</v>
      </c>
      <c r="BG91" s="20">
        <f t="shared" si="61"/>
        <v>436.75689628769368</v>
      </c>
      <c r="BH91" s="59">
        <f t="shared" si="62"/>
        <v>730.09022962102699</v>
      </c>
      <c r="BI91" s="59">
        <f ca="1">AVERAGE(OFFSET($BH$3,0,0,'Données projet'!$E$11+1,1))-AVERAGE(OFFSET($H$3,0,0,'Données projet'!$E$11+1,1))</f>
        <v>292.09131652373259</v>
      </c>
      <c r="BJ91" s="59">
        <f t="shared" si="92"/>
        <v>200.24819245805861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30.690209067704579</v>
      </c>
      <c r="BQ91" s="21">
        <f>EXP(-LN(2)/25)*BQ90+(1-EXP(-LN(2)/25))/(LN(2)/25)*Calculateur!BL91*Calculateur!BN91*VLOOKUP('Données projet'!$B$11,Paramètres!$A$1:$I$89,3,0)*0.475*44/12</f>
        <v>20.336149368080346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51.026358435784928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-6.7984728957526396E-14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300.80663531652721</v>
      </c>
      <c r="T92" s="59">
        <f t="shared" si="88"/>
        <v>306.01967513533549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77.87372823942539</v>
      </c>
      <c r="AA92" s="21">
        <f>EXP(-LN(2)/25)*AA91+(1-EXP(-LN(2)/25))/(LN(2)/25)*Calculateur!V92*Calculateur!X92*VLOOKUP('Données projet'!$B$9,Paramètres!$A$1:$I$89,3,0)*0.475*44/12</f>
        <v>38.349739589221571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116.22346782864696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8.2910000000000021</v>
      </c>
      <c r="AI92" s="13">
        <f>IF('Données projet'!$A$62&gt;35,AI91+AH92-AQ91,IF(A92&lt;'Données projet'!$A$62,$AF$205^A92,IF(A92='Données projet'!$A$62,'Données projet'!$B$62,AI91+AH92-AQ91)))</f>
        <v>305.33500000000026</v>
      </c>
      <c r="AJ92" s="13">
        <f>AI92*VLOOKUP('Données projet'!$B$10,Paramètres!$A$1:$I$89,3,0)*VLOOKUP('Données projet'!$B$10,Paramètres!$A$1:$I$89,5,0)</f>
        <v>276.26710800000023</v>
      </c>
      <c r="AK92" s="13">
        <f t="shared" si="89"/>
        <v>66.177526346547864</v>
      </c>
      <c r="AL92" s="20">
        <f t="shared" si="58"/>
        <v>596.42440482023801</v>
      </c>
      <c r="AM92" s="59">
        <f t="shared" si="59"/>
        <v>889.75773815357138</v>
      </c>
      <c r="AN92" s="59">
        <f ca="1">AVERAGE(OFFSET($AM$3,0,0,'Données projet'!$E$10+1,1))-AVERAGE(OFFSET($H$3,0,0,'Données projet'!$E$10+1,1))</f>
        <v>581.88778927327667</v>
      </c>
      <c r="AO92" s="59">
        <f t="shared" si="90"/>
        <v>269.67340993773422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39.079473260918625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39.079473260918625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5.669999999999999</v>
      </c>
      <c r="BD92" s="12">
        <f>IF('Données projet'!$A$88&gt;35,BD91+BC92-BL91,IF(A92&lt;'Données projet'!$A$88,$BA$205^A92,IF(A92='Données projet'!$A$88,'Données projet'!$B$88,BD91+BC92-BL91)))</f>
        <v>356.78999999999962</v>
      </c>
      <c r="BE92" s="13">
        <f>BD92*VLOOKUP('Données projet'!$B$11,Paramètres!$A$1:$I$89,3,0)*VLOOKUP('Données projet'!$B$11,Paramètres!$A$1:$I$89,5,0)</f>
        <v>204.08387999999979</v>
      </c>
      <c r="BF92" s="13">
        <f t="shared" si="91"/>
        <v>50.640622348221697</v>
      </c>
      <c r="BG92" s="20">
        <f t="shared" si="61"/>
        <v>443.64517492315241</v>
      </c>
      <c r="BH92" s="59">
        <f t="shared" si="62"/>
        <v>736.97850825648572</v>
      </c>
      <c r="BI92" s="59">
        <f ca="1">AVERAGE(OFFSET($BH$3,0,0,'Données projet'!$E$11+1,1))-AVERAGE(OFFSET($H$3,0,0,'Données projet'!$E$11+1,1))</f>
        <v>292.09131652373259</v>
      </c>
      <c r="BJ92" s="59">
        <f t="shared" si="92"/>
        <v>200.24819245805861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30.088392787066059</v>
      </c>
      <c r="BQ92" s="21">
        <f>EXP(-LN(2)/25)*BQ91+(1-EXP(-LN(2)/25))/(LN(2)/25)*Calculateur!BL92*Calculateur!BN92*VLOOKUP('Données projet'!$B$11,Paramètres!$A$1:$I$89,3,0)*0.475*44/12</f>
        <v>19.780056294178571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49.868449081244634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-6.7984728957526396E-14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300.80663531652721</v>
      </c>
      <c r="T93" s="59">
        <f t="shared" si="88"/>
        <v>306.01967513533549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76.34667192693442</v>
      </c>
      <c r="AA93" s="21">
        <f>EXP(-LN(2)/25)*AA92+(1-EXP(-LN(2)/25))/(LN(2)/25)*Calculateur!V93*Calculateur!X93*VLOOKUP('Données projet'!$B$9,Paramètres!$A$1:$I$89,3,0)*0.475*44/12</f>
        <v>37.301063943429149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113.64773587036356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8.2910000000000021</v>
      </c>
      <c r="AI93" s="13">
        <f>IF('Données projet'!$A$62&gt;35,AI92+AH93-AQ92,IF(A93&lt;'Données projet'!$A$62,$AF$205^A93,IF(A93='Données projet'!$A$62,'Données projet'!$B$62,AI92+AH93-AQ92)))</f>
        <v>313.62600000000026</v>
      </c>
      <c r="AJ93" s="13">
        <f>AI93*VLOOKUP('Données projet'!$B$10,Paramètres!$A$1:$I$89,3,0)*VLOOKUP('Données projet'!$B$10,Paramètres!$A$1:$I$89,5,0)</f>
        <v>283.76880480000023</v>
      </c>
      <c r="AK93" s="13">
        <f t="shared" si="89"/>
        <v>67.762844856024827</v>
      </c>
      <c r="AL93" s="20">
        <f t="shared" si="58"/>
        <v>612.2509564842436</v>
      </c>
      <c r="AM93" s="59">
        <f t="shared" si="59"/>
        <v>905.58428981757697</v>
      </c>
      <c r="AN93" s="59">
        <f ca="1">AVERAGE(OFFSET($AM$3,0,0,'Données projet'!$E$10+1,1))-AVERAGE(OFFSET($H$3,0,0,'Données projet'!$E$10+1,1))</f>
        <v>581.88778927327667</v>
      </c>
      <c r="AO93" s="59">
        <f t="shared" si="90"/>
        <v>269.67340993773422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38.31314862639708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38.31314862639708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362.46</v>
      </c>
      <c r="BB93" s="12">
        <f>VLOOKUP(A93,'Données projet'!$A$87:$I$107,9,0)</f>
        <v>5.669999999999999</v>
      </c>
      <c r="BC93" s="12">
        <f t="array" ref="BC93">INDEX(BB:BB,MIN(IF(ISNUMBER(BB93:BB289),ROW(BB93:BB289),"")))</f>
        <v>5.669999999999999</v>
      </c>
      <c r="BD93" s="12">
        <f>IF('Données projet'!$A$88&gt;35,BD92+BC93-BL92,IF(A93&lt;'Données projet'!$A$88,$BA$205^A93,IF(A93='Données projet'!$A$88,'Données projet'!$B$88,BD92+BC93-BL92)))</f>
        <v>362.45999999999964</v>
      </c>
      <c r="BE93" s="13">
        <f>BD93*VLOOKUP('Données projet'!$B$11,Paramètres!$A$1:$I$89,3,0)*VLOOKUP('Données projet'!$B$11,Paramètres!$A$1:$I$89,5,0)</f>
        <v>207.32711999999981</v>
      </c>
      <c r="BF93" s="13">
        <f t="shared" si="91"/>
        <v>51.351059429078639</v>
      </c>
      <c r="BG93" s="20">
        <f t="shared" si="61"/>
        <v>450.53116250564494</v>
      </c>
      <c r="BH93" s="59">
        <f t="shared" si="62"/>
        <v>743.8644958389782</v>
      </c>
      <c r="BI93" s="59">
        <f ca="1">AVERAGE(OFFSET($BH$3,0,0,'Données projet'!$E$11+1,1))-AVERAGE(OFFSET($H$3,0,0,'Données projet'!$E$11+1,1))</f>
        <v>292.09131652373259</v>
      </c>
      <c r="BJ93" s="59">
        <f t="shared" si="92"/>
        <v>200.24819245805861</v>
      </c>
      <c r="BK93" s="15">
        <f>IF(ISNA(VLOOKUP(A93,'Données projet'!$A$87:$I$107,3,0)),0,VLOOKUP(A93,'Données projet'!$A$87:$I$107,3,0))</f>
        <v>9</v>
      </c>
      <c r="BL93" s="15">
        <f>IF(ISNA(VLOOKUP(A93,'Données projet'!$A$87:$I$107,4,0)),0,VLOOKUP(A93,'Données projet'!$A$87:$I$107,4,0))</f>
        <v>40.51</v>
      </c>
      <c r="BM93" s="16">
        <f>IF(ISNA(VLOOKUP(A93,'Données projet'!$A$87:$I$107,5,0)),0%,VLOOKUP(A93,'Données projet'!$A$87:$I$107,5,0)*VLOOKUP('Données projet'!$B$11,Paramètres!$A$1:$I$89,7,0))</f>
        <v>0.315</v>
      </c>
      <c r="BN93" s="16">
        <f>IF(ISNA(VLOOKUP(A93,'Données projet'!$A$87:$I$107,6,0)),0%,VLOOKUP(A93,'Données projet'!$A$87:$I$107,6,0)*VLOOKUP('Données projet'!$B$11,Paramètres!$A$1:$I$89,7,0))</f>
        <v>0.13500000000000001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39.181093495489385</v>
      </c>
      <c r="BQ93" s="21">
        <f>EXP(-LN(2)/25)*BQ92+(1-EXP(-LN(2)/25))/(LN(2)/25)*Calculateur!BL93*Calculateur!BN93*VLOOKUP('Données projet'!$B$11,Paramètres!$A$1:$I$89,3,0)*0.475*44/12</f>
        <v>23.372565842170165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62.553659337659553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-6.7984728957526396E-14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300.80663531652721</v>
      </c>
      <c r="T94" s="59">
        <f t="shared" si="88"/>
        <v>306.01967513533549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74.849560257319013</v>
      </c>
      <c r="AA94" s="21">
        <f>EXP(-LN(2)/25)*AA93+(1-EXP(-LN(2)/25))/(LN(2)/25)*Calculateur!V94*Calculateur!X94*VLOOKUP('Données projet'!$B$9,Paramètres!$A$1:$I$89,3,0)*0.475*44/12</f>
        <v>36.281064388318377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111.1306246456374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8.2910000000000021</v>
      </c>
      <c r="AI94" s="13">
        <f>IF('Données projet'!$A$62&gt;35,AI93+AH94-AQ93,IF(A94&lt;'Données projet'!$A$62,$AF$205^A94,IF(A94='Données projet'!$A$62,'Données projet'!$B$62,AI93+AH94-AQ93)))</f>
        <v>321.91700000000026</v>
      </c>
      <c r="AJ94" s="13">
        <f>AI94*VLOOKUP('Données projet'!$B$10,Paramètres!$A$1:$I$89,3,0)*VLOOKUP('Données projet'!$B$10,Paramètres!$A$1:$I$89,5,0)</f>
        <v>291.27050160000022</v>
      </c>
      <c r="AK94" s="13">
        <f t="shared" si="89"/>
        <v>69.343292010233441</v>
      </c>
      <c r="AL94" s="20">
        <f t="shared" si="58"/>
        <v>628.0690238711569</v>
      </c>
      <c r="AM94" s="59">
        <f t="shared" si="59"/>
        <v>921.40235720449027</v>
      </c>
      <c r="AN94" s="59">
        <f ca="1">AVERAGE(OFFSET($AM$3,0,0,'Données projet'!$E$10+1,1))-AVERAGE(OFFSET($H$3,0,0,'Données projet'!$E$10+1,1))</f>
        <v>581.88778927327667</v>
      </c>
      <c r="AO94" s="59">
        <f t="shared" si="90"/>
        <v>269.67340993773422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37.561851150546623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37.561851150546623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4.9040000000000017</v>
      </c>
      <c r="BD94" s="12">
        <f>IF('Données projet'!$A$88&gt;35,BD93+BC94-BL93,IF(A94&lt;'Données projet'!$A$88,$BA$205^A94,IF(A94='Données projet'!$A$88,'Données projet'!$B$88,BD93+BC94-BL93)))</f>
        <v>326.85399999999964</v>
      </c>
      <c r="BE94" s="13">
        <f>BD94*VLOOKUP('Données projet'!$B$11,Paramètres!$A$1:$I$89,3,0)*VLOOKUP('Données projet'!$B$11,Paramètres!$A$1:$I$89,5,0)</f>
        <v>186.9604879999998</v>
      </c>
      <c r="BF94" s="13">
        <f t="shared" si="91"/>
        <v>46.867330487782262</v>
      </c>
      <c r="BG94" s="20">
        <f t="shared" si="61"/>
        <v>407.2501171995537</v>
      </c>
      <c r="BH94" s="59">
        <f t="shared" si="62"/>
        <v>700.58345053288701</v>
      </c>
      <c r="BI94" s="59">
        <f ca="1">AVERAGE(OFFSET($BH$3,0,0,'Données projet'!$E$11+1,1))-AVERAGE(OFFSET($H$3,0,0,'Données projet'!$E$11+1,1))</f>
        <v>292.09131652373259</v>
      </c>
      <c r="BJ94" s="59">
        <f t="shared" si="92"/>
        <v>200.24819245805861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38.41277615015013</v>
      </c>
      <c r="BQ94" s="21">
        <f>EXP(-LN(2)/25)*BQ93+(1-EXP(-LN(2)/25))/(LN(2)/25)*Calculateur!BL94*Calculateur!BN94*VLOOKUP('Données projet'!$B$11,Paramètres!$A$1:$I$89,3,0)*0.475*44/12</f>
        <v>22.733441800106203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61.146217950256329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-6.7984728957526396E-14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300.80663531652721</v>
      </c>
      <c r="T95" s="59">
        <f t="shared" si="88"/>
        <v>306.01967513533549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73.381806034396817</v>
      </c>
      <c r="AA95" s="21">
        <f>EXP(-LN(2)/25)*AA94+(1-EXP(-LN(2)/25))/(LN(2)/25)*Calculateur!V95*Calculateur!X95*VLOOKUP('Données projet'!$B$9,Paramètres!$A$1:$I$89,3,0)*0.475*44/12</f>
        <v>35.288956774681559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108.67076280907838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8.2910000000000021</v>
      </c>
      <c r="AI95" s="13">
        <f>IF('Données projet'!$A$62&gt;35,AI94+AH95-AQ94,IF(A95&lt;'Données projet'!$A$62,$AF$205^A95,IF(A95='Données projet'!$A$62,'Données projet'!$B$62,AI94+AH95-AQ94)))</f>
        <v>330.20800000000025</v>
      </c>
      <c r="AJ95" s="13">
        <f>AI95*VLOOKUP('Données projet'!$B$10,Paramètres!$A$1:$I$89,3,0)*VLOOKUP('Données projet'!$B$10,Paramètres!$A$1:$I$89,5,0)</f>
        <v>298.77219840000021</v>
      </c>
      <c r="AK95" s="13">
        <f t="shared" si="89"/>
        <v>70.919007696700163</v>
      </c>
      <c r="AL95" s="20">
        <f t="shared" si="58"/>
        <v>643.87885061841985</v>
      </c>
      <c r="AM95" s="59">
        <f t="shared" si="59"/>
        <v>937.2121839517531</v>
      </c>
      <c r="AN95" s="59">
        <f ca="1">AVERAGE(OFFSET($AM$3,0,0,'Données projet'!$E$10+1,1))-AVERAGE(OFFSET($H$3,0,0,'Données projet'!$E$10+1,1))</f>
        <v>581.88778927327667</v>
      </c>
      <c r="AO95" s="59">
        <f t="shared" si="90"/>
        <v>269.67340993773422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36.825286159951382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36.825286159951382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4.9040000000000017</v>
      </c>
      <c r="BD95" s="12">
        <f>IF('Données projet'!$A$88&gt;35,BD94+BC95-BL94,IF(A95&lt;'Données projet'!$A$88,$BA$205^A95,IF(A95='Données projet'!$A$88,'Données projet'!$B$88,BD94+BC95-BL94)))</f>
        <v>331.75799999999964</v>
      </c>
      <c r="BE95" s="13">
        <f>BD95*VLOOKUP('Données projet'!$B$11,Paramètres!$A$1:$I$89,3,0)*VLOOKUP('Données projet'!$B$11,Paramètres!$A$1:$I$89,5,0)</f>
        <v>189.76557599999978</v>
      </c>
      <c r="BF95" s="13">
        <f t="shared" si="91"/>
        <v>47.48812130988005</v>
      </c>
      <c r="BG95" s="20">
        <f t="shared" si="61"/>
        <v>413.21685614804073</v>
      </c>
      <c r="BH95" s="59">
        <f t="shared" si="62"/>
        <v>706.55018948137399</v>
      </c>
      <c r="BI95" s="59">
        <f ca="1">AVERAGE(OFFSET($BH$3,0,0,'Données projet'!$E$11+1,1))-AVERAGE(OFFSET($H$3,0,0,'Données projet'!$E$11+1,1))</f>
        <v>292.09131652373259</v>
      </c>
      <c r="BJ95" s="59">
        <f t="shared" si="92"/>
        <v>200.24819245805861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37.659525039325665</v>
      </c>
      <c r="BQ95" s="21">
        <f>EXP(-LN(2)/25)*BQ94+(1-EXP(-LN(2)/25))/(LN(2)/25)*Calculateur!BL95*Calculateur!BN95*VLOOKUP('Données projet'!$B$11,Paramètres!$A$1:$I$89,3,0)*0.475*44/12</f>
        <v>22.111794638582552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59.771319677908217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-6.7984728957526396E-14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300.80663531652721</v>
      </c>
      <c r="T96" s="59">
        <f t="shared" si="88"/>
        <v>306.01967513533549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71.942833576544444</v>
      </c>
      <c r="AA96" s="21">
        <f>EXP(-LN(2)/25)*AA95+(1-EXP(-LN(2)/25))/(LN(2)/25)*Calculateur!V96*Calculateur!X96*VLOOKUP('Données projet'!$B$9,Paramètres!$A$1:$I$89,3,0)*0.475*44/12</f>
        <v>34.323978395912306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106.26681197245675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8.2910000000000021</v>
      </c>
      <c r="AI96" s="13">
        <f>IF('Données projet'!$A$62&gt;35,AI95+AH96-AQ95,IF(A96&lt;'Données projet'!$A$62,$AF$205^A96,IF(A96='Données projet'!$A$62,'Données projet'!$B$62,AI95+AH96-AQ95)))</f>
        <v>338.49900000000025</v>
      </c>
      <c r="AJ96" s="13">
        <f>AI96*VLOOKUP('Données projet'!$B$10,Paramètres!$A$1:$I$89,3,0)*VLOOKUP('Données projet'!$B$10,Paramètres!$A$1:$I$89,5,0)</f>
        <v>306.27389520000025</v>
      </c>
      <c r="AK96" s="13">
        <f t="shared" si="89"/>
        <v>72.490124377904692</v>
      </c>
      <c r="AL96" s="20">
        <f t="shared" si="58"/>
        <v>659.68066743151769</v>
      </c>
      <c r="AM96" s="59">
        <f t="shared" si="59"/>
        <v>953.01400076485106</v>
      </c>
      <c r="AN96" s="59">
        <f ca="1">AVERAGE(OFFSET($AM$3,0,0,'Données projet'!$E$10+1,1))-AVERAGE(OFFSET($H$3,0,0,'Données projet'!$E$10+1,1))</f>
        <v>581.88778927327667</v>
      </c>
      <c r="AO96" s="59">
        <f t="shared" si="90"/>
        <v>269.67340993773422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36.10316475956143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36.10316475956143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4.9040000000000017</v>
      </c>
      <c r="BD96" s="12">
        <f>IF('Données projet'!$A$88&gt;35,BD95+BC96-BL95,IF(A96&lt;'Données projet'!$A$88,$BA$205^A96,IF(A96='Données projet'!$A$88,'Données projet'!$B$88,BD95+BC96-BL95)))</f>
        <v>336.66199999999964</v>
      </c>
      <c r="BE96" s="13">
        <f>BD96*VLOOKUP('Données projet'!$B$11,Paramètres!$A$1:$I$89,3,0)*VLOOKUP('Données projet'!$B$11,Paramètres!$A$1:$I$89,5,0)</f>
        <v>192.57066399999979</v>
      </c>
      <c r="BF96" s="13">
        <f t="shared" si="91"/>
        <v>48.107844871378816</v>
      </c>
      <c r="BG96" s="20">
        <f t="shared" si="61"/>
        <v>419.18173628431776</v>
      </c>
      <c r="BH96" s="59">
        <f t="shared" si="62"/>
        <v>712.51506961765108</v>
      </c>
      <c r="BI96" s="59">
        <f ca="1">AVERAGE(OFFSET($BH$3,0,0,'Données projet'!$E$11+1,1))-AVERAGE(OFFSET($H$3,0,0,'Données projet'!$E$11+1,1))</f>
        <v>292.09131652373259</v>
      </c>
      <c r="BJ96" s="59">
        <f t="shared" si="92"/>
        <v>200.24819245805861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36.921044723346661</v>
      </c>
      <c r="BQ96" s="21">
        <f>EXP(-LN(2)/25)*BQ95+(1-EXP(-LN(2)/25))/(LN(2)/25)*Calculateur!BL96*Calculateur!BN96*VLOOKUP('Données projet'!$B$11,Paramètres!$A$1:$I$89,3,0)*0.475*44/12</f>
        <v>21.507146451381768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58.428191174728425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-6.7984728957526396E-14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300.80663531652721</v>
      </c>
      <c r="T97" s="59">
        <f t="shared" si="88"/>
        <v>306.01967513533549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70.532078490904027</v>
      </c>
      <c r="AA97" s="21">
        <f>EXP(-LN(2)/25)*AA96+(1-EXP(-LN(2)/25))/(LN(2)/25)*Calculateur!V97*Calculateur!X97*VLOOKUP('Données projet'!$B$9,Paramètres!$A$1:$I$89,3,0)*0.475*44/12</f>
        <v>33.385387401656509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103.91746589256053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346.79</v>
      </c>
      <c r="AG97" s="12">
        <f>VLOOKUP(A97,'Données projet'!$A$61:$I$81,9,0)</f>
        <v>8.2910000000000021</v>
      </c>
      <c r="AH97" s="12">
        <f t="array" ref="AH97">INDEX(AG:AG,MIN(IF(ISNUMBER(AG97:AG293),ROW(AG97:AG293),"")))</f>
        <v>8.2910000000000021</v>
      </c>
      <c r="AI97" s="13">
        <f>IF('Données projet'!$A$62&gt;35,AI96+AH97-AQ96,IF(A97&lt;'Données projet'!$A$62,$AF$205^A97,IF(A97='Données projet'!$A$62,'Données projet'!$B$62,AI96+AH97-AQ96)))</f>
        <v>346.79000000000025</v>
      </c>
      <c r="AJ97" s="13">
        <f>AI97*VLOOKUP('Données projet'!$B$10,Paramètres!$A$1:$I$89,3,0)*VLOOKUP('Données projet'!$B$10,Paramètres!$A$1:$I$89,5,0)</f>
        <v>313.77559200000019</v>
      </c>
      <c r="AK97" s="13">
        <f t="shared" si="89"/>
        <v>74.056767657464533</v>
      </c>
      <c r="AL97" s="20">
        <f t="shared" si="58"/>
        <v>675.47469307008441</v>
      </c>
      <c r="AM97" s="59">
        <f t="shared" si="59"/>
        <v>968.80802640341767</v>
      </c>
      <c r="AN97" s="59">
        <f ca="1">AVERAGE(OFFSET($AM$3,0,0,'Données projet'!$E$10+1,1))-AVERAGE(OFFSET($H$3,0,0,'Données projet'!$E$10+1,1))</f>
        <v>581.88778927327667</v>
      </c>
      <c r="AO97" s="59">
        <f t="shared" si="90"/>
        <v>269.67340993773422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0.25800000000000001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51.356167505910733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51.356167505910733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4.9040000000000017</v>
      </c>
      <c r="BD97" s="12">
        <f>IF('Données projet'!$A$88&gt;35,BD96+BC97-BL96,IF(A97&lt;'Données projet'!$A$88,$BA$205^A97,IF(A97='Données projet'!$A$88,'Données projet'!$B$88,BD96+BC97-BL96)))</f>
        <v>341.56599999999963</v>
      </c>
      <c r="BE97" s="13">
        <f>BD97*VLOOKUP('Données projet'!$B$11,Paramètres!$A$1:$I$89,3,0)*VLOOKUP('Données projet'!$B$11,Paramètres!$A$1:$I$89,5,0)</f>
        <v>195.37575199999978</v>
      </c>
      <c r="BF97" s="13">
        <f t="shared" si="91"/>
        <v>48.726518514688898</v>
      </c>
      <c r="BG97" s="20">
        <f t="shared" si="61"/>
        <v>425.14478781308276</v>
      </c>
      <c r="BH97" s="59">
        <f t="shared" si="62"/>
        <v>718.47812114641602</v>
      </c>
      <c r="BI97" s="59">
        <f ca="1">AVERAGE(OFFSET($BH$3,0,0,'Données projet'!$E$11+1,1))-AVERAGE(OFFSET($H$3,0,0,'Données projet'!$E$11+1,1))</f>
        <v>292.09131652373259</v>
      </c>
      <c r="BJ97" s="59">
        <f t="shared" si="92"/>
        <v>200.24819245805861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36.197045555935489</v>
      </c>
      <c r="BQ97" s="21">
        <f>EXP(-LN(2)/25)*BQ96+(1-EXP(-LN(2)/25))/(LN(2)/25)*Calculateur!BL97*Calculateur!BN97*VLOOKUP('Données projet'!$B$11,Paramètres!$A$1:$I$89,3,0)*0.475*44/12</f>
        <v>20.919032400657056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57.116077956592548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-6.7984728957526396E-14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300.80663531652721</v>
      </c>
      <c r="T98" s="59">
        <f t="shared" si="88"/>
        <v>306.01967513533549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69.14898745201738</v>
      </c>
      <c r="AA98" s="21">
        <f>EXP(-LN(2)/25)*AA97+(1-EXP(-LN(2)/25))/(LN(2)/25)*Calculateur!V98*Calculateur!X98*VLOOKUP('Données projet'!$B$9,Paramètres!$A$1:$I$89,3,0)*0.475*44/12</f>
        <v>32.47246222749699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101.62144967951437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8.0470000000000024</v>
      </c>
      <c r="AI98" s="13">
        <f>IF('Données projet'!$A$62&gt;35,AI97+AH98-AQ97,IF(A98&lt;'Données projet'!$A$62,$AF$205^A98,IF(A98='Données projet'!$A$62,'Données projet'!$B$62,AI97+AH98-AQ97)))</f>
        <v>292.98700000000025</v>
      </c>
      <c r="AJ98" s="13">
        <f>AI98*VLOOKUP('Données projet'!$B$10,Paramètres!$A$1:$I$89,3,0)*VLOOKUP('Données projet'!$B$10,Paramètres!$A$1:$I$89,5,0)</f>
        <v>265.09463760000023</v>
      </c>
      <c r="AK98" s="13">
        <f t="shared" si="89"/>
        <v>63.807119294189917</v>
      </c>
      <c r="AL98" s="20">
        <f t="shared" si="58"/>
        <v>572.83722659071452</v>
      </c>
      <c r="AM98" s="59">
        <f t="shared" si="59"/>
        <v>866.17055992404789</v>
      </c>
      <c r="AN98" s="59">
        <f ca="1">AVERAGE(OFFSET($AM$3,0,0,'Données projet'!$E$10+1,1))-AVERAGE(OFFSET($H$3,0,0,'Données projet'!$E$10+1,1))</f>
        <v>581.88778927327667</v>
      </c>
      <c r="AO98" s="59">
        <f t="shared" si="90"/>
        <v>269.67340993773422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50.349104385288996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50.349104385288996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4.9040000000000017</v>
      </c>
      <c r="BD98" s="12">
        <f>IF('Données projet'!$A$88&gt;35,BD97+BC98-BL97,IF(A98&lt;'Données projet'!$A$88,$BA$205^A98,IF(A98='Données projet'!$A$88,'Données projet'!$B$88,BD97+BC98-BL97)))</f>
        <v>346.46999999999963</v>
      </c>
      <c r="BE98" s="13">
        <f>BD98*VLOOKUP('Données projet'!$B$11,Paramètres!$A$1:$I$89,3,0)*VLOOKUP('Données projet'!$B$11,Paramètres!$A$1:$I$89,5,0)</f>
        <v>198.18083999999979</v>
      </c>
      <c r="BF98" s="13">
        <f t="shared" si="91"/>
        <v>49.344159055640027</v>
      </c>
      <c r="BG98" s="20">
        <f t="shared" si="61"/>
        <v>431.10604002190604</v>
      </c>
      <c r="BH98" s="59">
        <f t="shared" si="62"/>
        <v>724.43937335523935</v>
      </c>
      <c r="BI98" s="59">
        <f ca="1">AVERAGE(OFFSET($BH$3,0,0,'Données projet'!$E$11+1,1))-AVERAGE(OFFSET($H$3,0,0,'Données projet'!$E$11+1,1))</f>
        <v>292.09131652373259</v>
      </c>
      <c r="BJ98" s="59">
        <f t="shared" si="92"/>
        <v>200.24819245805861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35.487243570601358</v>
      </c>
      <c r="BQ98" s="21">
        <f>EXP(-LN(2)/25)*BQ97+(1-EXP(-LN(2)/25))/(LN(2)/25)*Calculateur!BL98*Calculateur!BN98*VLOOKUP('Données projet'!$B$11,Paramètres!$A$1:$I$89,3,0)*0.475*44/12</f>
        <v>20.347000359576985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55.834243930178346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-6.7984728957526396E-14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300.80663531652721</v>
      </c>
      <c r="T99" s="59">
        <f t="shared" si="88"/>
        <v>306.01967513533549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67.793017984801054</v>
      </c>
      <c r="AA99" s="21">
        <f>EXP(-LN(2)/25)*AA98+(1-EXP(-LN(2)/25))/(LN(2)/25)*Calculateur!V99*Calculateur!X99*VLOOKUP('Données projet'!$B$9,Paramètres!$A$1:$I$89,3,0)*0.475*44/12</f>
        <v>31.584501040233512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99.377519025034559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8.0470000000000024</v>
      </c>
      <c r="AI99" s="13">
        <f>IF('Données projet'!$A$62&gt;35,AI98+AH99-AQ98,IF(A99&lt;'Données projet'!$A$62,$AF$205^A99,IF(A99='Données projet'!$A$62,'Données projet'!$B$62,AI98+AH99-AQ98)))</f>
        <v>301.03400000000028</v>
      </c>
      <c r="AJ99" s="13">
        <f>AI99*VLOOKUP('Données projet'!$B$10,Paramètres!$A$1:$I$89,3,0)*VLOOKUP('Données projet'!$B$10,Paramètres!$A$1:$I$89,5,0)</f>
        <v>272.37556320000027</v>
      </c>
      <c r="AK99" s="13">
        <f t="shared" si="89"/>
        <v>65.35316643513535</v>
      </c>
      <c r="AL99" s="20">
        <f t="shared" si="58"/>
        <v>588.21087078119456</v>
      </c>
      <c r="AM99" s="59">
        <f t="shared" si="59"/>
        <v>881.54420411452793</v>
      </c>
      <c r="AN99" s="59">
        <f ca="1">AVERAGE(OFFSET($AM$3,0,0,'Données projet'!$E$10+1,1))-AVERAGE(OFFSET($H$3,0,0,'Données projet'!$E$10+1,1))</f>
        <v>581.88778927327667</v>
      </c>
      <c r="AO99" s="59">
        <f t="shared" si="90"/>
        <v>269.67340993773422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49.361789158214798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49.361789158214798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4.9040000000000017</v>
      </c>
      <c r="BD99" s="12">
        <f>IF('Données projet'!$A$88&gt;35,BD98+BC99-BL98,IF(A99&lt;'Données projet'!$A$88,$BA$205^A99,IF(A99='Données projet'!$A$88,'Données projet'!$B$88,BD98+BC99-BL98)))</f>
        <v>351.37399999999963</v>
      </c>
      <c r="BE99" s="13">
        <f>BD99*VLOOKUP('Données projet'!$B$11,Paramètres!$A$1:$I$89,3,0)*VLOOKUP('Données projet'!$B$11,Paramètres!$A$1:$I$89,5,0)</f>
        <v>200.9859279999998</v>
      </c>
      <c r="BF99" s="13">
        <f t="shared" si="91"/>
        <v>49.960782806693125</v>
      </c>
      <c r="BG99" s="20">
        <f t="shared" si="61"/>
        <v>437.06552132165683</v>
      </c>
      <c r="BH99" s="59">
        <f t="shared" si="62"/>
        <v>730.39885465499015</v>
      </c>
      <c r="BI99" s="59">
        <f ca="1">AVERAGE(OFFSET($BH$3,0,0,'Données projet'!$E$11+1,1))-AVERAGE(OFFSET($H$3,0,0,'Données projet'!$E$11+1,1))</f>
        <v>292.09131652373259</v>
      </c>
      <c r="BJ99" s="59">
        <f t="shared" si="92"/>
        <v>200.24819245805861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34.791360369263167</v>
      </c>
      <c r="BQ99" s="21">
        <f>EXP(-LN(2)/25)*BQ98+(1-EXP(-LN(2)/25))/(LN(2)/25)*Calculateur!BL99*Calculateur!BN99*VLOOKUP('Données projet'!$B$11,Paramètres!$A$1:$I$89,3,0)*0.475*44/12</f>
        <v>19.790610564742106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54.58197093400527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-6.7984728957526396E-14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300.80663531652721</v>
      </c>
      <c r="T100" s="59">
        <f t="shared" si="88"/>
        <v>306.01967513533549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66.463638251777141</v>
      </c>
      <c r="AA100" s="21">
        <f>EXP(-LN(2)/25)*AA99+(1-EXP(-LN(2)/25))/(LN(2)/25)*Calculateur!V100*Calculateur!X100*VLOOKUP('Données projet'!$B$9,Paramètres!$A$1:$I$89,3,0)*0.475*44/12</f>
        <v>30.720821198331603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97.184459450108747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8.0470000000000024</v>
      </c>
      <c r="AI100" s="13">
        <f>IF('Données projet'!$A$62&gt;35,AI99+AH100-AQ99,IF(A100&lt;'Données projet'!$A$62,$AF$205^A100,IF(A100='Données projet'!$A$62,'Données projet'!$B$62,AI99+AH100-AQ99)))</f>
        <v>309.0810000000003</v>
      </c>
      <c r="AJ100" s="13">
        <f>AI100*VLOOKUP('Données projet'!$B$10,Paramètres!$A$1:$I$89,3,0)*VLOOKUP('Données projet'!$B$10,Paramètres!$A$1:$I$89,5,0)</f>
        <v>279.65648880000026</v>
      </c>
      <c r="AK100" s="13">
        <f t="shared" si="89"/>
        <v>66.894409904113928</v>
      </c>
      <c r="AL100" s="20">
        <f t="shared" si="58"/>
        <v>603.57614857633223</v>
      </c>
      <c r="AM100" s="59">
        <f t="shared" si="59"/>
        <v>896.9094819096656</v>
      </c>
      <c r="AN100" s="59">
        <f ca="1">AVERAGE(OFFSET($AM$3,0,0,'Données projet'!$E$10+1,1))-AVERAGE(OFFSET($H$3,0,0,'Données projet'!$E$10+1,1))</f>
        <v>581.88778927327667</v>
      </c>
      <c r="AO100" s="59">
        <f t="shared" si="90"/>
        <v>269.67340993773422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48.393834580540698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48.393834580540698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4.9040000000000017</v>
      </c>
      <c r="BD100" s="12">
        <f>IF('Données projet'!$A$88&gt;35,BD99+BC100-BL99,IF(A100&lt;'Données projet'!$A$88,$BA$205^A100,IF(A100='Données projet'!$A$88,'Données projet'!$B$88,BD99+BC100-BL99)))</f>
        <v>356.27799999999962</v>
      </c>
      <c r="BE100" s="13">
        <f>BD100*VLOOKUP('Données projet'!$B$11,Paramètres!$A$1:$I$89,3,0)*VLOOKUP('Données projet'!$B$11,Paramètres!$A$1:$I$89,5,0)</f>
        <v>203.79101599999981</v>
      </c>
      <c r="BF100" s="13">
        <f t="shared" si="91"/>
        <v>50.576405598819029</v>
      </c>
      <c r="BG100" s="20">
        <f t="shared" si="61"/>
        <v>443.02325928460942</v>
      </c>
      <c r="BH100" s="59">
        <f t="shared" si="62"/>
        <v>736.35659261794274</v>
      </c>
      <c r="BI100" s="59">
        <f ca="1">AVERAGE(OFFSET($BH$3,0,0,'Données projet'!$E$11+1,1))-AVERAGE(OFFSET($H$3,0,0,'Données projet'!$E$11+1,1))</f>
        <v>292.09131652373259</v>
      </c>
      <c r="BJ100" s="59">
        <f t="shared" si="92"/>
        <v>200.24819245805861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34.109123013056376</v>
      </c>
      <c r="BQ100" s="21">
        <f>EXP(-LN(2)/25)*BQ99+(1-EXP(-LN(2)/25))/(LN(2)/25)*Calculateur!BL100*Calculateur!BN100*VLOOKUP('Données projet'!$B$11,Paramètres!$A$1:$I$89,3,0)*0.475*44/12</f>
        <v>19.249435278106255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53.35855829116263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-6.7984728957526396E-14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300.80663531652721</v>
      </c>
      <c r="T101" s="59">
        <f t="shared" si="88"/>
        <v>306.01967513533549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65.160326844476245</v>
      </c>
      <c r="AA101" s="21">
        <f>EXP(-LN(2)/25)*AA100+(1-EXP(-LN(2)/25))/(LN(2)/25)*Calculateur!V101*Calculateur!X101*VLOOKUP('Données projet'!$B$9,Paramètres!$A$1:$I$89,3,0)*0.475*44/12</f>
        <v>29.88075872712545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95.041085571601698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8.0470000000000024</v>
      </c>
      <c r="AI101" s="13">
        <f>IF('Données projet'!$A$62&gt;35,AI100+AH101-AQ100,IF(A101&lt;'Données projet'!$A$62,$AF$205^A101,IF(A101='Données projet'!$A$62,'Données projet'!$B$62,AI100+AH101-AQ100)))</f>
        <v>317.12800000000033</v>
      </c>
      <c r="AJ101" s="13">
        <f>AI101*VLOOKUP('Données projet'!$B$10,Paramètres!$A$1:$I$89,3,0)*VLOOKUP('Données projet'!$B$10,Paramètres!$A$1:$I$89,5,0)</f>
        <v>286.93741440000031</v>
      </c>
      <c r="AK101" s="13">
        <f t="shared" si="89"/>
        <v>68.430989143985158</v>
      </c>
      <c r="AL101" s="20">
        <f t="shared" si="58"/>
        <v>618.93330283910791</v>
      </c>
      <c r="AM101" s="59">
        <f t="shared" si="59"/>
        <v>912.26663617244117</v>
      </c>
      <c r="AN101" s="59">
        <f ca="1">AVERAGE(OFFSET($AM$3,0,0,'Données projet'!$E$10+1,1))-AVERAGE(OFFSET($H$3,0,0,'Données projet'!$E$10+1,1))</f>
        <v>581.88778927327667</v>
      </c>
      <c r="AO101" s="59">
        <f t="shared" si="90"/>
        <v>269.67340993773422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47.444861001740797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47.444861001740797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4.9040000000000017</v>
      </c>
      <c r="BD101" s="12">
        <f>IF('Données projet'!$A$88&gt;35,BD100+BC101-BL100,IF(A101&lt;'Données projet'!$A$88,$BA$205^A101,IF(A101='Données projet'!$A$88,'Données projet'!$B$88,BD100+BC101-BL100)))</f>
        <v>361.18199999999962</v>
      </c>
      <c r="BE101" s="13">
        <f>BD101*VLOOKUP('Données projet'!$B$11,Paramètres!$A$1:$I$89,3,0)*VLOOKUP('Données projet'!$B$11,Paramètres!$A$1:$I$89,5,0)</f>
        <v>206.5961039999998</v>
      </c>
      <c r="BF101" s="13">
        <f t="shared" si="91"/>
        <v>51.191042802138277</v>
      </c>
      <c r="BG101" s="20">
        <f t="shared" si="61"/>
        <v>448.97928068039045</v>
      </c>
      <c r="BH101" s="59">
        <f t="shared" si="62"/>
        <v>742.31261401372376</v>
      </c>
      <c r="BI101" s="59">
        <f ca="1">AVERAGE(OFFSET($BH$3,0,0,'Données projet'!$E$11+1,1))-AVERAGE(OFFSET($H$3,0,0,'Données projet'!$E$11+1,1))</f>
        <v>292.09131652373259</v>
      </c>
      <c r="BJ101" s="59">
        <f t="shared" si="92"/>
        <v>200.24819245805861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33.440263915281101</v>
      </c>
      <c r="BQ101" s="21">
        <f>EXP(-LN(2)/25)*BQ100+(1-EXP(-LN(2)/25))/(LN(2)/25)*Calculateur!BL101*Calculateur!BN101*VLOOKUP('Données projet'!$B$11,Paramètres!$A$1:$I$89,3,0)*0.475*44/12</f>
        <v>18.723058458142631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52.163322373423732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-6.7984728957526396E-14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300.80663531652721</v>
      </c>
      <c r="T102" s="59">
        <f t="shared" si="88"/>
        <v>306.01967513533549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63.882572578931061</v>
      </c>
      <c r="AA102" s="21">
        <f>EXP(-LN(2)/25)*AA101+(1-EXP(-LN(2)/25))/(LN(2)/25)*Calculateur!V102*Calculateur!X102*VLOOKUP('Données projet'!$B$9,Paramètres!$A$1:$I$89,3,0)*0.475*44/12</f>
        <v>29.063667808371395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92.946240387302453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8.0470000000000024</v>
      </c>
      <c r="AI102" s="13">
        <f>IF('Données projet'!$A$62&gt;35,AI101+AH102-AQ101,IF(A102&lt;'Données projet'!$A$62,$AF$205^A102,IF(A102='Données projet'!$A$62,'Données projet'!$B$62,AI101+AH102-AQ101)))</f>
        <v>325.17500000000035</v>
      </c>
      <c r="AJ102" s="13">
        <f>AI102*VLOOKUP('Données projet'!$B$10,Paramètres!$A$1:$I$89,3,0)*VLOOKUP('Données projet'!$B$10,Paramètres!$A$1:$I$89,5,0)</f>
        <v>294.2183400000003</v>
      </c>
      <c r="AK102" s="13">
        <f t="shared" si="89"/>
        <v>69.963036117759913</v>
      </c>
      <c r="AL102" s="20">
        <f t="shared" si="58"/>
        <v>634.28256340509904</v>
      </c>
      <c r="AM102" s="59">
        <f t="shared" si="59"/>
        <v>927.61589673843241</v>
      </c>
      <c r="AN102" s="59">
        <f ca="1">AVERAGE(OFFSET($AM$3,0,0,'Données projet'!$E$10+1,1))-AVERAGE(OFFSET($H$3,0,0,'Données projet'!$E$10+1,1))</f>
        <v>581.88778927327667</v>
      </c>
      <c r="AO102" s="59">
        <f t="shared" si="90"/>
        <v>269.67340993773422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46.514496216004432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46.514496216004432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4.9040000000000017</v>
      </c>
      <c r="BD102" s="12">
        <f>IF('Données projet'!$A$88&gt;35,BD101+BC102-BL101,IF(A102&lt;'Données projet'!$A$88,$BA$205^A102,IF(A102='Données projet'!$A$88,'Données projet'!$B$88,BD101+BC102-BL101)))</f>
        <v>366.08599999999961</v>
      </c>
      <c r="BE102" s="13">
        <f>BD102*VLOOKUP('Données projet'!$B$11,Paramètres!$A$1:$I$89,3,0)*VLOOKUP('Données projet'!$B$11,Paramètres!$A$1:$I$89,5,0)</f>
        <v>209.40119199999981</v>
      </c>
      <c r="BF102" s="13">
        <f t="shared" si="91"/>
        <v>51.804709345408305</v>
      </c>
      <c r="BG102" s="20">
        <f t="shared" si="61"/>
        <v>454.93361150991905</v>
      </c>
      <c r="BH102" s="59">
        <f t="shared" si="62"/>
        <v>748.2669448432523</v>
      </c>
      <c r="BI102" s="59">
        <f ca="1">AVERAGE(OFFSET($BH$3,0,0,'Données projet'!$E$11+1,1))-AVERAGE(OFFSET($H$3,0,0,'Données projet'!$E$11+1,1))</f>
        <v>292.09131652373259</v>
      </c>
      <c r="BJ102" s="59">
        <f t="shared" si="92"/>
        <v>200.24819245805861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32.784520736449437</v>
      </c>
      <c r="BQ102" s="21">
        <f>EXP(-LN(2)/25)*BQ101+(1-EXP(-LN(2)/25))/(LN(2)/25)*Calculateur!BL102*Calculateur!BN102*VLOOKUP('Données projet'!$B$11,Paramètres!$A$1:$I$89,3,0)*0.475*44/12</f>
        <v>18.211075440001871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50.995596176451308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-6.7984728957526396E-14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300.80663531652721</v>
      </c>
      <c r="T103" s="59">
        <f t="shared" si="88"/>
        <v>306.01967513533549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62.629874295180066</v>
      </c>
      <c r="AA103" s="21">
        <f>EXP(-LN(2)/25)*AA102+(1-EXP(-LN(2)/25))/(LN(2)/25)*Calculateur!V103*Calculateur!X103*VLOOKUP('Données projet'!$B$9,Paramètres!$A$1:$I$89,3,0)*0.475*44/12</f>
        <v>28.268920283759616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90.898794578939686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8.0470000000000024</v>
      </c>
      <c r="AI103" s="13">
        <f>IF('Données projet'!$A$62&gt;35,AI102+AH103-AQ102,IF(A103&lt;'Données projet'!$A$62,$AF$205^A103,IF(A103='Données projet'!$A$62,'Données projet'!$B$62,AI102+AH103-AQ102)))</f>
        <v>333.22200000000038</v>
      </c>
      <c r="AJ103" s="13">
        <f>AI103*VLOOKUP('Données projet'!$B$10,Paramètres!$A$1:$I$89,3,0)*VLOOKUP('Données projet'!$B$10,Paramètres!$A$1:$I$89,5,0)</f>
        <v>301.49926560000034</v>
      </c>
      <c r="AK103" s="13">
        <f t="shared" si="89"/>
        <v>71.490675884857296</v>
      </c>
      <c r="AL103" s="20">
        <f t="shared" si="58"/>
        <v>649.62414808612709</v>
      </c>
      <c r="AM103" s="59">
        <f t="shared" si="59"/>
        <v>942.95748141946046</v>
      </c>
      <c r="AN103" s="59">
        <f ca="1">AVERAGE(OFFSET($AM$3,0,0,'Données projet'!$E$10+1,1))-AVERAGE(OFFSET($H$3,0,0,'Données projet'!$E$10+1,1))</f>
        <v>581.88778927327667</v>
      </c>
      <c r="AO103" s="59">
        <f t="shared" si="90"/>
        <v>269.67340993773422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45.602375316249869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45.602375316249869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370.99</v>
      </c>
      <c r="BB103" s="12">
        <f>VLOOKUP(A103,'Données projet'!$A$87:$I$107,9,0)</f>
        <v>4.9040000000000017</v>
      </c>
      <c r="BC103" s="12">
        <f t="array" ref="BC103">INDEX(BB:BB,MIN(IF(ISNUMBER(BB103:BB299),ROW(BB103:BB299),"")))</f>
        <v>4.9040000000000017</v>
      </c>
      <c r="BD103" s="12">
        <f>IF('Données projet'!$A$88&gt;35,BD102+BC103-BL102,IF(A103&lt;'Données projet'!$A$88,$BA$205^A103,IF(A103='Données projet'!$A$88,'Données projet'!$B$88,BD102+BC103-BL102)))</f>
        <v>370.98999999999961</v>
      </c>
      <c r="BE103" s="13">
        <f>BD103*VLOOKUP('Données projet'!$B$11,Paramètres!$A$1:$I$89,3,0)*VLOOKUP('Données projet'!$B$11,Paramètres!$A$1:$I$89,5,0)</f>
        <v>212.20627999999979</v>
      </c>
      <c r="BF103" s="13">
        <f t="shared" si="91"/>
        <v>52.41741973443682</v>
      </c>
      <c r="BG103" s="20">
        <f t="shared" si="61"/>
        <v>460.8862770374771</v>
      </c>
      <c r="BH103" s="59">
        <f t="shared" si="62"/>
        <v>754.21961037081041</v>
      </c>
      <c r="BI103" s="59">
        <f ca="1">AVERAGE(OFFSET($BH$3,0,0,'Données projet'!$E$11+1,1))-AVERAGE(OFFSET($H$3,0,0,'Données projet'!$E$11+1,1))</f>
        <v>292.09131652373259</v>
      </c>
      <c r="BJ103" s="59">
        <f t="shared" si="92"/>
        <v>200.24819245805861</v>
      </c>
      <c r="BK103" s="15">
        <f>IF(ISNA(VLOOKUP(A103,'Données projet'!$A$87:$I$107,3,0)),0,VLOOKUP(A103,'Données projet'!$A$87:$I$107,3,0))</f>
        <v>10</v>
      </c>
      <c r="BL103" s="15">
        <f>IF(ISNA(VLOOKUP(A103,'Données projet'!$A$87:$I$107,4,0)),0,VLOOKUP(A103,'Données projet'!$A$87:$I$107,4,0))</f>
        <v>219.7</v>
      </c>
      <c r="BM103" s="16">
        <f>IF(ISNA(VLOOKUP(A103,'Données projet'!$A$87:$I$107,5,0)),0%,VLOOKUP(A103,'Données projet'!$A$87:$I$107,5,0)*VLOOKUP('Données projet'!$B$11,Paramètres!$A$1:$I$89,7,0))</f>
        <v>0.315</v>
      </c>
      <c r="BN103" s="16">
        <f>IF(ISNA(VLOOKUP(A103,'Données projet'!$A$87:$I$107,6,0)),0%,VLOOKUP(A103,'Données projet'!$A$87:$I$107,6,0)*VLOOKUP('Données projet'!$B$11,Paramètres!$A$1:$I$89,7,0))</f>
        <v>0.13500000000000001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84.654414554157682</v>
      </c>
      <c r="BQ103" s="21">
        <f>EXP(-LN(2)/25)*BQ102+(1-EXP(-LN(2)/25))/(LN(2)/25)*Calculateur!BL103*Calculateur!BN103*VLOOKUP('Données projet'!$B$11,Paramètres!$A$1:$I$89,3,0)*0.475*44/12</f>
        <v>40.129956391174666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124.78437094533234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-6.7984728957526396E-14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300.80663531652721</v>
      </c>
      <c r="T104" s="59">
        <f t="shared" si="88"/>
        <v>306.01967513533549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61.401740660702927</v>
      </c>
      <c r="AA104" s="21">
        <f>EXP(-LN(2)/25)*AA103+(1-EXP(-LN(2)/25))/(LN(2)/25)*Calculateur!V104*Calculateur!X104*VLOOKUP('Données projet'!$B$9,Paramètres!$A$1:$I$89,3,0)*0.475*44/12</f>
        <v>27.495905172002303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88.897645832705223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8.0470000000000024</v>
      </c>
      <c r="AI104" s="13">
        <f>IF('Données projet'!$A$62&gt;35,AI103+AH104-AQ103,IF(A104&lt;'Données projet'!$A$62,$AF$205^A104,IF(A104='Données projet'!$A$62,'Données projet'!$B$62,AI103+AH104-AQ103)))</f>
        <v>341.2690000000004</v>
      </c>
      <c r="AJ104" s="13">
        <f>AI104*VLOOKUP('Données projet'!$B$10,Paramètres!$A$1:$I$89,3,0)*VLOOKUP('Données projet'!$B$10,Paramètres!$A$1:$I$89,5,0)</f>
        <v>308.78019120000033</v>
      </c>
      <c r="AK104" s="13">
        <f t="shared" si="89"/>
        <v>73.014027120130123</v>
      </c>
      <c r="AL104" s="20">
        <f t="shared" si="58"/>
        <v>664.95826357422709</v>
      </c>
      <c r="AM104" s="59">
        <f t="shared" si="59"/>
        <v>958.29159690756046</v>
      </c>
      <c r="AN104" s="59">
        <f ca="1">AVERAGE(OFFSET($AM$3,0,0,'Données projet'!$E$10+1,1))-AVERAGE(OFFSET($H$3,0,0,'Données projet'!$E$10+1,1))</f>
        <v>581.88778927327667</v>
      </c>
      <c r="AO104" s="59">
        <f t="shared" si="90"/>
        <v>269.67340993773422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44.708140551000682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44.708140551000682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2.4533333333333283</v>
      </c>
      <c r="BD104" s="12">
        <f>IF('Données projet'!$A$88&gt;35,BD103+BC104-BL103,IF(A104&lt;'Données projet'!$A$88,$BA$205^A104,IF(A104='Données projet'!$A$88,'Données projet'!$B$88,BD103+BC104-BL103)))</f>
        <v>153.74333333333294</v>
      </c>
      <c r="BE104" s="13">
        <f>BD104*VLOOKUP('Données projet'!$B$11,Paramètres!$A$1:$I$89,3,0)*VLOOKUP('Données projet'!$B$11,Paramètres!$A$1:$I$89,5,0)</f>
        <v>87.941186666666439</v>
      </c>
      <c r="BF104" s="13">
        <f t="shared" si="91"/>
        <v>24.068022025959962</v>
      </c>
      <c r="BG104" s="20">
        <f t="shared" si="61"/>
        <v>195.08270513965763</v>
      </c>
      <c r="BH104" s="59">
        <f t="shared" si="62"/>
        <v>488.41603847299098</v>
      </c>
      <c r="BI104" s="59">
        <f ca="1">AVERAGE(OFFSET($BH$3,0,0,'Données projet'!$E$11+1,1))-AVERAGE(OFFSET($H$3,0,0,'Données projet'!$E$11+1,1))</f>
        <v>292.09131652373259</v>
      </c>
      <c r="BJ104" s="59">
        <f t="shared" si="92"/>
        <v>200.24819245805861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82.994393118845082</v>
      </c>
      <c r="BQ104" s="21">
        <f>EXP(-LN(2)/25)*BQ103+(1-EXP(-LN(2)/25))/(LN(2)/25)*Calculateur!BL104*Calculateur!BN104*VLOOKUP('Données projet'!$B$11,Paramètres!$A$1:$I$89,3,0)*0.475*44/12</f>
        <v>39.032600623315304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122.02699374216039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-6.7984728957526396E-14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300.80663531652721</v>
      </c>
      <c r="T105" s="59">
        <f t="shared" si="88"/>
        <v>306.01967513533549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60.197689977710333</v>
      </c>
      <c r="AA105" s="21">
        <f>EXP(-LN(2)/25)*AA104+(1-EXP(-LN(2)/25))/(LN(2)/25)*Calculateur!V105*Calculateur!X105*VLOOKUP('Données projet'!$B$9,Paramètres!$A$1:$I$89,3,0)*0.475*44/12</f>
        <v>26.74402819912709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86.941718176837426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8.0470000000000024</v>
      </c>
      <c r="AI105" s="13">
        <f>IF('Données projet'!$A$62&gt;35,AI104+AH105-AQ104,IF(A105&lt;'Données projet'!$A$62,$AF$205^A105,IF(A105='Données projet'!$A$62,'Données projet'!$B$62,AI104+AH105-AQ104)))</f>
        <v>349.31600000000043</v>
      </c>
      <c r="AJ105" s="13">
        <f>AI105*VLOOKUP('Données projet'!$B$10,Paramètres!$A$1:$I$89,3,0)*VLOOKUP('Données projet'!$B$10,Paramètres!$A$1:$I$89,5,0)</f>
        <v>316.06111680000038</v>
      </c>
      <c r="AK105" s="13">
        <f t="shared" si="89"/>
        <v>74.533202582557081</v>
      </c>
      <c r="AL105" s="20">
        <f t="shared" si="58"/>
        <v>680.28510625795423</v>
      </c>
      <c r="AM105" s="59">
        <f t="shared" si="59"/>
        <v>973.6184395912876</v>
      </c>
      <c r="AN105" s="59">
        <f ca="1">AVERAGE(OFFSET($AM$3,0,0,'Données projet'!$E$10+1,1))-AVERAGE(OFFSET($H$3,0,0,'Données projet'!$E$10+1,1))</f>
        <v>581.88778927327667</v>
      </c>
      <c r="AO105" s="59">
        <f t="shared" si="90"/>
        <v>269.67340993773422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43.83144118406868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43.83144118406868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2.4533333333333283</v>
      </c>
      <c r="BD105" s="12">
        <f>IF('Données projet'!$A$88&gt;35,BD104+BC105-BL104,IF(A105&lt;'Données projet'!$A$88,$BA$205^A105,IF(A105='Données projet'!$A$88,'Données projet'!$B$88,BD104+BC105-BL104)))</f>
        <v>156.19666666666626</v>
      </c>
      <c r="BE105" s="13">
        <f>BD105*VLOOKUP('Données projet'!$B$11,Paramètres!$A$1:$I$89,3,0)*VLOOKUP('Données projet'!$B$11,Paramètres!$A$1:$I$89,5,0)</f>
        <v>89.344493333333105</v>
      </c>
      <c r="BF105" s="13">
        <f t="shared" si="91"/>
        <v>24.407065373658249</v>
      </c>
      <c r="BG105" s="20">
        <f t="shared" si="61"/>
        <v>198.11729808134328</v>
      </c>
      <c r="BH105" s="59">
        <f t="shared" si="62"/>
        <v>491.45063141467659</v>
      </c>
      <c r="BI105" s="59">
        <f ca="1">AVERAGE(OFFSET($BH$3,0,0,'Données projet'!$E$11+1,1))-AVERAGE(OFFSET($H$3,0,0,'Données projet'!$E$11+1,1))</f>
        <v>292.09131652373259</v>
      </c>
      <c r="BJ105" s="59">
        <f t="shared" si="92"/>
        <v>200.24819245805861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81.366923691365869</v>
      </c>
      <c r="BQ105" s="21">
        <f>EXP(-LN(2)/25)*BQ104+(1-EXP(-LN(2)/25))/(LN(2)/25)*Calculateur!BL105*Calculateur!BN105*VLOOKUP('Données projet'!$B$11,Paramètres!$A$1:$I$89,3,0)*0.475*44/12</f>
        <v>37.965252106635489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119.33217579800136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-6.7984728957526396E-14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300.80663531652721</v>
      </c>
      <c r="T106" s="59">
        <f t="shared" si="88"/>
        <v>306.01967513533549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59.017249994212818</v>
      </c>
      <c r="AA106" s="21">
        <f>EXP(-LN(2)/25)*AA105+(1-EXP(-LN(2)/25))/(LN(2)/25)*Calculateur!V106*Calculateur!X106*VLOOKUP('Données projet'!$B$9,Paramètres!$A$1:$I$89,3,0)*0.475*44/12</f>
        <v>26.01271134161464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85.029961335827466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8.0470000000000024</v>
      </c>
      <c r="AI106" s="13">
        <f>IF('Données projet'!$A$62&gt;35,AI105+AH106-AQ105,IF(A106&lt;'Données projet'!$A$62,$AF$205^A106,IF(A106='Données projet'!$A$62,'Données projet'!$B$62,AI105+AH106-AQ105)))</f>
        <v>357.36300000000045</v>
      </c>
      <c r="AJ106" s="13">
        <f>AI106*VLOOKUP('Données projet'!$B$10,Paramètres!$A$1:$I$89,3,0)*VLOOKUP('Données projet'!$B$10,Paramètres!$A$1:$I$89,5,0)</f>
        <v>323.34204240000037</v>
      </c>
      <c r="AK106" s="13">
        <f t="shared" si="89"/>
        <v>76.048309539529996</v>
      </c>
      <c r="AL106" s="20">
        <f t="shared" si="58"/>
        <v>695.60486296134877</v>
      </c>
      <c r="AM106" s="59">
        <f t="shared" si="59"/>
        <v>988.93819629468203</v>
      </c>
      <c r="AN106" s="59">
        <f ca="1">AVERAGE(OFFSET($AM$3,0,0,'Données projet'!$E$10+1,1))-AVERAGE(OFFSET($H$3,0,0,'Données projet'!$E$10+1,1))</f>
        <v>581.88778927327667</v>
      </c>
      <c r="AO106" s="59">
        <f t="shared" si="90"/>
        <v>269.67340993773422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42.971933356988401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42.971933356988401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158.65</v>
      </c>
      <c r="BB106" s="12">
        <f>VLOOKUP(A106,'Données projet'!$A$87:$I$107,9,0)</f>
        <v>2.4533333333333283</v>
      </c>
      <c r="BC106" s="12">
        <f t="array" ref="BC106">INDEX(BB:BB,MIN(IF(ISNUMBER(BB106:BB302),ROW(BB106:BB302),"")))</f>
        <v>2.4533333333333283</v>
      </c>
      <c r="BD106" s="12">
        <f>IF('Données projet'!$A$88&gt;35,BD105+BC106-BL105,IF(A106&lt;'Données projet'!$A$88,$BA$205^A106,IF(A106='Données projet'!$A$88,'Données projet'!$B$88,BD105+BC106-BL105)))</f>
        <v>158.64999999999958</v>
      </c>
      <c r="BE106" s="13">
        <f>BD106*VLOOKUP('Données projet'!$B$11,Paramètres!$A$1:$I$89,3,0)*VLOOKUP('Données projet'!$B$11,Paramètres!$A$1:$I$89,5,0)</f>
        <v>90.747799999999756</v>
      </c>
      <c r="BF106" s="13">
        <f t="shared" si="91"/>
        <v>24.7454894015844</v>
      </c>
      <c r="BG106" s="20">
        <f t="shared" si="61"/>
        <v>201.15081237442573</v>
      </c>
      <c r="BH106" s="59">
        <f t="shared" si="62"/>
        <v>494.48414570775901</v>
      </c>
      <c r="BI106" s="59">
        <f ca="1">AVERAGE(OFFSET($BH$3,0,0,'Données projet'!$E$11+1,1))-AVERAGE(OFFSET($H$3,0,0,'Données projet'!$E$11+1,1))</f>
        <v>292.09131652373259</v>
      </c>
      <c r="BJ106" s="59">
        <f t="shared" si="92"/>
        <v>200.24819245805861</v>
      </c>
      <c r="BK106" s="15">
        <f>IF(ISNA(VLOOKUP(A106,'Données projet'!$A$87:$I$107,3,0)),0,VLOOKUP(A106,'Données projet'!$A$87:$I$107,3,0))</f>
        <v>11</v>
      </c>
      <c r="BL106" s="15">
        <f>IF(ISNA(VLOOKUP(A106,'Données projet'!$A$87:$I$107,4,0)),0,VLOOKUP(A106,'Données projet'!$A$87:$I$107,4,0))</f>
        <v>158.65</v>
      </c>
      <c r="BM106" s="16">
        <f>IF(ISNA(VLOOKUP(A106,'Données projet'!$A$87:$I$107,5,0)),0%,VLOOKUP(A106,'Données projet'!$A$87:$I$107,5,0)*VLOOKUP('Données projet'!$B$11,Paramètres!$A$1:$I$89,7,0))</f>
        <v>0.315</v>
      </c>
      <c r="BN106" s="16">
        <f>IF(ISNA(VLOOKUP(A106,'Données projet'!$A$87:$I$107,6,0)),0%,VLOOKUP(A106,'Données projet'!$A$87:$I$107,6,0)*VLOOKUP('Données projet'!$B$11,Paramètres!$A$1:$I$89,7,0))</f>
        <v>0.13500000000000001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117.69195180184212</v>
      </c>
      <c r="BQ106" s="21">
        <f>EXP(-LN(2)/25)*BQ105+(1-EXP(-LN(2)/25))/(LN(2)/25)*Calculateur!BL106*Calculateur!BN106*VLOOKUP('Données projet'!$B$11,Paramètres!$A$1:$I$89,3,0)*0.475*44/12</f>
        <v>53.114780034542861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170.80673183638498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-6.7984728957526396E-14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300.80663531652721</v>
      </c>
      <c r="T107" s="59">
        <f t="shared" si="88"/>
        <v>306.01967513533549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57.859957718794398</v>
      </c>
      <c r="AA107" s="21">
        <f>EXP(-LN(2)/25)*AA106+(1-EXP(-LN(2)/25))/(LN(2)/25)*Calculateur!V107*Calculateur!X107*VLOOKUP('Données projet'!$B$9,Paramètres!$A$1:$I$89,3,0)*0.475*44/12</f>
        <v>25.30139238202915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83.16135010082354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365.41</v>
      </c>
      <c r="AG107" s="12">
        <f>VLOOKUP(A107,'Données projet'!$A$61:$I$81,9,0)</f>
        <v>8.0470000000000024</v>
      </c>
      <c r="AH107" s="12">
        <f t="array" ref="AH107">INDEX(AG:AG,MIN(IF(ISNUMBER(AG107:AG303),ROW(AG107:AG303),"")))</f>
        <v>8.0470000000000024</v>
      </c>
      <c r="AI107" s="13">
        <f>IF('Données projet'!$A$62&gt;35,AI106+AH107-AQ106,IF(A107&lt;'Données projet'!$A$62,$AF$205^A107,IF(A107='Données projet'!$A$62,'Données projet'!$B$62,AI106+AH107-AQ106)))</f>
        <v>365.41000000000048</v>
      </c>
      <c r="AJ107" s="13">
        <f>AI107*VLOOKUP('Données projet'!$B$10,Paramètres!$A$1:$I$89,3,0)*VLOOKUP('Données projet'!$B$10,Paramètres!$A$1:$I$89,5,0)</f>
        <v>330.62296800000041</v>
      </c>
      <c r="AK107" s="13">
        <f t="shared" si="89"/>
        <v>77.559450151847827</v>
      </c>
      <c r="AL107" s="20">
        <f t="shared" si="58"/>
        <v>710.91771161446911</v>
      </c>
      <c r="AM107" s="59">
        <f t="shared" si="59"/>
        <v>1004.2510449478025</v>
      </c>
      <c r="AN107" s="59">
        <f ca="1">AVERAGE(OFFSET($AM$3,0,0,'Données projet'!$E$10+1,1))-AVERAGE(OFFSET($H$3,0,0,'Données projet'!$E$10+1,1))</f>
        <v>581.88778927327667</v>
      </c>
      <c r="AO107" s="59">
        <f t="shared" si="90"/>
        <v>269.67340993773422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0.25800000000000001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57.661865407845688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57.661865407845688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-4.2632564145606011E-13</v>
      </c>
      <c r="BE107" s="13">
        <f>BD107*VLOOKUP('Données projet'!$B$11,Paramètres!$A$1:$I$89,3,0)*VLOOKUP('Données projet'!$B$11,Paramètres!$A$1:$I$89,5,0)</f>
        <v>-2.4385826691286639E-13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292.09131652373259</v>
      </c>
      <c r="BJ107" s="59">
        <f t="shared" si="92"/>
        <v>200.24819245805861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115.38408441201042</v>
      </c>
      <c r="BQ107" s="21">
        <f>EXP(-LN(2)/25)*BQ106+(1-EXP(-LN(2)/25))/(LN(2)/25)*Calculateur!BL107*Calculateur!BN107*VLOOKUP('Données projet'!$B$11,Paramètres!$A$1:$I$89,3,0)*0.475*44/12</f>
        <v>51.662353581313397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167.04643799332382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-6.7984728957526396E-14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300.80663531652721</v>
      </c>
      <c r="T108" s="59">
        <f t="shared" si="88"/>
        <v>306.01967513533549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56.725359239018346</v>
      </c>
      <c r="AA108" s="21">
        <f>EXP(-LN(2)/25)*AA107+(1-EXP(-LN(2)/25))/(LN(2)/25)*Calculateur!V108*Calculateur!X108*VLOOKUP('Données projet'!$B$9,Paramètres!$A$1:$I$89,3,0)*0.475*44/12</f>
        <v>24.609524476800164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81.334883715818506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7.9349999999999969</v>
      </c>
      <c r="AI108" s="13">
        <f>IF('Données projet'!$A$62&gt;35,AI107+AH108-AQ107,IF(A108&lt;'Données projet'!$A$62,$AF$205^A108,IF(A108='Données projet'!$A$62,'Données projet'!$B$62,AI107+AH108-AQ107)))</f>
        <v>313.15500000000048</v>
      </c>
      <c r="AJ108" s="13">
        <f>AI108*VLOOKUP('Données projet'!$B$10,Paramètres!$A$1:$I$89,3,0)*VLOOKUP('Données projet'!$B$10,Paramètres!$A$1:$I$89,5,0)</f>
        <v>283.34264400000046</v>
      </c>
      <c r="AK108" s="13">
        <f t="shared" si="89"/>
        <v>67.672917015543916</v>
      </c>
      <c r="AL108" s="20">
        <f t="shared" si="58"/>
        <v>611.3521021020731</v>
      </c>
      <c r="AM108" s="59">
        <f t="shared" si="59"/>
        <v>904.68543543540636</v>
      </c>
      <c r="AN108" s="59">
        <f ca="1">AVERAGE(OFFSET($AM$3,0,0,'Données projet'!$E$10+1,1))-AVERAGE(OFFSET($H$3,0,0,'Données projet'!$E$10+1,1))</f>
        <v>581.88778927327667</v>
      </c>
      <c r="AO108" s="59">
        <f t="shared" si="90"/>
        <v>269.67340993773422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56.531151397462956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56.531151397462956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-4.2632564145606011E-13</v>
      </c>
      <c r="BE108" s="13">
        <f>BD108*VLOOKUP('Données projet'!$B$11,Paramètres!$A$1:$I$89,3,0)*VLOOKUP('Données projet'!$B$11,Paramètres!$A$1:$I$89,5,0)</f>
        <v>-2.4385826691286639E-13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292.09131652373259</v>
      </c>
      <c r="BJ108" s="59">
        <f t="shared" si="92"/>
        <v>200.24819245805861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113.1214728940332</v>
      </c>
      <c r="BQ108" s="21">
        <f>EXP(-LN(2)/25)*BQ107+(1-EXP(-LN(2)/25))/(LN(2)/25)*Calculateur!BL108*Calculateur!BN108*VLOOKUP('Données projet'!$B$11,Paramètres!$A$1:$I$89,3,0)*0.475*44/12</f>
        <v>50.249643805827283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163.37111669986049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-6.7984728957526396E-14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300.80663531652721</v>
      </c>
      <c r="T109" s="59">
        <f t="shared" si="88"/>
        <v>306.01967513533549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55.613009543393957</v>
      </c>
      <c r="AA109" s="21">
        <f>EXP(-LN(2)/25)*AA108+(1-EXP(-LN(2)/25))/(LN(2)/25)*Calculateur!V109*Calculateur!X109*VLOOKUP('Données projet'!$B$9,Paramètres!$A$1:$I$89,3,0)*0.475*44/12</f>
        <v>23.936575735823418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79.549585279217382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7.9349999999999969</v>
      </c>
      <c r="AI109" s="13">
        <f>IF('Données projet'!$A$62&gt;35,AI108+AH109-AQ108,IF(A109&lt;'Données projet'!$A$62,$AF$205^A109,IF(A109='Données projet'!$A$62,'Données projet'!$B$62,AI108+AH109-AQ108)))</f>
        <v>321.09000000000049</v>
      </c>
      <c r="AJ109" s="13">
        <f>AI109*VLOOKUP('Données projet'!$B$10,Paramètres!$A$1:$I$89,3,0)*VLOOKUP('Données projet'!$B$10,Paramètres!$A$1:$I$89,5,0)</f>
        <v>290.52223200000043</v>
      </c>
      <c r="AK109" s="13">
        <f t="shared" si="89"/>
        <v>69.185862279978352</v>
      </c>
      <c r="AL109" s="20">
        <f t="shared" si="58"/>
        <v>626.49159753762979</v>
      </c>
      <c r="AM109" s="59">
        <f t="shared" si="59"/>
        <v>919.82493087096304</v>
      </c>
      <c r="AN109" s="59">
        <f ca="1">AVERAGE(OFFSET($AM$3,0,0,'Données projet'!$E$10+1,1))-AVERAGE(OFFSET($H$3,0,0,'Données projet'!$E$10+1,1))</f>
        <v>581.88778927327667</v>
      </c>
      <c r="AO109" s="59">
        <f t="shared" si="90"/>
        <v>269.67340993773422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55.422609999156386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55.422609999156386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-4.2632564145606011E-13</v>
      </c>
      <c r="BE109" s="13">
        <f>BD109*VLOOKUP('Données projet'!$B$11,Paramètres!$A$1:$I$89,3,0)*VLOOKUP('Données projet'!$B$11,Paramètres!$A$1:$I$89,5,0)</f>
        <v>-2.4385826691286639E-13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292.09131652373259</v>
      </c>
      <c r="BJ109" s="59">
        <f t="shared" si="92"/>
        <v>200.24819245805861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110.90322980786677</v>
      </c>
      <c r="BQ109" s="21">
        <f>EXP(-LN(2)/25)*BQ108+(1-EXP(-LN(2)/25))/(LN(2)/25)*Calculateur!BL109*Calculateur!BN109*VLOOKUP('Données projet'!$B$11,Paramètres!$A$1:$I$89,3,0)*0.475*44/12</f>
        <v>48.875564653443014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159.77879446130979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-6.7984728957526396E-14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300.80663531652721</v>
      </c>
      <c r="T110" s="59">
        <f t="shared" si="88"/>
        <v>306.01967513533549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54.522472346834441</v>
      </c>
      <c r="AA110" s="21">
        <f>EXP(-LN(2)/25)*AA109+(1-EXP(-LN(2)/25))/(LN(2)/25)*Calculateur!V110*Calculateur!X110*VLOOKUP('Données projet'!$B$9,Paramètres!$A$1:$I$89,3,0)*0.475*44/12</f>
        <v>23.282028813557517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77.804501160391965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7.9349999999999969</v>
      </c>
      <c r="AI110" s="13">
        <f>IF('Données projet'!$A$62&gt;35,AI109+AH110-AQ109,IF(A110&lt;'Données projet'!$A$62,$AF$205^A110,IF(A110='Données projet'!$A$62,'Données projet'!$B$62,AI109+AH110-AQ109)))</f>
        <v>329.02500000000049</v>
      </c>
      <c r="AJ110" s="13">
        <f>AI110*VLOOKUP('Données projet'!$B$10,Paramètres!$A$1:$I$89,3,0)*VLOOKUP('Données projet'!$B$10,Paramètres!$A$1:$I$89,5,0)</f>
        <v>297.70182000000045</v>
      </c>
      <c r="AK110" s="13">
        <f t="shared" si="89"/>
        <v>70.69446125561177</v>
      </c>
      <c r="AL110" s="20">
        <f t="shared" si="58"/>
        <v>641.62352318685794</v>
      </c>
      <c r="AM110" s="59">
        <f t="shared" si="59"/>
        <v>934.9568565201912</v>
      </c>
      <c r="AN110" s="59">
        <f ca="1">AVERAGE(OFFSET($AM$3,0,0,'Données projet'!$E$10+1,1))-AVERAGE(OFFSET($H$3,0,0,'Données projet'!$E$10+1,1))</f>
        <v>581.88778927327667</v>
      </c>
      <c r="AO110" s="59">
        <f t="shared" si="90"/>
        <v>269.67340993773422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54.335806421527117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54.335806421527117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-4.2632564145606011E-13</v>
      </c>
      <c r="BE110" s="13">
        <f>BD110*VLOOKUP('Données projet'!$B$11,Paramètres!$A$1:$I$89,3,0)*VLOOKUP('Données projet'!$B$11,Paramètres!$A$1:$I$89,5,0)</f>
        <v>-2.4385826691286639E-13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292.09131652373259</v>
      </c>
      <c r="BJ110" s="59">
        <f t="shared" si="92"/>
        <v>200.24819245805861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108.72848511562536</v>
      </c>
      <c r="BQ110" s="21">
        <f>EXP(-LN(2)/25)*BQ109+(1-EXP(-LN(2)/25))/(LN(2)/25)*Calculateur!BL110*Calculateur!BN110*VLOOKUP('Données projet'!$B$11,Paramètres!$A$1:$I$89,3,0)*0.475*44/12</f>
        <v>47.539059767740376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156.26754488336573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-6.7984728957526396E-14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300.80663531652721</v>
      </c>
      <c r="T111" s="59">
        <f t="shared" si="88"/>
        <v>306.01967513533549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53.453319919537449</v>
      </c>
      <c r="AA111" s="21">
        <f>EXP(-LN(2)/25)*AA110+(1-EXP(-LN(2)/25))/(LN(2)/25)*Calculateur!V111*Calculateur!X111*VLOOKUP('Données projet'!$B$9,Paramètres!$A$1:$I$89,3,0)*0.475*44/12</f>
        <v>22.645380511302104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76.098700430839557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7.9349999999999969</v>
      </c>
      <c r="AI111" s="13">
        <f>IF('Données projet'!$A$62&gt;35,AI110+AH111-AQ110,IF(A111&lt;'Données projet'!$A$62,$AF$205^A111,IF(A111='Données projet'!$A$62,'Données projet'!$B$62,AI110+AH111-AQ110)))</f>
        <v>336.96000000000049</v>
      </c>
      <c r="AJ111" s="13">
        <f>AI111*VLOOKUP('Données projet'!$B$10,Paramètres!$A$1:$I$89,3,0)*VLOOKUP('Données projet'!$B$10,Paramètres!$A$1:$I$89,5,0)</f>
        <v>304.88140800000042</v>
      </c>
      <c r="AK111" s="13">
        <f t="shared" si="89"/>
        <v>72.198830820277394</v>
      </c>
      <c r="AL111" s="20">
        <f t="shared" si="58"/>
        <v>656.74808261198393</v>
      </c>
      <c r="AM111" s="59">
        <f t="shared" si="59"/>
        <v>950.0814159453173</v>
      </c>
      <c r="AN111" s="59">
        <f ca="1">AVERAGE(OFFSET($AM$3,0,0,'Données projet'!$E$10+1,1))-AVERAGE(OFFSET($H$3,0,0,'Données projet'!$E$10+1,1))</f>
        <v>581.88778927327667</v>
      </c>
      <c r="AO111" s="59">
        <f t="shared" si="90"/>
        <v>269.67340993773422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53.270314399170431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53.270314399170431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-4.2632564145606011E-13</v>
      </c>
      <c r="BE111" s="13">
        <f>BD111*VLOOKUP('Données projet'!$B$11,Paramètres!$A$1:$I$89,3,0)*VLOOKUP('Données projet'!$B$11,Paramètres!$A$1:$I$89,5,0)</f>
        <v>-2.4385826691286639E-13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292.09131652373259</v>
      </c>
      <c r="BJ111" s="59">
        <f t="shared" si="92"/>
        <v>200.24819245805861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106.59638584033553</v>
      </c>
      <c r="BQ111" s="21">
        <f>EXP(-LN(2)/25)*BQ110+(1-EXP(-LN(2)/25))/(LN(2)/25)*Calculateur!BL111*Calculateur!BN111*VLOOKUP('Données projet'!$B$11,Paramètres!$A$1:$I$89,3,0)*0.475*44/12</f>
        <v>46.239101678421015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152.83548751875654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-6.7984728957526396E-14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300.80663531652721</v>
      </c>
      <c r="T112" s="59">
        <f t="shared" si="88"/>
        <v>306.01967513533549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52.40513291922116</v>
      </c>
      <c r="AA112" s="21">
        <f>EXP(-LN(2)/25)*AA111+(1-EXP(-LN(2)/25))/(LN(2)/25)*Calculateur!V112*Calculateur!X112*VLOOKUP('Données projet'!$B$9,Paramètres!$A$1:$I$89,3,0)*0.475*44/12</f>
        <v>22.026141390351743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74.431274309572899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7.9349999999999969</v>
      </c>
      <c r="AI112" s="13">
        <f>IF('Données projet'!$A$62&gt;35,AI111+AH112-AQ111,IF(A112&lt;'Données projet'!$A$62,$AF$205^A112,IF(A112='Données projet'!$A$62,'Données projet'!$B$62,AI111+AH112-AQ111)))</f>
        <v>344.89500000000049</v>
      </c>
      <c r="AJ112" s="13">
        <f>AI112*VLOOKUP('Données projet'!$B$10,Paramètres!$A$1:$I$89,3,0)*VLOOKUP('Données projet'!$B$10,Paramètres!$A$1:$I$89,5,0)</f>
        <v>312.06099600000044</v>
      </c>
      <c r="AK112" s="13">
        <f t="shared" si="89"/>
        <v>73.699082033131035</v>
      </c>
      <c r="AL112" s="20">
        <f t="shared" si="58"/>
        <v>671.86546924103743</v>
      </c>
      <c r="AM112" s="59">
        <f t="shared" si="59"/>
        <v>965.1988025743708</v>
      </c>
      <c r="AN112" s="59">
        <f ca="1">AVERAGE(OFFSET($AM$3,0,0,'Données projet'!$E$10+1,1))-AVERAGE(OFFSET($H$3,0,0,'Données projet'!$E$10+1,1))</f>
        <v>581.88778927327667</v>
      </c>
      <c r="AO112" s="59">
        <f t="shared" si="90"/>
        <v>269.67340993773422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52.225716025486193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52.225716025486193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-4.2632564145606011E-13</v>
      </c>
      <c r="BE112" s="13">
        <f>BD112*VLOOKUP('Données projet'!$B$11,Paramètres!$A$1:$I$89,3,0)*VLOOKUP('Données projet'!$B$11,Paramètres!$A$1:$I$89,5,0)</f>
        <v>-2.4385826691286639E-13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292.09131652373259</v>
      </c>
      <c r="BJ112" s="59">
        <f t="shared" si="92"/>
        <v>200.24819245805861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104.50609573138198</v>
      </c>
      <c r="BQ112" s="21">
        <f>EXP(-LN(2)/25)*BQ111+(1-EXP(-LN(2)/25))/(LN(2)/25)*Calculateur!BL112*Calculateur!BN112*VLOOKUP('Données projet'!$B$11,Paramètres!$A$1:$I$89,3,0)*0.475*44/12</f>
        <v>44.974691011415914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149.48078674279787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-6.7984728957526396E-14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300.80663531652721</v>
      </c>
      <c r="T113" s="59">
        <f t="shared" si="88"/>
        <v>306.01967513533549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51.377500226650135</v>
      </c>
      <c r="AA113" s="21">
        <f>EXP(-LN(2)/25)*AA112+(1-EXP(-LN(2)/25))/(LN(2)/25)*Calculateur!V113*Calculateur!X113*VLOOKUP('Données projet'!$B$9,Paramètres!$A$1:$I$89,3,0)*0.475*44/12</f>
        <v>21.42383539572814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72.801335622378275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7.9349999999999969</v>
      </c>
      <c r="AI113" s="13">
        <f>IF('Données projet'!$A$62&gt;35,AI112+AH113-AQ112,IF(A113&lt;'Données projet'!$A$62,$AF$205^A113,IF(A113='Données projet'!$A$62,'Données projet'!$B$62,AI112+AH113-AQ112)))</f>
        <v>352.8300000000005</v>
      </c>
      <c r="AJ113" s="13">
        <f>AI113*VLOOKUP('Données projet'!$B$10,Paramètres!$A$1:$I$89,3,0)*VLOOKUP('Données projet'!$B$10,Paramètres!$A$1:$I$89,5,0)</f>
        <v>319.24058400000041</v>
      </c>
      <c r="AK113" s="13">
        <f t="shared" si="89"/>
        <v>75.195320551435159</v>
      </c>
      <c r="AL113" s="20">
        <f t="shared" si="58"/>
        <v>686.97586709375025</v>
      </c>
      <c r="AM113" s="59">
        <f t="shared" si="59"/>
        <v>980.30920042708362</v>
      </c>
      <c r="AN113" s="59">
        <f ca="1">AVERAGE(OFFSET($AM$3,0,0,'Données projet'!$E$10+1,1))-AVERAGE(OFFSET($H$3,0,0,'Données projet'!$E$10+1,1))</f>
        <v>581.88778927327667</v>
      </c>
      <c r="AO113" s="59">
        <f t="shared" si="90"/>
        <v>269.67340993773422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51.201601588767808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51.201601588767808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-4.2632564145606011E-13</v>
      </c>
      <c r="BE113" s="13">
        <f>BD113*VLOOKUP('Données projet'!$B$11,Paramètres!$A$1:$I$89,3,0)*VLOOKUP('Données projet'!$B$11,Paramètres!$A$1:$I$89,5,0)</f>
        <v>-2.4385826691286639E-13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292.09131652373259</v>
      </c>
      <c r="BJ113" s="59">
        <f t="shared" si="92"/>
        <v>200.24819245805861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102.45679493651393</v>
      </c>
      <c r="BQ113" s="21">
        <f>EXP(-LN(2)/25)*BQ112+(1-EXP(-LN(2)/25))/(LN(2)/25)*Calculateur!BL113*Calculateur!BN113*VLOOKUP('Données projet'!$B$11,Paramètres!$A$1:$I$89,3,0)*0.475*44/12</f>
        <v>43.744855720592533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146.20165065710646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-6.7984728957526396E-14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300.80663531652721</v>
      </c>
      <c r="T114" s="59">
        <f t="shared" si="88"/>
        <v>306.01967513533549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50.370018784386374</v>
      </c>
      <c r="AA114" s="21">
        <f>EXP(-LN(2)/25)*AA113+(1-EXP(-LN(2)/25))/(LN(2)/25)*Calculateur!V114*Calculateur!X114*VLOOKUP('Données projet'!$B$9,Paramètres!$A$1:$I$89,3,0)*0.475*44/12</f>
        <v>20.837999490201415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71.208018274587786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7.9349999999999969</v>
      </c>
      <c r="AI114" s="13">
        <f>IF('Données projet'!$A$62&gt;35,AI113+AH114-AQ113,IF(A114&lt;'Données projet'!$A$62,$AF$205^A114,IF(A114='Données projet'!$A$62,'Données projet'!$B$62,AI113+AH114-AQ113)))</f>
        <v>360.7650000000005</v>
      </c>
      <c r="AJ114" s="13">
        <f>AI114*VLOOKUP('Données projet'!$B$10,Paramètres!$A$1:$I$89,3,0)*VLOOKUP('Données projet'!$B$10,Paramètres!$A$1:$I$89,5,0)</f>
        <v>326.42017200000043</v>
      </c>
      <c r="AK114" s="13">
        <f t="shared" si="89"/>
        <v>76.687647008791089</v>
      </c>
      <c r="AL114" s="20">
        <f t="shared" si="58"/>
        <v>702.07945144031191</v>
      </c>
      <c r="AM114" s="59">
        <f t="shared" si="59"/>
        <v>995.41278477364517</v>
      </c>
      <c r="AN114" s="59">
        <f ca="1">AVERAGE(OFFSET($AM$3,0,0,'Données projet'!$E$10+1,1))-AVERAGE(OFFSET($H$3,0,0,'Données projet'!$E$10+1,1))</f>
        <v>581.88778927327667</v>
      </c>
      <c r="AO114" s="59">
        <f t="shared" si="90"/>
        <v>269.67340993773422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50.197569411505341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50.197569411505341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-4.2632564145606011E-13</v>
      </c>
      <c r="BE114" s="13">
        <f>BD114*VLOOKUP('Données projet'!$B$11,Paramètres!$A$1:$I$89,3,0)*VLOOKUP('Données projet'!$B$11,Paramètres!$A$1:$I$89,5,0)</f>
        <v>-2.4385826691286639E-13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292.09131652373259</v>
      </c>
      <c r="BJ114" s="59">
        <f t="shared" si="92"/>
        <v>200.24819245805861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100.44767968028319</v>
      </c>
      <c r="BQ114" s="21">
        <f>EXP(-LN(2)/25)*BQ113+(1-EXP(-LN(2)/25))/(LN(2)/25)*Calculateur!BL114*Calculateur!BN114*VLOOKUP('Données projet'!$B$11,Paramètres!$A$1:$I$89,3,0)*0.475*44/12</f>
        <v>42.54865034047095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142.99633002075413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-6.7984728957526396E-14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300.80663531652721</v>
      </c>
      <c r="T115" s="59">
        <f t="shared" si="88"/>
        <v>306.01967513533549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49.382293438702405</v>
      </c>
      <c r="AA115" s="21">
        <f>EXP(-LN(2)/25)*AA114+(1-EXP(-LN(2)/25))/(LN(2)/25)*Calculateur!V115*Calculateur!X115*VLOOKUP('Données projet'!$B$9,Paramètres!$A$1:$I$89,3,0)*0.475*44/12</f>
        <v>20.268183298319091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69.650476737021492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7.9349999999999969</v>
      </c>
      <c r="AI115" s="13">
        <f>IF('Données projet'!$A$62&gt;35,AI114+AH115-AQ114,IF(A115&lt;'Données projet'!$A$62,$AF$205^A115,IF(A115='Données projet'!$A$62,'Données projet'!$B$62,AI114+AH115-AQ114)))</f>
        <v>368.7000000000005</v>
      </c>
      <c r="AJ115" s="13">
        <f>AI115*VLOOKUP('Données projet'!$B$10,Paramètres!$A$1:$I$89,3,0)*VLOOKUP('Données projet'!$B$10,Paramètres!$A$1:$I$89,5,0)</f>
        <v>333.59976000000046</v>
      </c>
      <c r="AK115" s="13">
        <f t="shared" si="89"/>
        <v>78.17615735915706</v>
      </c>
      <c r="AL115" s="20">
        <f t="shared" si="58"/>
        <v>717.17638940053257</v>
      </c>
      <c r="AM115" s="59">
        <f t="shared" si="59"/>
        <v>1010.5097227338658</v>
      </c>
      <c r="AN115" s="59">
        <f ca="1">AVERAGE(OFFSET($AM$3,0,0,'Données projet'!$E$10+1,1))-AVERAGE(OFFSET($H$3,0,0,'Données projet'!$E$10+1,1))</f>
        <v>581.88778927327667</v>
      </c>
      <c r="AO115" s="59">
        <f t="shared" si="90"/>
        <v>269.67340993773422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49.213225692839835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49.213225692839835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-4.2632564145606011E-13</v>
      </c>
      <c r="BE115" s="13">
        <f>BD115*VLOOKUP('Données projet'!$B$11,Paramètres!$A$1:$I$89,3,0)*VLOOKUP('Données projet'!$B$11,Paramètres!$A$1:$I$89,5,0)</f>
        <v>-2.4385826691286639E-13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292.09131652373259</v>
      </c>
      <c r="BJ115" s="59">
        <f t="shared" si="92"/>
        <v>200.24819245805861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98.477961948787822</v>
      </c>
      <c r="BQ115" s="21">
        <f>EXP(-LN(2)/25)*BQ114+(1-EXP(-LN(2)/25))/(LN(2)/25)*Calculateur!BL115*Calculateur!BN115*VLOOKUP('Données projet'!$B$11,Paramètres!$A$1:$I$89,3,0)*0.475*44/12</f>
        <v>41.3851552593745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139.86311720816232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-6.7984728957526396E-14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300.80663531652721</v>
      </c>
      <c r="T116" s="59">
        <f t="shared" si="88"/>
        <v>306.01967513533549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48.41393678459432</v>
      </c>
      <c r="AA116" s="21">
        <f>EXP(-LN(2)/25)*AA115+(1-EXP(-LN(2)/25))/(LN(2)/25)*Calculateur!V116*Calculateur!X116*VLOOKUP('Données projet'!$B$9,Paramètres!$A$1:$I$89,3,0)*0.475*44/12</f>
        <v>19.713948760169121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68.127885544763444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7.9349999999999969</v>
      </c>
      <c r="AI116" s="13">
        <f>IF('Données projet'!$A$62&gt;35,AI115+AH116-AQ115,IF(A116&lt;'Données projet'!$A$62,$AF$205^A116,IF(A116='Données projet'!$A$62,'Données projet'!$B$62,AI115+AH116-AQ115)))</f>
        <v>376.6350000000005</v>
      </c>
      <c r="AJ116" s="13">
        <f>AI116*VLOOKUP('Données projet'!$B$10,Paramètres!$A$1:$I$89,3,0)*VLOOKUP('Données projet'!$B$10,Paramètres!$A$1:$I$89,5,0)</f>
        <v>340.77934800000043</v>
      </c>
      <c r="AK116" s="13">
        <f t="shared" si="89"/>
        <v>79.660943190415296</v>
      </c>
      <c r="AL116" s="20">
        <f t="shared" si="58"/>
        <v>732.26684048997402</v>
      </c>
      <c r="AM116" s="59">
        <f t="shared" si="59"/>
        <v>1025.6001738233074</v>
      </c>
      <c r="AN116" s="59">
        <f ca="1">AVERAGE(OFFSET($AM$3,0,0,'Données projet'!$E$10+1,1))-AVERAGE(OFFSET($H$3,0,0,'Données projet'!$E$10+1,1))</f>
        <v>581.88778927327667</v>
      </c>
      <c r="AO116" s="59">
        <f t="shared" si="90"/>
        <v>269.67340993773422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48.248184354106975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48.248184354106975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-4.2632564145606011E-13</v>
      </c>
      <c r="BE116" s="13">
        <f>BD116*VLOOKUP('Données projet'!$B$11,Paramètres!$A$1:$I$89,3,0)*VLOOKUP('Données projet'!$B$11,Paramètres!$A$1:$I$89,5,0)</f>
        <v>-2.4385826691286639E-13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292.09131652373259</v>
      </c>
      <c r="BJ116" s="59">
        <f t="shared" si="92"/>
        <v>200.24819245805861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96.546869180597895</v>
      </c>
      <c r="BQ116" s="21">
        <f>EXP(-LN(2)/25)*BQ115+(1-EXP(-LN(2)/25))/(LN(2)/25)*Calculateur!BL116*Calculateur!BN116*VLOOKUP('Données projet'!$B$11,Paramètres!$A$1:$I$89,3,0)*0.475*44/12</f>
        <v>40.253476012456176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136.80034519305406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-6.7984728957526396E-14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300.80663531652721</v>
      </c>
      <c r="T117" s="59">
        <f t="shared" si="88"/>
        <v>306.01967513533549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47.464569013834058</v>
      </c>
      <c r="AA117" s="21">
        <f>EXP(-LN(2)/25)*AA116+(1-EXP(-LN(2)/25))/(LN(2)/25)*Calculateur!V117*Calculateur!X117*VLOOKUP('Données projet'!$B$9,Paramètres!$A$1:$I$89,3,0)*0.475*44/12</f>
        <v>19.174869794610789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66.639438808444851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384.57</v>
      </c>
      <c r="AG117" s="12">
        <f>VLOOKUP(A117,'Données projet'!$A$61:$I$81,9,0)</f>
        <v>7.9349999999999969</v>
      </c>
      <c r="AH117" s="12">
        <f t="array" ref="AH117">INDEX(AG:AG,MIN(IF(ISNUMBER(AG117:AG313),ROW(AG117:AG313),"")))</f>
        <v>7.9349999999999969</v>
      </c>
      <c r="AI117" s="13">
        <f>IF('Données projet'!$A$62&gt;35,AI116+AH117-AQ116,IF(A117&lt;'Données projet'!$A$62,$AF$205^A117,IF(A117='Données projet'!$A$62,'Données projet'!$B$62,AI116+AH117-AQ116)))</f>
        <v>384.5700000000005</v>
      </c>
      <c r="AJ117" s="13">
        <f>AI117*VLOOKUP('Données projet'!$B$10,Paramètres!$A$1:$I$89,3,0)*VLOOKUP('Données projet'!$B$10,Paramètres!$A$1:$I$89,5,0)</f>
        <v>347.95893600000045</v>
      </c>
      <c r="AK117" s="13">
        <f t="shared" si="89"/>
        <v>81.142092010767954</v>
      </c>
      <c r="AL117" s="20">
        <f t="shared" si="58"/>
        <v>747.35095711875499</v>
      </c>
      <c r="AM117" s="59">
        <f t="shared" si="59"/>
        <v>1040.6842904520884</v>
      </c>
      <c r="AN117" s="59">
        <f ca="1">AVERAGE(OFFSET($AM$3,0,0,'Données projet'!$E$10+1,1))-AVERAGE(OFFSET($H$3,0,0,'Données projet'!$E$10+1,1))</f>
        <v>581.88778927327667</v>
      </c>
      <c r="AO117" s="59">
        <f t="shared" si="90"/>
        <v>269.67340993773422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0.25800000000000001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61.771448286126386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61.771448286126386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-4.2632564145606011E-13</v>
      </c>
      <c r="BE117" s="13">
        <f>BD117*VLOOKUP('Données projet'!$B$11,Paramètres!$A$1:$I$89,3,0)*VLOOKUP('Données projet'!$B$11,Paramètres!$A$1:$I$89,5,0)</f>
        <v>-2.4385826691286639E-13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292.09131652373259</v>
      </c>
      <c r="BJ117" s="59">
        <f t="shared" si="92"/>
        <v>200.24819245805861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94.653643963741885</v>
      </c>
      <c r="BQ117" s="21">
        <f>EXP(-LN(2)/25)*BQ116+(1-EXP(-LN(2)/25))/(LN(2)/25)*Calculateur!BL117*Calculateur!BN117*VLOOKUP('Données projet'!$B$11,Paramètres!$A$1:$I$89,3,0)*0.475*44/12</f>
        <v>39.152742594057258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133.80638655779916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-6.7984728957526396E-14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300.80663531652721</v>
      </c>
      <c r="T118" s="59">
        <f t="shared" si="88"/>
        <v>306.01967513533549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46.533817766001242</v>
      </c>
      <c r="AA118" s="21">
        <f>EXP(-LN(2)/25)*AA117+(1-EXP(-LN(2)/25))/(LN(2)/25)*Calculateur!V118*Calculateur!X118*VLOOKUP('Données projet'!$B$9,Paramètres!$A$1:$I$89,3,0)*0.475*44/12</f>
        <v>18.650531971714578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65.18434973771582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7.9920000000000018</v>
      </c>
      <c r="AI118" s="13">
        <f>IF('Données projet'!$A$62&gt;35,AI117+AH118-AQ117,IF(A118&lt;'Données projet'!$A$62,$AF$205^A118,IF(A118='Données projet'!$A$62,'Données projet'!$B$62,AI117+AH118-AQ117)))</f>
        <v>336.49200000000053</v>
      </c>
      <c r="AJ118" s="13">
        <f>AI118*VLOOKUP('Données projet'!$B$10,Paramètres!$A$1:$I$89,3,0)*VLOOKUP('Données projet'!$B$10,Paramètres!$A$1:$I$89,5,0)</f>
        <v>304.45796160000049</v>
      </c>
      <c r="AK118" s="13">
        <f t="shared" si="89"/>
        <v>72.11021964481435</v>
      </c>
      <c r="AL118" s="20">
        <f t="shared" si="58"/>
        <v>655.85624900138566</v>
      </c>
      <c r="AM118" s="59">
        <f t="shared" si="59"/>
        <v>949.18958233471903</v>
      </c>
      <c r="AN118" s="59">
        <f ca="1">AVERAGE(OFFSET($AM$3,0,0,'Données projet'!$E$10+1,1))-AVERAGE(OFFSET($H$3,0,0,'Données projet'!$E$10+1,1))</f>
        <v>581.88778927327667</v>
      </c>
      <c r="AO118" s="59">
        <f t="shared" si="90"/>
        <v>269.67340993773422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60.560147862098624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60.560147862098624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-4.2632564145606011E-13</v>
      </c>
      <c r="BE118" s="13">
        <f>BD118*VLOOKUP('Données projet'!$B$11,Paramètres!$A$1:$I$89,3,0)*VLOOKUP('Données projet'!$B$11,Paramètres!$A$1:$I$89,5,0)</f>
        <v>-2.4385826691286639E-13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292.09131652373259</v>
      </c>
      <c r="BJ118" s="59">
        <f t="shared" si="92"/>
        <v>200.24819245805861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92.797543738635056</v>
      </c>
      <c r="BQ118" s="21">
        <f>EXP(-LN(2)/25)*BQ117+(1-EXP(-LN(2)/25))/(LN(2)/25)*Calculateur!BL118*Calculateur!BN118*VLOOKUP('Données projet'!$B$11,Paramètres!$A$1:$I$89,3,0)*0.475*44/12</f>
        <v>38.082108788869512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130.87965252750456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-6.7984728957526396E-14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300.80663531652721</v>
      </c>
      <c r="T119" s="59">
        <f t="shared" si="88"/>
        <v>306.01967513533549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45.621317982436224</v>
      </c>
      <c r="AA119" s="21">
        <f>EXP(-LN(2)/25)*AA118+(1-EXP(-LN(2)/25))/(LN(2)/25)*Calculateur!V119*Calculateur!X119*VLOOKUP('Données projet'!$B$9,Paramètres!$A$1:$I$89,3,0)*0.475*44/12</f>
        <v>18.140532194159192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63.761850176595416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7.9920000000000018</v>
      </c>
      <c r="AI119" s="13">
        <f>IF('Données projet'!$A$62&gt;35,AI118+AH119-AQ118,IF(A119&lt;'Données projet'!$A$62,$AF$205^A119,IF(A119='Données projet'!$A$62,'Données projet'!$B$62,AI118+AH119-AQ118)))</f>
        <v>344.48400000000055</v>
      </c>
      <c r="AJ119" s="13">
        <f>AI119*VLOOKUP('Données projet'!$B$10,Paramètres!$A$1:$I$89,3,0)*VLOOKUP('Données projet'!$B$10,Paramètres!$A$1:$I$89,5,0)</f>
        <v>311.68912320000049</v>
      </c>
      <c r="AK119" s="13">
        <f t="shared" si="89"/>
        <v>73.621474685301479</v>
      </c>
      <c r="AL119" s="20">
        <f t="shared" si="58"/>
        <v>671.08262465023415</v>
      </c>
      <c r="AM119" s="59">
        <f t="shared" si="59"/>
        <v>964.41595798356752</v>
      </c>
      <c r="AN119" s="59">
        <f ca="1">AVERAGE(OFFSET($AM$3,0,0,'Données projet'!$E$10+1,1))-AVERAGE(OFFSET($H$3,0,0,'Données projet'!$E$10+1,1))</f>
        <v>581.88778927327667</v>
      </c>
      <c r="AO119" s="59">
        <f t="shared" si="90"/>
        <v>269.67340993773422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59.372600300565736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59.372600300565736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-4.2632564145606011E-13</v>
      </c>
      <c r="BE119" s="13">
        <f>BD119*VLOOKUP('Données projet'!$B$11,Paramètres!$A$1:$I$89,3,0)*VLOOKUP('Données projet'!$B$11,Paramètres!$A$1:$I$89,5,0)</f>
        <v>-2.4385826691286639E-13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292.09131652373259</v>
      </c>
      <c r="BJ119" s="59">
        <f t="shared" si="92"/>
        <v>200.24819245805861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90.977840506833232</v>
      </c>
      <c r="BQ119" s="21">
        <f>EXP(-LN(2)/25)*BQ118+(1-EXP(-LN(2)/25))/(LN(2)/25)*Calculateur!BL119*Calculateur!BN119*VLOOKUP('Données projet'!$B$11,Paramètres!$A$1:$I$89,3,0)*0.475*44/12</f>
        <v>37.040751521386809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128.01859202822004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-6.7984728957526396E-14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300.80663531652721</v>
      </c>
      <c r="T120" s="59">
        <f t="shared" si="88"/>
        <v>306.01967513533549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44.726711763057004</v>
      </c>
      <c r="AA120" s="21">
        <f>EXP(-LN(2)/25)*AA119+(1-EXP(-LN(2)/25))/(LN(2)/25)*Calculateur!V120*Calculateur!X120*VLOOKUP('Données projet'!$B$9,Paramètres!$A$1:$I$89,3,0)*0.475*44/12</f>
        <v>17.644478387340783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62.371190150397787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7.9920000000000018</v>
      </c>
      <c r="AI120" s="13">
        <f>IF('Données projet'!$A$62&gt;35,AI119+AH120-AQ119,IF(A120&lt;'Données projet'!$A$62,$AF$205^A120,IF(A120='Données projet'!$A$62,'Données projet'!$B$62,AI119+AH120-AQ119)))</f>
        <v>352.47600000000057</v>
      </c>
      <c r="AJ120" s="13">
        <f>AI120*VLOOKUP('Données projet'!$B$10,Paramètres!$A$1:$I$89,3,0)*VLOOKUP('Données projet'!$B$10,Paramètres!$A$1:$I$89,5,0)</f>
        <v>318.9202848000005</v>
      </c>
      <c r="AK120" s="13">
        <f t="shared" si="89"/>
        <v>75.128653745521831</v>
      </c>
      <c r="AL120" s="20">
        <f t="shared" si="58"/>
        <v>686.30190130011806</v>
      </c>
      <c r="AM120" s="59">
        <f t="shared" si="59"/>
        <v>979.63523463345132</v>
      </c>
      <c r="AN120" s="59">
        <f ca="1">AVERAGE(OFFSET($AM$3,0,0,'Données projet'!$E$10+1,1))-AVERAGE(OFFSET($H$3,0,0,'Données projet'!$E$10+1,1))</f>
        <v>581.88778927327667</v>
      </c>
      <c r="AO120" s="59">
        <f t="shared" si="90"/>
        <v>269.67340993773422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58.208339822382015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58.208339822382015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-4.2632564145606011E-13</v>
      </c>
      <c r="BE120" s="13">
        <f>BD120*VLOOKUP('Données projet'!$B$11,Paramètres!$A$1:$I$89,3,0)*VLOOKUP('Données projet'!$B$11,Paramètres!$A$1:$I$89,5,0)</f>
        <v>-2.4385826691286639E-13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292.09131652373259</v>
      </c>
      <c r="BJ120" s="59">
        <f t="shared" si="92"/>
        <v>200.24819245805861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89.193820545497658</v>
      </c>
      <c r="BQ120" s="21">
        <f>EXP(-LN(2)/25)*BQ119+(1-EXP(-LN(2)/25))/(LN(2)/25)*Calculateur!BL120*Calculateur!BN120*VLOOKUP('Données projet'!$B$11,Paramètres!$A$1:$I$89,3,0)*0.475*44/12</f>
        <v>36.027870223146024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125.22169076864368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-6.7984728957526396E-14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300.80663531652721</v>
      </c>
      <c r="T121" s="59">
        <f t="shared" si="88"/>
        <v>306.01967513533549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43.849648225983898</v>
      </c>
      <c r="AA121" s="21">
        <f>EXP(-LN(2)/25)*AA120+(1-EXP(-LN(2)/25))/(LN(2)/25)*Calculateur!V121*Calculateur!X121*VLOOKUP('Données projet'!$B$9,Paramètres!$A$1:$I$89,3,0)*0.475*44/12</f>
        <v>17.161989197956157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61.011637423940059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7.9920000000000018</v>
      </c>
      <c r="AI121" s="13">
        <f>IF('Données projet'!$A$62&gt;35,AI120+AH121-AQ120,IF(A121&lt;'Données projet'!$A$62,$AF$205^A121,IF(A121='Données projet'!$A$62,'Données projet'!$B$62,AI120+AH121-AQ120)))</f>
        <v>360.46800000000059</v>
      </c>
      <c r="AJ121" s="13">
        <f>AI121*VLOOKUP('Données projet'!$B$10,Paramètres!$A$1:$I$89,3,0)*VLOOKUP('Données projet'!$B$10,Paramètres!$A$1:$I$89,5,0)</f>
        <v>326.15144640000051</v>
      </c>
      <c r="AK121" s="13">
        <f t="shared" si="89"/>
        <v>76.631859883081802</v>
      </c>
      <c r="AL121" s="20">
        <f t="shared" si="58"/>
        <v>701.51425844303503</v>
      </c>
      <c r="AM121" s="59">
        <f t="shared" si="59"/>
        <v>994.84759177636829</v>
      </c>
      <c r="AN121" s="59">
        <f ca="1">AVERAGE(OFFSET($AM$3,0,0,'Données projet'!$E$10+1,1))-AVERAGE(OFFSET($H$3,0,0,'Données projet'!$E$10+1,1))</f>
        <v>581.88778927327667</v>
      </c>
      <c r="AO121" s="59">
        <f t="shared" si="90"/>
        <v>269.67340993773422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57.066909782046707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57.066909782046707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-4.2632564145606011E-13</v>
      </c>
      <c r="BE121" s="13">
        <f>BD121*VLOOKUP('Données projet'!$B$11,Paramètres!$A$1:$I$89,3,0)*VLOOKUP('Données projet'!$B$11,Paramètres!$A$1:$I$89,5,0)</f>
        <v>-2.4385826691286639E-13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292.09131652373259</v>
      </c>
      <c r="BJ121" s="59">
        <f t="shared" si="92"/>
        <v>200.24819245805861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87.444784127459144</v>
      </c>
      <c r="BQ121" s="21">
        <f>EXP(-LN(2)/25)*BQ120+(1-EXP(-LN(2)/25))/(LN(2)/25)*Calculateur!BL121*Calculateur!BN121*VLOOKUP('Données projet'!$B$11,Paramètres!$A$1:$I$89,3,0)*0.475*44/12</f>
        <v>35.042686217270742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122.48747034472989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-6.7984728957526396E-14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300.80663531652721</v>
      </c>
      <c r="T122" s="59">
        <f t="shared" si="88"/>
        <v>306.01967513533549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42.989783369916857</v>
      </c>
      <c r="AA122" s="21">
        <f>EXP(-LN(2)/25)*AA121+(1-EXP(-LN(2)/25))/(LN(2)/25)*Calculateur!V122*Calculateur!X122*VLOOKUP('Données projet'!$B$9,Paramètres!$A$1:$I$89,3,0)*0.475*44/12</f>
        <v>16.692693700828258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59.682477070745115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7.9920000000000018</v>
      </c>
      <c r="AI122" s="13">
        <f>IF('Données projet'!$A$62&gt;35,AI121+AH122-AQ121,IF(A122&lt;'Données projet'!$A$62,$AF$205^A122,IF(A122='Données projet'!$A$62,'Données projet'!$B$62,AI121+AH122-AQ121)))</f>
        <v>368.4600000000006</v>
      </c>
      <c r="AJ122" s="13">
        <f>AI122*VLOOKUP('Données projet'!$B$10,Paramètres!$A$1:$I$89,3,0)*VLOOKUP('Données projet'!$B$10,Paramètres!$A$1:$I$89,5,0)</f>
        <v>333.38260800000052</v>
      </c>
      <c r="AK122" s="13">
        <f t="shared" si="89"/>
        <v>78.13119132485231</v>
      </c>
      <c r="AL122" s="20">
        <f t="shared" si="58"/>
        <v>716.71986715745197</v>
      </c>
      <c r="AM122" s="59">
        <f t="shared" si="59"/>
        <v>1010.0532004907852</v>
      </c>
      <c r="AN122" s="59">
        <f ca="1">AVERAGE(OFFSET($AM$3,0,0,'Données projet'!$E$10+1,1))-AVERAGE(OFFSET($H$3,0,0,'Données projet'!$E$10+1,1))</f>
        <v>581.88778927327667</v>
      </c>
      <c r="AO122" s="59">
        <f t="shared" si="90"/>
        <v>269.67340993773422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55.947862488598794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55.947862488598794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-4.2632564145606011E-13</v>
      </c>
      <c r="BE122" s="13">
        <f>BD122*VLOOKUP('Données projet'!$B$11,Paramètres!$A$1:$I$89,3,0)*VLOOKUP('Données projet'!$B$11,Paramètres!$A$1:$I$89,5,0)</f>
        <v>-2.4385826691286639E-13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292.09131652373259</v>
      </c>
      <c r="BJ122" s="59">
        <f t="shared" si="92"/>
        <v>200.24819245805861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85.730045246771496</v>
      </c>
      <c r="BQ122" s="21">
        <f>EXP(-LN(2)/25)*BQ121+(1-EXP(-LN(2)/25))/(LN(2)/25)*Calculateur!BL122*Calculateur!BN122*VLOOKUP('Données projet'!$B$11,Paramètres!$A$1:$I$89,3,0)*0.475*44/12</f>
        <v>34.084442119844695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119.81448736661619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-6.7984728957526396E-14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300.80663531652721</v>
      </c>
      <c r="T123" s="59">
        <f t="shared" si="88"/>
        <v>306.01967513533549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42.14677993921152</v>
      </c>
      <c r="AA123" s="21">
        <f>EXP(-LN(2)/25)*AA122+(1-EXP(-LN(2)/25))/(LN(2)/25)*Calculateur!V123*Calculateur!X123*VLOOKUP('Données projet'!$B$9,Paramètres!$A$1:$I$89,3,0)*0.475*44/12</f>
        <v>16.236231113748499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58.383011052960015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7.9920000000000018</v>
      </c>
      <c r="AI123" s="13">
        <f>IF('Données projet'!$A$62&gt;35,AI122+AH123-AQ122,IF(A123&lt;'Données projet'!$A$62,$AF$205^A123,IF(A123='Données projet'!$A$62,'Données projet'!$B$62,AI122+AH123-AQ122)))</f>
        <v>376.45200000000062</v>
      </c>
      <c r="AJ123" s="13">
        <f>AI123*VLOOKUP('Données projet'!$B$10,Paramètres!$A$1:$I$89,3,0)*VLOOKUP('Données projet'!$B$10,Paramètres!$A$1:$I$89,5,0)</f>
        <v>340.61376960000058</v>
      </c>
      <c r="AK123" s="13">
        <f t="shared" si="89"/>
        <v>79.626741793195919</v>
      </c>
      <c r="AL123" s="20">
        <f t="shared" si="58"/>
        <v>731.9188906764839</v>
      </c>
      <c r="AM123" s="59">
        <f t="shared" si="59"/>
        <v>1025.2522240098172</v>
      </c>
      <c r="AN123" s="59">
        <f ca="1">AVERAGE(OFFSET($AM$3,0,0,'Données projet'!$E$10+1,1))-AVERAGE(OFFSET($H$3,0,0,'Données projet'!$E$10+1,1))</f>
        <v>581.88778927327667</v>
      </c>
      <c r="AO123" s="59">
        <f t="shared" si="90"/>
        <v>269.67340993773422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54.850759030023944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54.850759030023944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-4.2632564145606011E-13</v>
      </c>
      <c r="BE123" s="13">
        <f>BD123*VLOOKUP('Données projet'!$B$11,Paramètres!$A$1:$I$89,3,0)*VLOOKUP('Données projet'!$B$11,Paramètres!$A$1:$I$89,5,0)</f>
        <v>-2.4385826691286639E-13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292.09131652373259</v>
      </c>
      <c r="BJ123" s="59">
        <f t="shared" si="92"/>
        <v>200.24819245805861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84.048931349646679</v>
      </c>
      <c r="BQ123" s="21">
        <f>EXP(-LN(2)/25)*BQ122+(1-EXP(-LN(2)/25))/(LN(2)/25)*Calculateur!BL123*Calculateur!BN123*VLOOKUP('Données projet'!$B$11,Paramètres!$A$1:$I$89,3,0)*0.475*44/12</f>
        <v>33.152401257654631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117.20133260730131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-6.7984728957526396E-14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300.80663531652721</v>
      </c>
      <c r="T124" s="59">
        <f t="shared" si="88"/>
        <v>306.01967513533549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41.32030729160099</v>
      </c>
      <c r="AA124" s="21">
        <f>EXP(-LN(2)/25)*AA123+(1-EXP(-LN(2)/25))/(LN(2)/25)*Calculateur!V124*Calculateur!X124*VLOOKUP('Données projet'!$B$9,Paramètres!$A$1:$I$89,3,0)*0.475*44/12</f>
        <v>15.79225052011676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57.11255781171775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7.9920000000000018</v>
      </c>
      <c r="AI124" s="13">
        <f>IF('Données projet'!$A$62&gt;35,AI123+AH124-AQ123,IF(A124&lt;'Données projet'!$A$62,$AF$205^A124,IF(A124='Données projet'!$A$62,'Données projet'!$B$62,AI123+AH124-AQ123)))</f>
        <v>384.44400000000064</v>
      </c>
      <c r="AJ124" s="13">
        <f>AI124*VLOOKUP('Données projet'!$B$10,Paramètres!$A$1:$I$89,3,0)*VLOOKUP('Données projet'!$B$10,Paramètres!$A$1:$I$89,5,0)</f>
        <v>347.84493120000059</v>
      </c>
      <c r="AK124" s="13">
        <f t="shared" si="89"/>
        <v>81.11860080370937</v>
      </c>
      <c r="AL124" s="20">
        <f t="shared" si="58"/>
        <v>747.11148490646144</v>
      </c>
      <c r="AM124" s="59">
        <f t="shared" si="59"/>
        <v>1040.4448182397948</v>
      </c>
      <c r="AN124" s="59">
        <f ca="1">AVERAGE(OFFSET($AM$3,0,0,'Données projet'!$E$10+1,1))-AVERAGE(OFFSET($H$3,0,0,'Données projet'!$E$10+1,1))</f>
        <v>581.88778927327667</v>
      </c>
      <c r="AO124" s="59">
        <f t="shared" si="90"/>
        <v>269.67340993773422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53.775169101104709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53.775169101104709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-4.2632564145606011E-13</v>
      </c>
      <c r="BE124" s="13">
        <f>BD124*VLOOKUP('Données projet'!$B$11,Paramètres!$A$1:$I$89,3,0)*VLOOKUP('Données projet'!$B$11,Paramètres!$A$1:$I$89,5,0)</f>
        <v>-2.4385826691286639E-13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292.09131652373259</v>
      </c>
      <c r="BJ124" s="59">
        <f t="shared" si="92"/>
        <v>200.24819245805861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82.40078307066625</v>
      </c>
      <c r="BQ124" s="21">
        <f>EXP(-LN(2)/25)*BQ123+(1-EXP(-LN(2)/25))/(LN(2)/25)*Calculateur!BL124*Calculateur!BN124*VLOOKUP('Données projet'!$B$11,Paramètres!$A$1:$I$89,3,0)*0.475*44/12</f>
        <v>32.245847101855055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114.6466301725213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-6.7984728957526396E-14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300.80663531652721</v>
      </c>
      <c r="T125" s="59">
        <f t="shared" si="88"/>
        <v>306.01967513533549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40.510041268511564</v>
      </c>
      <c r="AA125" s="21">
        <f>EXP(-LN(2)/25)*AA124+(1-EXP(-LN(2)/25))/(LN(2)/25)*Calculateur!V125*Calculateur!X125*VLOOKUP('Données projet'!$B$9,Paramètres!$A$1:$I$89,3,0)*0.475*44/12</f>
        <v>15.360410599165805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55.870451867677367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7.9920000000000018</v>
      </c>
      <c r="AI125" s="13">
        <f>IF('Données projet'!$A$62&gt;35,AI124+AH125-AQ124,IF(A125&lt;'Données projet'!$A$62,$AF$205^A125,IF(A125='Données projet'!$A$62,'Données projet'!$B$62,AI124+AH125-AQ124)))</f>
        <v>392.43600000000066</v>
      </c>
      <c r="AJ125" s="13">
        <f>AI125*VLOOKUP('Données projet'!$B$10,Paramètres!$A$1:$I$89,3,0)*VLOOKUP('Données projet'!$B$10,Paramètres!$A$1:$I$89,5,0)</f>
        <v>355.07609280000059</v>
      </c>
      <c r="AK125" s="13">
        <f t="shared" si="89"/>
        <v>82.606853937508674</v>
      </c>
      <c r="AL125" s="20">
        <f t="shared" si="58"/>
        <v>762.29779890116197</v>
      </c>
      <c r="AM125" s="59">
        <f t="shared" si="59"/>
        <v>1055.6311322344952</v>
      </c>
      <c r="AN125" s="59">
        <f ca="1">AVERAGE(OFFSET($AM$3,0,0,'Données projet'!$E$10+1,1))-AVERAGE(OFFSET($H$3,0,0,'Données projet'!$E$10+1,1))</f>
        <v>581.88778927327667</v>
      </c>
      <c r="AO125" s="59">
        <f t="shared" si="90"/>
        <v>269.67340993773422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52.720670834646505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52.720670834646505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-4.2632564145606011E-13</v>
      </c>
      <c r="BE125" s="13">
        <f>BD125*VLOOKUP('Données projet'!$B$11,Paramètres!$A$1:$I$89,3,0)*VLOOKUP('Données projet'!$B$11,Paramètres!$A$1:$I$89,5,0)</f>
        <v>-2.4385826691286639E-13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292.09131652373259</v>
      </c>
      <c r="BJ125" s="59">
        <f t="shared" si="92"/>
        <v>200.24819245805861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80.784953974165447</v>
      </c>
      <c r="BQ125" s="21">
        <f>EXP(-LN(2)/25)*BQ124+(1-EXP(-LN(2)/25))/(LN(2)/25)*Calculateur!BL125*Calculateur!BN125*VLOOKUP('Données projet'!$B$11,Paramètres!$A$1:$I$89,3,0)*0.475*44/12</f>
        <v>31.36408271711943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112.14903669128488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-6.7984728957526396E-14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300.80663531652721</v>
      </c>
      <c r="T126" s="59">
        <f t="shared" si="88"/>
        <v>306.01967513533549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39.715664067921445</v>
      </c>
      <c r="AA126" s="21">
        <f>EXP(-LN(2)/25)*AA125+(1-EXP(-LN(2)/25))/(LN(2)/25)*Calculateur!V126*Calculateur!X126*VLOOKUP('Données projet'!$B$9,Paramètres!$A$1:$I$89,3,0)*0.475*44/12</f>
        <v>14.940379363562728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54.656043431484171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7.9920000000000018</v>
      </c>
      <c r="AI126" s="13">
        <f>IF('Données projet'!$A$62&gt;35,AI125+AH126-AQ125,IF(A126&lt;'Données projet'!$A$62,$AF$205^A126,IF(A126='Données projet'!$A$62,'Données projet'!$B$62,AI125+AH126-AQ125)))</f>
        <v>400.42800000000068</v>
      </c>
      <c r="AJ126" s="13">
        <f>AI126*VLOOKUP('Données projet'!$B$10,Paramètres!$A$1:$I$89,3,0)*VLOOKUP('Données projet'!$B$10,Paramètres!$A$1:$I$89,5,0)</f>
        <v>362.3072544000006</v>
      </c>
      <c r="AK126" s="13">
        <f t="shared" si="89"/>
        <v>84.09158309070763</v>
      </c>
      <c r="AL126" s="20">
        <f t="shared" si="58"/>
        <v>777.4779752963168</v>
      </c>
      <c r="AM126" s="59">
        <f t="shared" si="59"/>
        <v>1070.8113086296501</v>
      </c>
      <c r="AN126" s="59">
        <f ca="1">AVERAGE(OFFSET($AM$3,0,0,'Données projet'!$E$10+1,1))-AVERAGE(OFFSET($H$3,0,0,'Données projet'!$E$10+1,1))</f>
        <v>581.88778927327667</v>
      </c>
      <c r="AO126" s="59">
        <f t="shared" si="90"/>
        <v>269.67340993773422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51.686850636013112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51.686850636013112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-4.2632564145606011E-13</v>
      </c>
      <c r="BE126" s="13">
        <f>BD126*VLOOKUP('Données projet'!$B$11,Paramètres!$A$1:$I$89,3,0)*VLOOKUP('Données projet'!$B$11,Paramètres!$A$1:$I$89,5,0)</f>
        <v>-2.4385826691286639E-13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292.09131652373259</v>
      </c>
      <c r="BJ126" s="59">
        <f t="shared" si="92"/>
        <v>200.24819245805861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79.200810300688588</v>
      </c>
      <c r="BQ126" s="21">
        <f>EXP(-LN(2)/25)*BQ125+(1-EXP(-LN(2)/25))/(LN(2)/25)*Calculateur!BL126*Calculateur!BN126*VLOOKUP('Données projet'!$B$11,Paramètres!$A$1:$I$89,3,0)*0.475*44/12</f>
        <v>30.506430225854373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109.70724052654296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-6.7984728957526396E-14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300.80663531652721</v>
      </c>
      <c r="T127" s="59">
        <f t="shared" si="88"/>
        <v>306.01967513533549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38.936864119712652</v>
      </c>
      <c r="AA127" s="21">
        <f>EXP(-LN(2)/25)*AA126+(1-EXP(-LN(2)/25))/(LN(2)/25)*Calculateur!V127*Calculateur!X127*VLOOKUP('Données projet'!$B$9,Paramètres!$A$1:$I$89,3,0)*0.475*44/12</f>
        <v>14.531833904185701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53.468698023898355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408.42</v>
      </c>
      <c r="AG127" s="12">
        <f>VLOOKUP(A127,'Données projet'!$A$61:$I$81,9,0)</f>
        <v>7.9920000000000018</v>
      </c>
      <c r="AH127" s="12">
        <f t="array" ref="AH127">INDEX(AG:AG,MIN(IF(ISNUMBER(AG127:AG323),ROW(AG127:AG323),"")))</f>
        <v>7.9920000000000018</v>
      </c>
      <c r="AI127" s="13">
        <f>IF('Données projet'!$A$62&gt;35,AI126+AH127-AQ126,IF(A127&lt;'Données projet'!$A$62,$AF$205^A127,IF(A127='Données projet'!$A$62,'Données projet'!$B$62,AI126+AH127-AQ126)))</f>
        <v>408.4200000000007</v>
      </c>
      <c r="AJ127" s="13">
        <f>AI127*VLOOKUP('Données projet'!$B$10,Paramètres!$A$1:$I$89,3,0)*VLOOKUP('Données projet'!$B$10,Paramètres!$A$1:$I$89,5,0)</f>
        <v>369.53841600000061</v>
      </c>
      <c r="AK127" s="13">
        <f t="shared" si="89"/>
        <v>85.572866703416025</v>
      </c>
      <c r="AL127" s="20">
        <f t="shared" si="58"/>
        <v>792.65215070845068</v>
      </c>
      <c r="AM127" s="59">
        <f t="shared" si="59"/>
        <v>1085.985484041784</v>
      </c>
      <c r="AN127" s="59">
        <f ca="1">AVERAGE(OFFSET($AM$3,0,0,'Données projet'!$E$10+1,1))-AVERAGE(OFFSET($H$3,0,0,'Données projet'!$E$10+1,1))</f>
        <v>581.88778927327667</v>
      </c>
      <c r="AO127" s="59">
        <f t="shared" si="90"/>
        <v>269.67340993773422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0.25800000000000001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64.229154721898368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64.229154721898368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-4.2632564145606011E-13</v>
      </c>
      <c r="BE127" s="13">
        <f>BD127*VLOOKUP('Données projet'!$B$11,Paramètres!$A$1:$I$89,3,0)*VLOOKUP('Données projet'!$B$11,Paramètres!$A$1:$I$89,5,0)</f>
        <v>-2.4385826691286639E-13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292.09131652373259</v>
      </c>
      <c r="BJ127" s="59">
        <f t="shared" si="92"/>
        <v>200.24819245805861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77.647730718416369</v>
      </c>
      <c r="BQ127" s="21">
        <f>EXP(-LN(2)/25)*BQ126+(1-EXP(-LN(2)/25))/(LN(2)/25)*Calculateur!BL127*Calculateur!BN127*VLOOKUP('Données projet'!$B$11,Paramètres!$A$1:$I$89,3,0)*0.475*44/12</f>
        <v>29.672230287064945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107.31996100548132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-6.7984728957526396E-14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300.80663531652721</v>
      </c>
      <c r="T128" s="59">
        <f t="shared" si="88"/>
        <v>306.01967513533549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38.173335963467167</v>
      </c>
      <c r="AA128" s="21">
        <f>EXP(-LN(2)/25)*AA127+(1-EXP(-LN(2)/25))/(LN(2)/25)*Calculateur!V128*Calculateur!X128*VLOOKUP('Données projet'!$B$9,Paramètres!$A$1:$I$89,3,0)*0.475*44/12</f>
        <v>14.134460141879812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52.307796105346981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8.0699999999999985</v>
      </c>
      <c r="AI128" s="13">
        <f>IF('Données projet'!$A$62&gt;35,AI127+AH128-AQ127,IF(A128&lt;'Données projet'!$A$62,$AF$205^A128,IF(A128='Données projet'!$A$62,'Données projet'!$B$62,AI127+AH128-AQ127)))</f>
        <v>363.96000000000072</v>
      </c>
      <c r="AJ128" s="13">
        <f>AI128*VLOOKUP('Données projet'!$B$10,Paramètres!$A$1:$I$89,3,0)*VLOOKUP('Données projet'!$B$10,Paramètres!$A$1:$I$89,5,0)</f>
        <v>329.31100800000064</v>
      </c>
      <c r="AK128" s="13">
        <f t="shared" si="89"/>
        <v>77.287444180583748</v>
      </c>
      <c r="AL128" s="20">
        <f t="shared" si="58"/>
        <v>708.15897088118447</v>
      </c>
      <c r="AM128" s="59">
        <f t="shared" si="59"/>
        <v>1001.4923042145178</v>
      </c>
      <c r="AN128" s="59">
        <f ca="1">AVERAGE(OFFSET($AM$3,0,0,'Données projet'!$E$10+1,1))-AVERAGE(OFFSET($H$3,0,0,'Données projet'!$E$10+1,1))</f>
        <v>581.88778927327667</v>
      </c>
      <c r="AO128" s="59">
        <f t="shared" si="90"/>
        <v>269.67340993773422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62.969660173718019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62.969660173718019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-4.2632564145606011E-13</v>
      </c>
      <c r="BE128" s="13">
        <f>BD128*VLOOKUP('Données projet'!$B$11,Paramètres!$A$1:$I$89,3,0)*VLOOKUP('Données projet'!$B$11,Paramètres!$A$1:$I$89,5,0)</f>
        <v>-2.4385826691286639E-13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292.09131652373259</v>
      </c>
      <c r="BJ128" s="59">
        <f t="shared" si="92"/>
        <v>200.24819245805861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76.125106079467514</v>
      </c>
      <c r="BQ128" s="21">
        <f>EXP(-LN(2)/25)*BQ127+(1-EXP(-LN(2)/25))/(LN(2)/25)*Calculateur!BL128*Calculateur!BN128*VLOOKUP('Données projet'!$B$11,Paramètres!$A$1:$I$89,3,0)*0.475*44/12</f>
        <v>28.860841589470379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104.9859476689379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-6.7984728957526396E-14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300.80663531652721</v>
      </c>
      <c r="T129" s="59">
        <f t="shared" si="88"/>
        <v>306.01967513533549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37.424780128659464</v>
      </c>
      <c r="AA129" s="21">
        <f>EXP(-LN(2)/25)*AA128+(1-EXP(-LN(2)/25))/(LN(2)/25)*Calculateur!V129*Calculateur!X129*VLOOKUP('Données projet'!$B$9,Paramètres!$A$1:$I$89,3,0)*0.475*44/12</f>
        <v>13.747952586001155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51.172732714660619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8.0699999999999985</v>
      </c>
      <c r="AI129" s="13">
        <f>IF('Données projet'!$A$62&gt;35,AI128+AH129-AQ128,IF(A129&lt;'Données projet'!$A$62,$AF$205^A129,IF(A129='Données projet'!$A$62,'Données projet'!$B$62,AI128+AH129-AQ128)))</f>
        <v>372.03000000000071</v>
      </c>
      <c r="AJ129" s="13">
        <f>AI129*VLOOKUP('Données projet'!$B$10,Paramètres!$A$1:$I$89,3,0)*VLOOKUP('Données projet'!$B$10,Paramètres!$A$1:$I$89,5,0)</f>
        <v>336.61274400000065</v>
      </c>
      <c r="AK129" s="13">
        <f t="shared" si="89"/>
        <v>78.799710600410648</v>
      </c>
      <c r="AL129" s="20">
        <f t="shared" si="58"/>
        <v>723.51002509571629</v>
      </c>
      <c r="AM129" s="59">
        <f t="shared" si="59"/>
        <v>1016.8433584290497</v>
      </c>
      <c r="AN129" s="59">
        <f ca="1">AVERAGE(OFFSET($AM$3,0,0,'Données projet'!$E$10+1,1))-AVERAGE(OFFSET($H$3,0,0,'Données projet'!$E$10+1,1))</f>
        <v>581.88778927327667</v>
      </c>
      <c r="AO129" s="59">
        <f t="shared" si="90"/>
        <v>269.67340993773422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61.73486354541167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61.73486354541167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-4.2632564145606011E-13</v>
      </c>
      <c r="BE129" s="13">
        <f>BD129*VLOOKUP('Données projet'!$B$11,Paramètres!$A$1:$I$89,3,0)*VLOOKUP('Données projet'!$B$11,Paramètres!$A$1:$I$89,5,0)</f>
        <v>-2.4385826691286639E-13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292.09131652373259</v>
      </c>
      <c r="BJ129" s="59">
        <f t="shared" si="92"/>
        <v>200.24819245805861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74.632339180979116</v>
      </c>
      <c r="BQ129" s="21">
        <f>EXP(-LN(2)/25)*BQ128+(1-EXP(-LN(2)/25))/(LN(2)/25)*Calculateur!BL129*Calculateur!BN129*VLOOKUP('Données projet'!$B$11,Paramètres!$A$1:$I$89,3,0)*0.475*44/12</f>
        <v>28.071640358480614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102.70397953945974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-6.7984728957526396E-14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300.80663531652721</v>
      </c>
      <c r="T130" s="59">
        <f t="shared" si="88"/>
        <v>306.01967513533549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36.690903017198366</v>
      </c>
      <c r="AA130" s="21">
        <f>EXP(-LN(2)/25)*AA129+(1-EXP(-LN(2)/25))/(LN(2)/25)*Calculateur!V130*Calculateur!X130*VLOOKUP('Données projet'!$B$9,Paramètres!$A$1:$I$89,3,0)*0.475*44/12</f>
        <v>13.372014099563549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50.062917116761916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8.0699999999999985</v>
      </c>
      <c r="AI130" s="13">
        <f>IF('Données projet'!$A$62&gt;35,AI129+AH130-AQ129,IF(A130&lt;'Données projet'!$A$62,$AF$205^A130,IF(A130='Données projet'!$A$62,'Données projet'!$B$62,AI129+AH130-AQ129)))</f>
        <v>380.1000000000007</v>
      </c>
      <c r="AJ130" s="13">
        <f>AI130*VLOOKUP('Données projet'!$B$10,Paramètres!$A$1:$I$89,3,0)*VLOOKUP('Données projet'!$B$10,Paramètres!$A$1:$I$89,5,0)</f>
        <v>343.91448000000065</v>
      </c>
      <c r="AK130" s="13">
        <f t="shared" si="89"/>
        <v>80.308163160675235</v>
      </c>
      <c r="AL130" s="20">
        <f t="shared" si="58"/>
        <v>738.85443683817709</v>
      </c>
      <c r="AM130" s="59">
        <f t="shared" si="59"/>
        <v>1032.1877701715105</v>
      </c>
      <c r="AN130" s="59">
        <f ca="1">AVERAGE(OFFSET($AM$3,0,0,'Données projet'!$E$10+1,1))-AVERAGE(OFFSET($H$3,0,0,'Données projet'!$E$10+1,1))</f>
        <v>581.88778927327667</v>
      </c>
      <c r="AO130" s="59">
        <f t="shared" si="90"/>
        <v>269.67340993773422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60.524280525834833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60.524280525834833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-4.2632564145606011E-13</v>
      </c>
      <c r="BE130" s="13">
        <f>BD130*VLOOKUP('Données projet'!$B$11,Paramètres!$A$1:$I$89,3,0)*VLOOKUP('Données projet'!$B$11,Paramètres!$A$1:$I$89,5,0)</f>
        <v>-2.4385826691286639E-13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292.09131652373259</v>
      </c>
      <c r="BJ130" s="59">
        <f t="shared" si="92"/>
        <v>200.24819245805861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73.168844530872164</v>
      </c>
      <c r="BQ130" s="21">
        <f>EXP(-LN(2)/25)*BQ129+(1-EXP(-LN(2)/25))/(LN(2)/25)*Calculateur!BL130*Calculateur!BN130*VLOOKUP('Données projet'!$B$11,Paramètres!$A$1:$I$89,3,0)*0.475*44/12</f>
        <v>27.304019876654554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100.47286440752671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-6.7984728957526396E-14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300.80663531652721</v>
      </c>
      <c r="T131" s="59">
        <f t="shared" si="88"/>
        <v>306.01967513533549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35.97141678827218</v>
      </c>
      <c r="AA131" s="21">
        <f>EXP(-LN(2)/25)*AA130+(1-EXP(-LN(2)/25))/(LN(2)/25)*Calculateur!V131*Calculateur!X131*VLOOKUP('Données projet'!$B$9,Paramètres!$A$1:$I$89,3,0)*0.475*44/12</f>
        <v>13.006355670807324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48.977772459079503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8.0699999999999985</v>
      </c>
      <c r="AI131" s="13">
        <f>IF('Données projet'!$A$62&gt;35,AI130+AH131-AQ130,IF(A131&lt;'Données projet'!$A$62,$AF$205^A131,IF(A131='Données projet'!$A$62,'Données projet'!$B$62,AI130+AH131-AQ130)))</f>
        <v>388.1700000000007</v>
      </c>
      <c r="AJ131" s="13">
        <f>AI131*VLOOKUP('Données projet'!$B$10,Paramètres!$A$1:$I$89,3,0)*VLOOKUP('Données projet'!$B$10,Paramètres!$A$1:$I$89,5,0)</f>
        <v>351.2162160000006</v>
      </c>
      <c r="AK131" s="13">
        <f t="shared" si="89"/>
        <v>81.812892161752615</v>
      </c>
      <c r="AL131" s="20">
        <f t="shared" si="58"/>
        <v>754.19236338172016</v>
      </c>
      <c r="AM131" s="59">
        <f t="shared" si="59"/>
        <v>1047.5256967150535</v>
      </c>
      <c r="AN131" s="59">
        <f ca="1">AVERAGE(OFFSET($AM$3,0,0,'Données projet'!$E$10+1,1))-AVERAGE(OFFSET($H$3,0,0,'Données projet'!$E$10+1,1))</f>
        <v>581.88778927327667</v>
      </c>
      <c r="AO131" s="59">
        <f t="shared" si="90"/>
        <v>269.67340993773422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59.337436300889166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59.337436300889166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-4.2632564145606011E-13</v>
      </c>
      <c r="BE131" s="13">
        <f>BD131*VLOOKUP('Données projet'!$B$11,Paramètres!$A$1:$I$89,3,0)*VLOOKUP('Données projet'!$B$11,Paramètres!$A$1:$I$89,5,0)</f>
        <v>-2.4385826691286639E-13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292.09131652373259</v>
      </c>
      <c r="BJ131" s="59">
        <f t="shared" si="92"/>
        <v>200.24819245805861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71.734048118210211</v>
      </c>
      <c r="BQ131" s="21">
        <f>EXP(-LN(2)/25)*BQ130+(1-EXP(-LN(2)/25))/(LN(2)/25)*Calculateur!BL131*Calculateur!BN131*VLOOKUP('Données projet'!$B$11,Paramètres!$A$1:$I$89,3,0)*0.475*44/12</f>
        <v>26.557390017271434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98.291438135481641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-6.7984728957526396E-14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300.80663531652721</v>
      </c>
      <c r="T132" s="59">
        <f t="shared" si="88"/>
        <v>306.01967513533549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35.266039245451971</v>
      </c>
      <c r="AA132" s="21">
        <f>EXP(-LN(2)/25)*AA131+(1-EXP(-LN(2)/25))/(LN(2)/25)*Calculateur!V132*Calculateur!X132*VLOOKUP('Données projet'!$B$9,Paramètres!$A$1:$I$89,3,0)*0.475*44/12</f>
        <v>12.650696191014578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47.916735436466553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8.0699999999999985</v>
      </c>
      <c r="AI132" s="13">
        <f>IF('Données projet'!$A$62&gt;35,AI131+AH132-AQ131,IF(A132&lt;'Données projet'!$A$62,$AF$205^A132,IF(A132='Données projet'!$A$62,'Données projet'!$B$62,AI131+AH132-AQ131)))</f>
        <v>396.24000000000069</v>
      </c>
      <c r="AJ132" s="13">
        <f>AI132*VLOOKUP('Données projet'!$B$10,Paramètres!$A$1:$I$89,3,0)*VLOOKUP('Données projet'!$B$10,Paramètres!$A$1:$I$89,5,0)</f>
        <v>358.51795200000061</v>
      </c>
      <c r="AK132" s="13">
        <f t="shared" si="89"/>
        <v>83.313983934777241</v>
      </c>
      <c r="AL132" s="20">
        <f t="shared" ref="AL132:AL153" si="112">(AJ132+AK132)*0.475*44/12</f>
        <v>769.52395508640473</v>
      </c>
      <c r="AM132" s="59">
        <f t="shared" ref="AM132:AM195" si="113">AL132+(AD132+AE132)*44/12</f>
        <v>1062.8572884197381</v>
      </c>
      <c r="AN132" s="59">
        <f ca="1">AVERAGE(OFFSET($AM$3,0,0,'Données projet'!$E$10+1,1))-AVERAGE(OFFSET($H$3,0,0,'Données projet'!$E$10+1,1))</f>
        <v>581.88778927327667</v>
      </c>
      <c r="AO132" s="59">
        <f t="shared" si="90"/>
        <v>269.67340993773422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58.173865367291185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58.173865367291185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-4.2632564145606011E-13</v>
      </c>
      <c r="BE132" s="13">
        <f>BD132*VLOOKUP('Données projet'!$B$11,Paramètres!$A$1:$I$89,3,0)*VLOOKUP('Données projet'!$B$11,Paramètres!$A$1:$I$89,5,0)</f>
        <v>-2.4385826691286639E-13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292.09131652373259</v>
      </c>
      <c r="BJ132" s="59">
        <f t="shared" si="92"/>
        <v>200.24819245805861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70.327387188061167</v>
      </c>
      <c r="BQ132" s="21">
        <f>EXP(-LN(2)/25)*BQ131+(1-EXP(-LN(2)/25))/(LN(2)/25)*Calculateur!BL132*Calculateur!BN132*VLOOKUP('Données projet'!$B$11,Paramètres!$A$1:$I$89,3,0)*0.475*44/12</f>
        <v>25.831176790656702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96.158563978717865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-6.7984728957526396E-14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300.80663531652721</v>
      </c>
      <c r="T133" s="59">
        <f t="shared" ref="T133:T196" si="142">$T$3</f>
        <v>306.01967513533549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34.574493726008647</v>
      </c>
      <c r="AA133" s="21">
        <f>EXP(-LN(2)/25)*AA132+(1-EXP(-LN(2)/25))/(LN(2)/25)*Calculateur!V133*Calculateur!X133*VLOOKUP('Données projet'!$B$9,Paramètres!$A$1:$I$89,3,0)*0.475*44/12</f>
        <v>12.304762238400086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46.879255964408735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8.0699999999999985</v>
      </c>
      <c r="AI133" s="13">
        <f>IF('Données projet'!$A$62&gt;35,AI132+AH133-AQ132,IF(A133&lt;'Données projet'!$A$62,$AF$205^A133,IF(A133='Données projet'!$A$62,'Données projet'!$B$62,AI132+AH133-AQ132)))</f>
        <v>404.31000000000068</v>
      </c>
      <c r="AJ133" s="13">
        <f>AI133*VLOOKUP('Données projet'!$B$10,Paramètres!$A$1:$I$89,3,0)*VLOOKUP('Données projet'!$B$10,Paramètres!$A$1:$I$89,5,0)</f>
        <v>365.81968800000061</v>
      </c>
      <c r="AK133" s="13">
        <f t="shared" ref="AK133:AK153" si="143">EXP(-1.0587+0.8836*LN(AJ133)+0.284)</f>
        <v>84.811521093342051</v>
      </c>
      <c r="AL133" s="20">
        <f t="shared" si="112"/>
        <v>784.84935583757169</v>
      </c>
      <c r="AM133" s="59">
        <f t="shared" si="113"/>
        <v>1078.182689170905</v>
      </c>
      <c r="AN133" s="59">
        <f ca="1">AVERAGE(OFFSET($AM$3,0,0,'Données projet'!$E$10+1,1))-AVERAGE(OFFSET($H$3,0,0,'Données projet'!$E$10+1,1))</f>
        <v>581.88778927327667</v>
      </c>
      <c r="AO133" s="59">
        <f t="shared" ref="AO133:AO196" si="144">$AO$3</f>
        <v>269.67340993773422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57.033111349992865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57.033111349992865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-4.2632564145606011E-13</v>
      </c>
      <c r="BE133" s="13">
        <f>BD133*VLOOKUP('Données projet'!$B$11,Paramètres!$A$1:$I$89,3,0)*VLOOKUP('Données projet'!$B$11,Paramètres!$A$1:$I$89,5,0)</f>
        <v>-2.4385826691286639E-13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292.09131652373259</v>
      </c>
      <c r="BJ133" s="59">
        <f t="shared" ref="BJ133:BJ196" si="146">$BJ$3</f>
        <v>200.24819245805861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68.948310020773903</v>
      </c>
      <c r="BQ133" s="21">
        <f>EXP(-LN(2)/25)*BQ132+(1-EXP(-LN(2)/25))/(LN(2)/25)*Calculateur!BL133*Calculateur!BN133*VLOOKUP('Données projet'!$B$11,Paramètres!$A$1:$I$89,3,0)*0.475*44/12</f>
        <v>25.124821902913645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94.073131923687555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-6.7984728957526396E-14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300.80663531652721</v>
      </c>
      <c r="T134" s="59">
        <f t="shared" si="142"/>
        <v>306.01967513533549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33.896508992400491</v>
      </c>
      <c r="AA134" s="21">
        <f>EXP(-LN(2)/25)*AA133+(1-EXP(-LN(2)/25))/(LN(2)/25)*Calculateur!V134*Calculateur!X134*VLOOKUP('Données projet'!$B$9,Paramètres!$A$1:$I$89,3,0)*0.475*44/12</f>
        <v>11.968287867911712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45.864796860312204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8.0699999999999985</v>
      </c>
      <c r="AI134" s="13">
        <f>IF('Données projet'!$A$62&gt;35,AI133+AH134-AQ133,IF(A134&lt;'Données projet'!$A$62,$AF$205^A134,IF(A134='Données projet'!$A$62,'Données projet'!$B$62,AI133+AH134-AQ133)))</f>
        <v>412.38000000000068</v>
      </c>
      <c r="AJ134" s="13">
        <f>AI134*VLOOKUP('Données projet'!$B$10,Paramètres!$A$1:$I$89,3,0)*VLOOKUP('Données projet'!$B$10,Paramètres!$A$1:$I$89,5,0)</f>
        <v>373.12142400000062</v>
      </c>
      <c r="AK134" s="13">
        <f t="shared" si="143"/>
        <v>86.305582764533938</v>
      </c>
      <c r="AL134" s="20">
        <f t="shared" si="112"/>
        <v>800.16870344823099</v>
      </c>
      <c r="AM134" s="59">
        <f t="shared" si="113"/>
        <v>1093.5020367815644</v>
      </c>
      <c r="AN134" s="59">
        <f ca="1">AVERAGE(OFFSET($AM$3,0,0,'Données projet'!$E$10+1,1))-AVERAGE(OFFSET($H$3,0,0,'Données projet'!$E$10+1,1))</f>
        <v>581.88778927327667</v>
      </c>
      <c r="AO134" s="59">
        <f t="shared" si="144"/>
        <v>269.67340993773422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55.914726823182519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55.914726823182519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-4.2632564145606011E-13</v>
      </c>
      <c r="BE134" s="13">
        <f>BD134*VLOOKUP('Données projet'!$B$11,Paramètres!$A$1:$I$89,3,0)*VLOOKUP('Données projet'!$B$11,Paramètres!$A$1:$I$89,5,0)</f>
        <v>-2.4385826691286639E-13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292.09131652373259</v>
      </c>
      <c r="BJ134" s="59">
        <f t="shared" si="146"/>
        <v>200.24819245805861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67.596275715583118</v>
      </c>
      <c r="BQ134" s="21">
        <f>EXP(-LN(2)/25)*BQ133+(1-EXP(-LN(2)/25))/(LN(2)/25)*Calculateur!BL134*Calculateur!BN134*VLOOKUP('Données projet'!$B$11,Paramètres!$A$1:$I$89,3,0)*0.475*44/12</f>
        <v>24.437782326721511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92.034058042304622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-6.7984728957526396E-14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300.80663531652721</v>
      </c>
      <c r="T135" s="59">
        <f t="shared" si="142"/>
        <v>306.01967513533549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33.231819125888535</v>
      </c>
      <c r="AA135" s="21">
        <f>EXP(-LN(2)/25)*AA134+(1-EXP(-LN(2)/25))/(LN(2)/25)*Calculateur!V135*Calculateur!X135*VLOOKUP('Données projet'!$B$9,Paramètres!$A$1:$I$89,3,0)*0.475*44/12</f>
        <v>11.641014406778762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44.8728335326673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8.0699999999999985</v>
      </c>
      <c r="AI135" s="13">
        <f>IF('Données projet'!$A$62&gt;35,AI134+AH135-AQ134,IF(A135&lt;'Données projet'!$A$62,$AF$205^A135,IF(A135='Données projet'!$A$62,'Données projet'!$B$62,AI134+AH135-AQ134)))</f>
        <v>420.45000000000067</v>
      </c>
      <c r="AJ135" s="13">
        <f>AI135*VLOOKUP('Données projet'!$B$10,Paramètres!$A$1:$I$89,3,0)*VLOOKUP('Données projet'!$B$10,Paramètres!$A$1:$I$89,5,0)</f>
        <v>380.42316000000056</v>
      </c>
      <c r="AK135" s="13">
        <f t="shared" si="143"/>
        <v>87.79624480137376</v>
      </c>
      <c r="AL135" s="20">
        <f t="shared" si="112"/>
        <v>815.48213002906016</v>
      </c>
      <c r="AM135" s="59">
        <f t="shared" si="113"/>
        <v>1108.8154633623935</v>
      </c>
      <c r="AN135" s="59">
        <f ca="1">AVERAGE(OFFSET($AM$3,0,0,'Données projet'!$E$10+1,1))-AVERAGE(OFFSET($H$3,0,0,'Données projet'!$E$10+1,1))</f>
        <v>581.88778927327667</v>
      </c>
      <c r="AO135" s="59">
        <f t="shared" si="144"/>
        <v>269.67340993773422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54.818273134795724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54.818273134795724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-4.2632564145606011E-13</v>
      </c>
      <c r="BE135" s="13">
        <f>BD135*VLOOKUP('Données projet'!$B$11,Paramètres!$A$1:$I$89,3,0)*VLOOKUP('Données projet'!$B$11,Paramètres!$A$1:$I$89,5,0)</f>
        <v>-2.4385826691286639E-13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292.09131652373259</v>
      </c>
      <c r="BJ135" s="59">
        <f t="shared" si="146"/>
        <v>200.24819245805861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66.270753978457634</v>
      </c>
      <c r="BQ135" s="21">
        <f>EXP(-LN(2)/25)*BQ134+(1-EXP(-LN(2)/25))/(LN(2)/25)*Calculateur!BL135*Calculateur!BN135*VLOOKUP('Données projet'!$B$11,Paramètres!$A$1:$I$89,3,0)*0.475*44/12</f>
        <v>23.769529883870192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90.040283862327826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-6.7984728957526396E-14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300.80663531652721</v>
      </c>
      <c r="T136" s="59">
        <f t="shared" si="142"/>
        <v>306.01967513533549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32.580163422238087</v>
      </c>
      <c r="AA136" s="21">
        <f>EXP(-LN(2)/25)*AA135+(1-EXP(-LN(2)/25))/(LN(2)/25)*Calculateur!V136*Calculateur!X136*VLOOKUP('Données projet'!$B$9,Paramètres!$A$1:$I$89,3,0)*0.475*44/12</f>
        <v>11.322690255651056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43.902853677889141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8.0699999999999985</v>
      </c>
      <c r="AI136" s="13">
        <f>IF('Données projet'!$A$62&gt;35,AI135+AH136-AQ135,IF(A136&lt;'Données projet'!$A$62,$AF$205^A136,IF(A136='Données projet'!$A$62,'Données projet'!$B$62,AI135+AH136-AQ135)))</f>
        <v>428.52000000000066</v>
      </c>
      <c r="AJ136" s="13">
        <f>AI136*VLOOKUP('Données projet'!$B$10,Paramètres!$A$1:$I$89,3,0)*VLOOKUP('Données projet'!$B$10,Paramètres!$A$1:$I$89,5,0)</f>
        <v>387.72489600000057</v>
      </c>
      <c r="AK136" s="13">
        <f t="shared" si="143"/>
        <v>89.283579978484866</v>
      </c>
      <c r="AL136" s="20">
        <f t="shared" si="112"/>
        <v>830.78976232919547</v>
      </c>
      <c r="AM136" s="59">
        <f t="shared" si="113"/>
        <v>1124.1230956625288</v>
      </c>
      <c r="AN136" s="59">
        <f ca="1">AVERAGE(OFFSET($AM$3,0,0,'Données projet'!$E$10+1,1))-AVERAGE(OFFSET($H$3,0,0,'Données projet'!$E$10+1,1))</f>
        <v>581.88778927327667</v>
      </c>
      <c r="AO136" s="59">
        <f t="shared" si="144"/>
        <v>269.67340993773422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53.743320234467475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53.743320234467475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-4.2632564145606011E-13</v>
      </c>
      <c r="BE136" s="13">
        <f>BD136*VLOOKUP('Données projet'!$B$11,Paramètres!$A$1:$I$89,3,0)*VLOOKUP('Données projet'!$B$11,Paramètres!$A$1:$I$89,5,0)</f>
        <v>-2.4385826691286639E-13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292.09131652373259</v>
      </c>
      <c r="BJ136" s="59">
        <f t="shared" si="146"/>
        <v>200.24819245805861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64.971224914108745</v>
      </c>
      <c r="BQ136" s="21">
        <f>EXP(-LN(2)/25)*BQ135+(1-EXP(-LN(2)/25))/(LN(2)/25)*Calculateur!BL136*Calculateur!BN136*VLOOKUP('Données projet'!$B$11,Paramètres!$A$1:$I$89,3,0)*0.475*44/12</f>
        <v>23.119550839210511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88.090775753319264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-6.7984728957526396E-14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300.80663531652721</v>
      </c>
      <c r="T137" s="59">
        <f t="shared" si="142"/>
        <v>306.01967513533549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31.941286289465495</v>
      </c>
      <c r="AA137" s="21">
        <f>EXP(-LN(2)/25)*AA136+(1-EXP(-LN(2)/25))/(LN(2)/25)*Calculateur!V137*Calculateur!X137*VLOOKUP('Données projet'!$B$9,Paramètres!$A$1:$I$89,3,0)*0.475*44/12</f>
        <v>11.013070695175875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42.954356984641372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436.59</v>
      </c>
      <c r="AG137" s="12">
        <f>VLOOKUP(A137,'Données projet'!$A$61:$I$81,9,0)</f>
        <v>8.0699999999999985</v>
      </c>
      <c r="AH137" s="12">
        <f t="array" ref="AH137">INDEX(AG:AG,MIN(IF(ISNUMBER(AG137:AG333),ROW(AG137:AG333),"")))</f>
        <v>8.0699999999999985</v>
      </c>
      <c r="AI137" s="13">
        <f>IF('Données projet'!$A$62&gt;35,AI136+AH137-AQ136,IF(A137&lt;'Données projet'!$A$62,$AF$205^A137,IF(A137='Données projet'!$A$62,'Données projet'!$B$62,AI136+AH137-AQ136)))</f>
        <v>436.59000000000066</v>
      </c>
      <c r="AJ137" s="13">
        <f>AI137*VLOOKUP('Données projet'!$B$10,Paramètres!$A$1:$I$89,3,0)*VLOOKUP('Données projet'!$B$10,Paramètres!$A$1:$I$89,5,0)</f>
        <v>395.02663200000057</v>
      </c>
      <c r="AK137" s="13">
        <f t="shared" si="143"/>
        <v>90.767658172605465</v>
      </c>
      <c r="AL137" s="20">
        <f t="shared" si="112"/>
        <v>846.09172205062214</v>
      </c>
      <c r="AM137" s="59">
        <f t="shared" si="113"/>
        <v>1139.4250553839554</v>
      </c>
      <c r="AN137" s="59">
        <f ca="1">AVERAGE(OFFSET($AM$3,0,0,'Données projet'!$E$10+1,1))-AVERAGE(OFFSET($H$3,0,0,'Données projet'!$E$10+1,1))</f>
        <v>581.88778927327667</v>
      </c>
      <c r="AO137" s="59">
        <f t="shared" si="144"/>
        <v>269.67340993773422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0.25800000000000001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66.869801558531918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66.869801558531918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-4.2632564145606011E-13</v>
      </c>
      <c r="BE137" s="13">
        <f>BD137*VLOOKUP('Données projet'!$B$11,Paramètres!$A$1:$I$89,3,0)*VLOOKUP('Données projet'!$B$11,Paramètres!$A$1:$I$89,5,0)</f>
        <v>-2.4385826691286639E-13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292.09131652373259</v>
      </c>
      <c r="BJ137" s="59">
        <f t="shared" si="146"/>
        <v>200.24819245805861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63.697178822077277</v>
      </c>
      <c r="BQ137" s="21">
        <f>EXP(-LN(2)/25)*BQ136+(1-EXP(-LN(2)/25))/(LN(2)/25)*Calculateur!BL137*Calculateur!BN137*VLOOKUP('Données projet'!$B$11,Paramètres!$A$1:$I$89,3,0)*0.475*44/12</f>
        <v>22.48734550570796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86.18452432778524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-6.7984728957526396E-14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300.80663531652721</v>
      </c>
      <c r="T138" s="59">
        <f t="shared" si="142"/>
        <v>306.01967513533549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31.314937147590001</v>
      </c>
      <c r="AA138" s="21">
        <f>EXP(-LN(2)/25)*AA137+(1-EXP(-LN(2)/25))/(LN(2)/25)*Calculateur!V138*Calculateur!X138*VLOOKUP('Données projet'!$B$9,Paramètres!$A$1:$I$89,3,0)*0.475*44/12</f>
        <v>10.711917697864074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42.026854845454075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8.1590000000000025</v>
      </c>
      <c r="AI138" s="13">
        <f>IF('Données projet'!$A$62&gt;35,AI137+AH138-AQ137,IF(A138&lt;'Données projet'!$A$62,$AF$205^A138,IF(A138='Données projet'!$A$62,'Données projet'!$B$62,AI137+AH138-AQ137)))</f>
        <v>389.79900000000066</v>
      </c>
      <c r="AJ138" s="13">
        <f>AI138*VLOOKUP('Données projet'!$B$10,Paramètres!$A$1:$I$89,3,0)*VLOOKUP('Données projet'!$B$10,Paramètres!$A$1:$I$89,5,0)</f>
        <v>352.69013520000055</v>
      </c>
      <c r="AK138" s="13">
        <f t="shared" si="143"/>
        <v>82.116190931394016</v>
      </c>
      <c r="AL138" s="20">
        <f t="shared" si="112"/>
        <v>757.28768467884549</v>
      </c>
      <c r="AM138" s="59">
        <f t="shared" si="113"/>
        <v>1050.6210180121789</v>
      </c>
      <c r="AN138" s="59">
        <f ca="1">AVERAGE(OFFSET($AM$3,0,0,'Données projet'!$E$10+1,1))-AVERAGE(OFFSET($H$3,0,0,'Données projet'!$E$10+1,1))</f>
        <v>581.88778927327667</v>
      </c>
      <c r="AO138" s="59">
        <f t="shared" si="144"/>
        <v>269.67340993773422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65.558525536520719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65.558525536520719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-4.2632564145606011E-13</v>
      </c>
      <c r="BE138" s="13">
        <f>BD138*VLOOKUP('Données projet'!$B$11,Paramètres!$A$1:$I$89,3,0)*VLOOKUP('Données projet'!$B$11,Paramètres!$A$1:$I$89,5,0)</f>
        <v>-2.4385826691286639E-13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292.09131652373259</v>
      </c>
      <c r="BJ138" s="59">
        <f t="shared" si="146"/>
        <v>200.24819245805861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62.448115996819162</v>
      </c>
      <c r="BQ138" s="21">
        <f>EXP(-LN(2)/25)*BQ137+(1-EXP(-LN(2)/25))/(LN(2)/25)*Calculateur!BL138*Calculateur!BN138*VLOOKUP('Données projet'!$B$11,Paramètres!$A$1:$I$89,3,0)*0.475*44/12</f>
        <v>21.87242786029627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84.320543857115439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-6.7984728957526396E-14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300.80663531652721</v>
      </c>
      <c r="T139" s="59">
        <f t="shared" si="142"/>
        <v>306.01967513533549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30.700870330351432</v>
      </c>
      <c r="AA139" s="21">
        <f>EXP(-LN(2)/25)*AA138+(1-EXP(-LN(2)/25))/(LN(2)/25)*Calculateur!V139*Calculateur!X139*VLOOKUP('Données projet'!$B$9,Paramètres!$A$1:$I$89,3,0)*0.475*44/12</f>
        <v>10.418999745100711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41.119870075452141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8.1590000000000025</v>
      </c>
      <c r="AI139" s="13">
        <f>IF('Données projet'!$A$62&gt;35,AI138+AH139-AQ138,IF(A139&lt;'Données projet'!$A$62,$AF$205^A139,IF(A139='Données projet'!$A$62,'Données projet'!$B$62,AI138+AH139-AQ138)))</f>
        <v>397.95800000000065</v>
      </c>
      <c r="AJ139" s="13">
        <f>AI139*VLOOKUP('Données projet'!$B$10,Paramètres!$A$1:$I$89,3,0)*VLOOKUP('Données projet'!$B$10,Paramètres!$A$1:$I$89,5,0)</f>
        <v>360.07239840000057</v>
      </c>
      <c r="AK139" s="13">
        <f t="shared" si="143"/>
        <v>83.633085567444908</v>
      </c>
      <c r="AL139" s="20">
        <f t="shared" si="112"/>
        <v>772.78705124330099</v>
      </c>
      <c r="AM139" s="59">
        <f t="shared" si="113"/>
        <v>1066.1203845766343</v>
      </c>
      <c r="AN139" s="59">
        <f ca="1">AVERAGE(OFFSET($AM$3,0,0,'Données projet'!$E$10+1,1))-AVERAGE(OFFSET($H$3,0,0,'Données projet'!$E$10+1,1))</f>
        <v>581.88778927327667</v>
      </c>
      <c r="AO139" s="59">
        <f t="shared" si="144"/>
        <v>269.67340993773422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64.272962837501765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64.272962837501765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-4.2632564145606011E-13</v>
      </c>
      <c r="BE139" s="13">
        <f>BD139*VLOOKUP('Données projet'!$B$11,Paramètres!$A$1:$I$89,3,0)*VLOOKUP('Données projet'!$B$11,Paramètres!$A$1:$I$89,5,0)</f>
        <v>-2.4385826691286639E-13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292.09131652373259</v>
      </c>
      <c r="BJ139" s="59">
        <f t="shared" si="146"/>
        <v>200.24819245805861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61.223546531711264</v>
      </c>
      <c r="BQ139" s="21">
        <f>EXP(-LN(2)/25)*BQ138+(1-EXP(-LN(2)/25))/(LN(2)/25)*Calculateur!BL139*Calculateur!BN139*VLOOKUP('Données projet'!$B$11,Paramètres!$A$1:$I$89,3,0)*0.475*44/12</f>
        <v>21.274325170235478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82.497871701946735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-6.7984728957526396E-14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300.80663531652721</v>
      </c>
      <c r="T140" s="59">
        <f t="shared" si="142"/>
        <v>306.01967513533549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30.098844988855134</v>
      </c>
      <c r="AA140" s="21">
        <f>EXP(-LN(2)/25)*AA139+(1-EXP(-LN(2)/25))/(LN(2)/25)*Calculateur!V140*Calculateur!X140*VLOOKUP('Données projet'!$B$9,Paramètres!$A$1:$I$89,3,0)*0.475*44/12</f>
        <v>10.134091649159549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40.232936638014685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8.1590000000000025</v>
      </c>
      <c r="AI140" s="13">
        <f>IF('Données projet'!$A$62&gt;35,AI139+AH140-AQ139,IF(A140&lt;'Données projet'!$A$62,$AF$205^A140,IF(A140='Données projet'!$A$62,'Données projet'!$B$62,AI139+AH140-AQ139)))</f>
        <v>406.11700000000064</v>
      </c>
      <c r="AJ140" s="13">
        <f>AI140*VLOOKUP('Données projet'!$B$10,Paramètres!$A$1:$I$89,3,0)*VLOOKUP('Données projet'!$B$10,Paramètres!$A$1:$I$89,5,0)</f>
        <v>367.45466160000058</v>
      </c>
      <c r="AK140" s="13">
        <f t="shared" si="143"/>
        <v>85.146364255773364</v>
      </c>
      <c r="AL140" s="20">
        <f t="shared" si="112"/>
        <v>788.28012003213962</v>
      </c>
      <c r="AM140" s="59">
        <f t="shared" si="113"/>
        <v>1081.6134533654729</v>
      </c>
      <c r="AN140" s="59">
        <f ca="1">AVERAGE(OFFSET($AM$3,0,0,'Données projet'!$E$10+1,1))-AVERAGE(OFFSET($H$3,0,0,'Données projet'!$E$10+1,1))</f>
        <v>581.88778927327667</v>
      </c>
      <c r="AO140" s="59">
        <f t="shared" si="144"/>
        <v>269.67340993773422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63.012609238894747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63.012609238894747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-4.2632564145606011E-13</v>
      </c>
      <c r="BE140" s="13">
        <f>BD140*VLOOKUP('Données projet'!$B$11,Paramètres!$A$1:$I$89,3,0)*VLOOKUP('Données projet'!$B$11,Paramètres!$A$1:$I$89,5,0)</f>
        <v>-2.4385826691286639E-13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292.09131652373259</v>
      </c>
      <c r="BJ140" s="59">
        <f t="shared" si="146"/>
        <v>200.24819245805861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60.02299012690051</v>
      </c>
      <c r="BQ140" s="21">
        <f>EXP(-LN(2)/25)*BQ139+(1-EXP(-LN(2)/25))/(LN(2)/25)*Calculateur!BL140*Calculateur!BN140*VLOOKUP('Données projet'!$B$11,Paramètres!$A$1:$I$89,3,0)*0.475*44/12</f>
        <v>20.69257762968725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80.71556775658776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-6.7984728957526396E-14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300.80663531652721</v>
      </c>
      <c r="T141" s="59">
        <f t="shared" si="142"/>
        <v>306.01967513533549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29.508624997106377</v>
      </c>
      <c r="AA141" s="21">
        <f>EXP(-LN(2)/25)*AA140+(1-EXP(-LN(2)/25))/(LN(2)/25)*Calculateur!V141*Calculateur!X141*VLOOKUP('Données projet'!$B$9,Paramètres!$A$1:$I$89,3,0)*0.475*44/12</f>
        <v>9.8569743800845622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39.365599377190939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8.1590000000000025</v>
      </c>
      <c r="AI141" s="13">
        <f>IF('Données projet'!$A$62&gt;35,AI140+AH141-AQ140,IF(A141&lt;'Données projet'!$A$62,$AF$205^A141,IF(A141='Données projet'!$A$62,'Données projet'!$B$62,AI140+AH141-AQ140)))</f>
        <v>414.27600000000064</v>
      </c>
      <c r="AJ141" s="13">
        <f>AI141*VLOOKUP('Données projet'!$B$10,Paramètres!$A$1:$I$89,3,0)*VLOOKUP('Données projet'!$B$10,Paramètres!$A$1:$I$89,5,0)</f>
        <v>374.83692480000053</v>
      </c>
      <c r="AK141" s="13">
        <f t="shared" si="143"/>
        <v>86.656108013910185</v>
      </c>
      <c r="AL141" s="20">
        <f t="shared" si="112"/>
        <v>803.76703215089447</v>
      </c>
      <c r="AM141" s="59">
        <f t="shared" si="113"/>
        <v>1097.1003654842277</v>
      </c>
      <c r="AN141" s="59">
        <f ca="1">AVERAGE(OFFSET($AM$3,0,0,'Données projet'!$E$10+1,1))-AVERAGE(OFFSET($H$3,0,0,'Données projet'!$E$10+1,1))</f>
        <v>581.88778927327667</v>
      </c>
      <c r="AO141" s="59">
        <f t="shared" si="144"/>
        <v>269.67340993773422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61.776970405616623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61.776970405616623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-4.2632564145606011E-13</v>
      </c>
      <c r="BE141" s="13">
        <f>BD141*VLOOKUP('Données projet'!$B$11,Paramètres!$A$1:$I$89,3,0)*VLOOKUP('Données projet'!$B$11,Paramètres!$A$1:$I$89,5,0)</f>
        <v>-2.4385826691286639E-13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292.09131652373259</v>
      </c>
      <c r="BJ141" s="59">
        <f t="shared" si="146"/>
        <v>200.24819245805861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58.84597590092099</v>
      </c>
      <c r="BQ141" s="21">
        <f>EXP(-LN(2)/25)*BQ140+(1-EXP(-LN(2)/25))/(LN(2)/25)*Calculateur!BL141*Calculateur!BN141*VLOOKUP('Données projet'!$B$11,Paramètres!$A$1:$I$89,3,0)*0.475*44/12</f>
        <v>20.126738006228088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78.972713907149085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-6.7984728957526396E-14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300.80663531652721</v>
      </c>
      <c r="T142" s="59">
        <f t="shared" si="142"/>
        <v>306.01967513533549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28.929978859397167</v>
      </c>
      <c r="AA142" s="21">
        <f>EXP(-LN(2)/25)*AA141+(1-EXP(-LN(2)/25))/(LN(2)/25)*Calculateur!V142*Calculateur!X142*VLOOKUP('Données projet'!$B$9,Paramètres!$A$1:$I$89,3,0)*0.475*44/12</f>
        <v>9.5874348973053962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38.517413756702567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8.1590000000000025</v>
      </c>
      <c r="AI142" s="13">
        <f>IF('Données projet'!$A$62&gt;35,AI141+AH142-AQ141,IF(A142&lt;'Données projet'!$A$62,$AF$205^A142,IF(A142='Données projet'!$A$62,'Données projet'!$B$62,AI141+AH142-AQ141)))</f>
        <v>422.43500000000063</v>
      </c>
      <c r="AJ142" s="13">
        <f>AI142*VLOOKUP('Données projet'!$B$10,Paramètres!$A$1:$I$89,3,0)*VLOOKUP('Données projet'!$B$10,Paramètres!$A$1:$I$89,5,0)</f>
        <v>382.21918800000054</v>
      </c>
      <c r="AK142" s="13">
        <f t="shared" si="143"/>
        <v>88.162394485655341</v>
      </c>
      <c r="AL142" s="20">
        <f t="shared" si="112"/>
        <v>819.24792282918395</v>
      </c>
      <c r="AM142" s="59">
        <f t="shared" si="113"/>
        <v>1112.5812561625173</v>
      </c>
      <c r="AN142" s="59">
        <f ca="1">AVERAGE(OFFSET($AM$3,0,0,'Données projet'!$E$10+1,1))-AVERAGE(OFFSET($H$3,0,0,'Données projet'!$E$10+1,1))</f>
        <v>581.88778927327667</v>
      </c>
      <c r="AO142" s="59">
        <f t="shared" si="144"/>
        <v>269.67340993773422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60.565561696193818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60.565561696193818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-4.2632564145606011E-13</v>
      </c>
      <c r="BE142" s="13">
        <f>BD142*VLOOKUP('Données projet'!$B$11,Paramètres!$A$1:$I$89,3,0)*VLOOKUP('Données projet'!$B$11,Paramètres!$A$1:$I$89,5,0)</f>
        <v>-2.4385826691286639E-13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292.09131652373259</v>
      </c>
      <c r="BJ142" s="59">
        <f t="shared" si="146"/>
        <v>200.24819245805861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57.692042206005141</v>
      </c>
      <c r="BQ142" s="21">
        <f>EXP(-LN(2)/25)*BQ141+(1-EXP(-LN(2)/25))/(LN(2)/25)*Calculateur!BL142*Calculateur!BN142*VLOOKUP('Données projet'!$B$11,Paramètres!$A$1:$I$89,3,0)*0.475*44/12</f>
        <v>19.576371297028629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77.26841350303377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-6.7984728957526396E-14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300.80663531652721</v>
      </c>
      <c r="T143" s="59">
        <f t="shared" si="142"/>
        <v>306.01967513533549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28.362679619509141</v>
      </c>
      <c r="AA143" s="21">
        <f>EXP(-LN(2)/25)*AA142+(1-EXP(-LN(2)/25))/(LN(2)/25)*Calculateur!V143*Calculateur!X143*VLOOKUP('Données projet'!$B$9,Paramètres!$A$1:$I$89,3,0)*0.475*44/12</f>
        <v>9.3252659858572908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37.68794560536643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8.1590000000000025</v>
      </c>
      <c r="AI143" s="13">
        <f>IF('Données projet'!$A$62&gt;35,AI142+AH143-AQ142,IF(A143&lt;'Données projet'!$A$62,$AF$205^A143,IF(A143='Données projet'!$A$62,'Données projet'!$B$62,AI142+AH143-AQ142)))</f>
        <v>430.59400000000062</v>
      </c>
      <c r="AJ143" s="13">
        <f>AI143*VLOOKUP('Données projet'!$B$10,Paramètres!$A$1:$I$89,3,0)*VLOOKUP('Données projet'!$B$10,Paramètres!$A$1:$I$89,5,0)</f>
        <v>389.60145120000055</v>
      </c>
      <c r="AK143" s="13">
        <f t="shared" si="143"/>
        <v>89.665298143968485</v>
      </c>
      <c r="AL143" s="20">
        <f t="shared" si="112"/>
        <v>834.72292177407928</v>
      </c>
      <c r="AM143" s="59">
        <f t="shared" si="113"/>
        <v>1128.0562551074127</v>
      </c>
      <c r="AN143" s="59">
        <f ca="1">AVERAGE(OFFSET($AM$3,0,0,'Données projet'!$E$10+1,1))-AVERAGE(OFFSET($H$3,0,0,'Données projet'!$E$10+1,1))</f>
        <v>581.88778927327667</v>
      </c>
      <c r="AO143" s="59">
        <f t="shared" si="144"/>
        <v>269.67340993773422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59.377907972676439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59.377907972676439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-4.2632564145606011E-13</v>
      </c>
      <c r="BE143" s="13">
        <f>BD143*VLOOKUP('Données projet'!$B$11,Paramètres!$A$1:$I$89,3,0)*VLOOKUP('Données projet'!$B$11,Paramètres!$A$1:$I$89,5,0)</f>
        <v>-2.4385826691286639E-13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292.09131652373259</v>
      </c>
      <c r="BJ143" s="59">
        <f t="shared" si="146"/>
        <v>200.24819245805861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56.560736447016531</v>
      </c>
      <c r="BQ143" s="21">
        <f>EXP(-LN(2)/25)*BQ142+(1-EXP(-LN(2)/25))/(LN(2)/25)*Calculateur!BL143*Calculateur!BN143*VLOOKUP('Données projet'!$B$11,Paramètres!$A$1:$I$89,3,0)*0.475*44/12</f>
        <v>19.041054394434756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75.60179084145129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-6.7984728957526396E-14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300.80663531652721</v>
      </c>
      <c r="T144" s="59">
        <f t="shared" si="142"/>
        <v>306.01967513533549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27.806504771696947</v>
      </c>
      <c r="AA144" s="21">
        <f>EXP(-LN(2)/25)*AA143+(1-EXP(-LN(2)/25))/(LN(2)/25)*Calculateur!V144*Calculateur!X144*VLOOKUP('Données projet'!$B$9,Paramètres!$A$1:$I$89,3,0)*0.475*44/12</f>
        <v>9.0702660970795979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36.876770868776546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8.1590000000000025</v>
      </c>
      <c r="AI144" s="13">
        <f>IF('Données projet'!$A$62&gt;35,AI143+AH144-AQ143,IF(A144&lt;'Données projet'!$A$62,$AF$205^A144,IF(A144='Données projet'!$A$62,'Données projet'!$B$62,AI143+AH144-AQ143)))</f>
        <v>438.75300000000061</v>
      </c>
      <c r="AJ144" s="13">
        <f>AI144*VLOOKUP('Données projet'!$B$10,Paramètres!$A$1:$I$89,3,0)*VLOOKUP('Données projet'!$B$10,Paramètres!$A$1:$I$89,5,0)</f>
        <v>396.98371440000057</v>
      </c>
      <c r="AK144" s="13">
        <f t="shared" si="143"/>
        <v>91.164890478045521</v>
      </c>
      <c r="AL144" s="20">
        <f t="shared" si="112"/>
        <v>850.19215349593026</v>
      </c>
      <c r="AM144" s="59">
        <f t="shared" si="113"/>
        <v>1143.5254868292636</v>
      </c>
      <c r="AN144" s="59">
        <f ca="1">AVERAGE(OFFSET($AM$3,0,0,'Données projet'!$E$10+1,1))-AVERAGE(OFFSET($H$3,0,0,'Données projet'!$E$10+1,1))</f>
        <v>581.88778927327667</v>
      </c>
      <c r="AO144" s="59">
        <f t="shared" si="144"/>
        <v>269.67340993773422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58.213543414279989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58.213543414279989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-4.2632564145606011E-13</v>
      </c>
      <c r="BE144" s="13">
        <f>BD144*VLOOKUP('Données projet'!$B$11,Paramètres!$A$1:$I$89,3,0)*VLOOKUP('Données projet'!$B$11,Paramètres!$A$1:$I$89,5,0)</f>
        <v>-2.4385826691286639E-13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292.09131652373259</v>
      </c>
      <c r="BJ144" s="59">
        <f t="shared" si="146"/>
        <v>200.24819245805861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55.451614903933311</v>
      </c>
      <c r="BQ144" s="21">
        <f>EXP(-LN(2)/25)*BQ143+(1-EXP(-LN(2)/25))/(LN(2)/25)*Calculateur!BL144*Calculateur!BN144*VLOOKUP('Données projet'!$B$11,Paramètres!$A$1:$I$89,3,0)*0.475*44/12</f>
        <v>18.520375760693405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73.971990664626716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-6.7984728957526396E-14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300.80663531652721</v>
      </c>
      <c r="T145" s="59">
        <f t="shared" si="142"/>
        <v>306.01967513533549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27.261236173417192</v>
      </c>
      <c r="AA145" s="21">
        <f>EXP(-LN(2)/25)*AA144+(1-EXP(-LN(2)/25))/(LN(2)/25)*Calculateur!V145*Calculateur!X145*VLOOKUP('Données projet'!$B$9,Paramètres!$A$1:$I$89,3,0)*0.475*44/12</f>
        <v>8.8222391936703932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36.083475367087587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8.1590000000000025</v>
      </c>
      <c r="AI145" s="13">
        <f>IF('Données projet'!$A$62&gt;35,AI144+AH145-AQ144,IF(A145&lt;'Données projet'!$A$62,$AF$205^A145,IF(A145='Données projet'!$A$62,'Données projet'!$B$62,AI144+AH145-AQ144)))</f>
        <v>446.9120000000006</v>
      </c>
      <c r="AJ145" s="13">
        <f>AI145*VLOOKUP('Données projet'!$B$10,Paramètres!$A$1:$I$89,3,0)*VLOOKUP('Données projet'!$B$10,Paramètres!$A$1:$I$89,5,0)</f>
        <v>404.36597760000052</v>
      </c>
      <c r="AK145" s="13">
        <f t="shared" si="143"/>
        <v>92.66124016608812</v>
      </c>
      <c r="AL145" s="20">
        <f t="shared" si="112"/>
        <v>865.655737609271</v>
      </c>
      <c r="AM145" s="59">
        <f t="shared" si="113"/>
        <v>1158.9890709426043</v>
      </c>
      <c r="AN145" s="59">
        <f ca="1">AVERAGE(OFFSET($AM$3,0,0,'Données projet'!$E$10+1,1))-AVERAGE(OFFSET($H$3,0,0,'Données projet'!$E$10+1,1))</f>
        <v>581.88778927327667</v>
      </c>
      <c r="AO145" s="59">
        <f t="shared" si="144"/>
        <v>269.67340993773422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57.072011334681441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57.072011334681441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-4.2632564145606011E-13</v>
      </c>
      <c r="BE145" s="13">
        <f>BD145*VLOOKUP('Données projet'!$B$11,Paramètres!$A$1:$I$89,3,0)*VLOOKUP('Données projet'!$B$11,Paramètres!$A$1:$I$89,5,0)</f>
        <v>-2.4385826691286639E-13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292.09131652373259</v>
      </c>
      <c r="BJ145" s="59">
        <f t="shared" si="146"/>
        <v>200.24819245805861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54.364242557812609</v>
      </c>
      <c r="BQ145" s="21">
        <f>EXP(-LN(2)/25)*BQ144+(1-EXP(-LN(2)/25))/(LN(2)/25)*Calculateur!BL145*Calculateur!BN145*VLOOKUP('Données projet'!$B$11,Paramètres!$A$1:$I$89,3,0)*0.475*44/12</f>
        <v>18.013935111573012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72.378177669385622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-6.7984728957526396E-14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300.80663531652721</v>
      </c>
      <c r="T146" s="59">
        <f t="shared" si="142"/>
        <v>306.01967513533549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26.726659959768696</v>
      </c>
      <c r="AA146" s="21">
        <f>EXP(-LN(2)/25)*AA145+(1-EXP(-LN(2)/25))/(LN(2)/25)*Calculateur!V146*Calculateur!X146*VLOOKUP('Données projet'!$B$9,Paramètres!$A$1:$I$89,3,0)*0.475*44/12</f>
        <v>8.58099459897808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35.307654558746776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8.1590000000000025</v>
      </c>
      <c r="AI146" s="13">
        <f>IF('Données projet'!$A$62&gt;35,AI145+AH146-AQ145,IF(A146&lt;'Données projet'!$A$62,$AF$205^A146,IF(A146='Données projet'!$A$62,'Données projet'!$B$62,AI145+AH146-AQ145)))</f>
        <v>455.07100000000059</v>
      </c>
      <c r="AJ146" s="13">
        <f>AI146*VLOOKUP('Données projet'!$B$10,Paramètres!$A$1:$I$89,3,0)*VLOOKUP('Données projet'!$B$10,Paramètres!$A$1:$I$89,5,0)</f>
        <v>411.74824080000053</v>
      </c>
      <c r="AK146" s="13">
        <f t="shared" si="143"/>
        <v>94.15441323509782</v>
      </c>
      <c r="AL146" s="20">
        <f t="shared" si="112"/>
        <v>881.11378911112968</v>
      </c>
      <c r="AM146" s="59">
        <f t="shared" si="113"/>
        <v>1174.447122444463</v>
      </c>
      <c r="AN146" s="59">
        <f ca="1">AVERAGE(OFFSET($AM$3,0,0,'Données projet'!$E$10+1,1))-AVERAGE(OFFSET($H$3,0,0,'Données projet'!$E$10+1,1))</f>
        <v>581.88778927327667</v>
      </c>
      <c r="AO146" s="59">
        <f t="shared" si="144"/>
        <v>269.67340993773422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55.952864002898004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55.952864002898004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-4.2632564145606011E-13</v>
      </c>
      <c r="BE146" s="13">
        <f>BD146*VLOOKUP('Données projet'!$B$11,Paramètres!$A$1:$I$89,3,0)*VLOOKUP('Données projet'!$B$11,Paramètres!$A$1:$I$89,5,0)</f>
        <v>-2.4385826691286639E-13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292.09131652373259</v>
      </c>
      <c r="BJ146" s="59">
        <f t="shared" si="146"/>
        <v>200.24819245805861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53.298192920167693</v>
      </c>
      <c r="BQ146" s="21">
        <f>EXP(-LN(2)/25)*BQ145+(1-EXP(-LN(2)/25))/(LN(2)/25)*Calculateur!BL146*Calculateur!BN146*VLOOKUP('Données projet'!$B$11,Paramètres!$A$1:$I$89,3,0)*0.475*44/12</f>
        <v>17.521343108635371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70.819536028803071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-6.7984728957526396E-14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300.80663531652721</v>
      </c>
      <c r="T147" s="59">
        <f t="shared" si="142"/>
        <v>306.01967513533549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26.202566459610551</v>
      </c>
      <c r="AA147" s="21">
        <f>EXP(-LN(2)/25)*AA146+(1-EXP(-LN(2)/25))/(LN(2)/25)*Calculateur!V147*Calculateur!X147*VLOOKUP('Données projet'!$B$9,Paramètres!$A$1:$I$89,3,0)*0.475*44/12</f>
        <v>8.3463468504141307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34.54891331002468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463.23</v>
      </c>
      <c r="AG147" s="12">
        <f>VLOOKUP(A147,'Données projet'!$A$61:$I$81,9,0)</f>
        <v>8.1590000000000025</v>
      </c>
      <c r="AH147" s="12">
        <f t="array" ref="AH147">INDEX(AG:AG,MIN(IF(ISNUMBER(AG147:AG343),ROW(AG147:AG343),"")))</f>
        <v>8.1590000000000025</v>
      </c>
      <c r="AI147" s="13">
        <f>IF('Données projet'!$A$62&gt;35,AI146+AH147-AQ146,IF(A147&lt;'Données projet'!$A$62,$AF$205^A147,IF(A147='Données projet'!$A$62,'Données projet'!$B$62,AI146+AH147-AQ146)))</f>
        <v>463.23000000000059</v>
      </c>
      <c r="AJ147" s="13">
        <f>AI147*VLOOKUP('Données projet'!$B$10,Paramètres!$A$1:$I$89,3,0)*VLOOKUP('Données projet'!$B$10,Paramètres!$A$1:$I$89,5,0)</f>
        <v>419.13050400000049</v>
      </c>
      <c r="AK147" s="13">
        <f t="shared" si="143"/>
        <v>95.644473208887277</v>
      </c>
      <c r="AL147" s="20">
        <f t="shared" si="112"/>
        <v>896.56641863881293</v>
      </c>
      <c r="AM147" s="59">
        <f t="shared" si="113"/>
        <v>1189.8997519721463</v>
      </c>
      <c r="AN147" s="59">
        <f ca="1">AVERAGE(OFFSET($AM$3,0,0,'Données projet'!$E$10+1,1))-AVERAGE(OFFSET($H$3,0,0,'Données projet'!$E$10+1,1))</f>
        <v>581.88778927327667</v>
      </c>
      <c r="AO147" s="59">
        <f t="shared" si="144"/>
        <v>269.67340993773422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0.25800000000000001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69.309560312196439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69.309560312196439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-4.2632564145606011E-13</v>
      </c>
      <c r="BE147" s="13">
        <f>BD147*VLOOKUP('Données projet'!$B$11,Paramètres!$A$1:$I$89,3,0)*VLOOKUP('Données projet'!$B$11,Paramètres!$A$1:$I$89,5,0)</f>
        <v>-2.4385826691286639E-13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292.09131652373259</v>
      </c>
      <c r="BJ147" s="59">
        <f t="shared" si="146"/>
        <v>200.24819245805861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52.253047865690917</v>
      </c>
      <c r="BQ147" s="21">
        <f>EXP(-LN(2)/25)*BQ146+(1-EXP(-LN(2)/25))/(LN(2)/25)*Calculateur!BL147*Calculateur!BN147*VLOOKUP('Données projet'!$B$11,Paramètres!$A$1:$I$89,3,0)*0.475*44/12</f>
        <v>17.042221059922348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69.295268925613271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-6.7984728957526396E-14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300.80663531652721</v>
      </c>
      <c r="T148" s="59">
        <f t="shared" si="142"/>
        <v>306.01967513533549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25.688750113325039</v>
      </c>
      <c r="AA148" s="21">
        <f>EXP(-LN(2)/25)*AA147+(1-EXP(-LN(2)/25))/(LN(2)/25)*Calculateur!V148*Calculateur!X148*VLOOKUP('Données projet'!$B$9,Paramètres!$A$1:$I$89,3,0)*0.475*44/12</f>
        <v>8.1181155568742511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33.806865670199286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8.3249999999999993</v>
      </c>
      <c r="AI148" s="13">
        <f>IF('Données projet'!$A$62&gt;35,AI147+AH148-AQ147,IF(A148&lt;'Données projet'!$A$62,$AF$205^A148,IF(A148='Données projet'!$A$62,'Données projet'!$B$62,AI147+AH148-AQ147)))</f>
        <v>415.54500000000058</v>
      </c>
      <c r="AJ148" s="13">
        <f>AI148*VLOOKUP('Données projet'!$B$10,Paramètres!$A$1:$I$89,3,0)*VLOOKUP('Données projet'!$B$10,Paramètres!$A$1:$I$89,5,0)</f>
        <v>375.98511600000052</v>
      </c>
      <c r="AK148" s="13">
        <f t="shared" si="143"/>
        <v>86.890611547517153</v>
      </c>
      <c r="AL148" s="20">
        <f t="shared" si="112"/>
        <v>806.17522547859323</v>
      </c>
      <c r="AM148" s="59">
        <f t="shared" si="113"/>
        <v>1099.5085588119266</v>
      </c>
      <c r="AN148" s="59">
        <f ca="1">AVERAGE(OFFSET($AM$3,0,0,'Données projet'!$E$10+1,1))-AVERAGE(OFFSET($H$3,0,0,'Données projet'!$E$10+1,1))</f>
        <v>581.88778927327667</v>
      </c>
      <c r="AO148" s="59">
        <f t="shared" si="144"/>
        <v>269.67340993773422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67.950442109131785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67.950442109131785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-4.2632564145606011E-13</v>
      </c>
      <c r="BE148" s="13">
        <f>BD148*VLOOKUP('Données projet'!$B$11,Paramètres!$A$1:$I$89,3,0)*VLOOKUP('Données projet'!$B$11,Paramètres!$A$1:$I$89,5,0)</f>
        <v>-2.4385826691286639E-13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292.09131652373259</v>
      </c>
      <c r="BJ148" s="59">
        <f t="shared" si="146"/>
        <v>200.24819245805861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51.228397468256894</v>
      </c>
      <c r="BQ148" s="21">
        <f>EXP(-LN(2)/25)*BQ147+(1-EXP(-LN(2)/25))/(LN(2)/25)*Calculateur!BL148*Calculateur!BN148*VLOOKUP('Données projet'!$B$11,Paramètres!$A$1:$I$89,3,0)*0.475*44/12</f>
        <v>16.576200628827316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67.804598097084209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-6.7984728957526396E-14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300.80663531652721</v>
      </c>
      <c r="T149" s="59">
        <f t="shared" si="142"/>
        <v>306.01967513533549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25.185009392193159</v>
      </c>
      <c r="AA149" s="21">
        <f>EXP(-LN(2)/25)*AA148+(1-EXP(-LN(2)/25))/(LN(2)/25)*Calculateur!V149*Calculateur!X149*VLOOKUP('Données projet'!$B$9,Paramètres!$A$1:$I$89,3,0)*0.475*44/12</f>
        <v>7.8961252600583816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33.081134652251542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8.3249999999999993</v>
      </c>
      <c r="AI149" s="13">
        <f>IF('Données projet'!$A$62&gt;35,AI148+AH149-AQ148,IF(A149&lt;'Données projet'!$A$62,$AF$205^A149,IF(A149='Données projet'!$A$62,'Données projet'!$B$62,AI148+AH149-AQ148)))</f>
        <v>423.87000000000057</v>
      </c>
      <c r="AJ149" s="13">
        <f>AI149*VLOOKUP('Données projet'!$B$10,Paramètres!$A$1:$I$89,3,0)*VLOOKUP('Données projet'!$B$10,Paramètres!$A$1:$I$89,5,0)</f>
        <v>383.51757600000053</v>
      </c>
      <c r="AK149" s="13">
        <f t="shared" si="143"/>
        <v>88.426967368766455</v>
      </c>
      <c r="AL149" s="20">
        <f t="shared" si="112"/>
        <v>821.97007970060247</v>
      </c>
      <c r="AM149" s="59">
        <f t="shared" si="113"/>
        <v>1115.3034130339358</v>
      </c>
      <c r="AN149" s="59">
        <f ca="1">AVERAGE(OFFSET($AM$3,0,0,'Données projet'!$E$10+1,1))-AVERAGE(OFFSET($H$3,0,0,'Données projet'!$E$10+1,1))</f>
        <v>581.88778927327667</v>
      </c>
      <c r="AO149" s="59">
        <f t="shared" si="144"/>
        <v>269.67340993773422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66.617975385048979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66.617975385048979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-4.2632564145606011E-13</v>
      </c>
      <c r="BE149" s="13">
        <f>BD149*VLOOKUP('Données projet'!$B$11,Paramètres!$A$1:$I$89,3,0)*VLOOKUP('Données projet'!$B$11,Paramètres!$A$1:$I$89,5,0)</f>
        <v>-2.4385826691286639E-13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292.09131652373259</v>
      </c>
      <c r="BJ149" s="59">
        <f t="shared" si="146"/>
        <v>200.24819245805861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50.223839840141522</v>
      </c>
      <c r="BQ149" s="21">
        <f>EXP(-LN(2)/25)*BQ148+(1-EXP(-LN(2)/25))/(LN(2)/25)*Calculateur!BL149*Calculateur!BN149*VLOOKUP('Données projet'!$B$11,Paramètres!$A$1:$I$89,3,0)*0.475*44/12</f>
        <v>16.122923550927528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66.346763391069047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-6.7984728957526396E-14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300.80663531652721</v>
      </c>
      <c r="T150" s="59">
        <f t="shared" si="142"/>
        <v>306.01967513533549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24.691146719351174</v>
      </c>
      <c r="AA150" s="21">
        <f>EXP(-LN(2)/25)*AA149+(1-EXP(-LN(2)/25))/(LN(2)/25)*Calculateur!V150*Calculateur!X150*VLOOKUP('Données projet'!$B$9,Paramètres!$A$1:$I$89,3,0)*0.475*44/12</f>
        <v>7.6802052995829042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32.371352018934076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8.3249999999999993</v>
      </c>
      <c r="AI150" s="13">
        <f>IF('Données projet'!$A$62&gt;35,AI149+AH150-AQ149,IF(A150&lt;'Données projet'!$A$62,$AF$205^A150,IF(A150='Données projet'!$A$62,'Données projet'!$B$62,AI149+AH150-AQ149)))</f>
        <v>432.19500000000056</v>
      </c>
      <c r="AJ150" s="13">
        <f>AI150*VLOOKUP('Données projet'!$B$10,Paramètres!$A$1:$I$89,3,0)*VLOOKUP('Données projet'!$B$10,Paramètres!$A$1:$I$89,5,0)</f>
        <v>391.05003600000049</v>
      </c>
      <c r="AK150" s="13">
        <f t="shared" si="143"/>
        <v>89.959814624965674</v>
      </c>
      <c r="AL150" s="20">
        <f t="shared" si="112"/>
        <v>837.75882317181595</v>
      </c>
      <c r="AM150" s="59">
        <f t="shared" si="113"/>
        <v>1131.0921565051492</v>
      </c>
      <c r="AN150" s="59">
        <f ca="1">AVERAGE(OFFSET($AM$3,0,0,'Données projet'!$E$10+1,1))-AVERAGE(OFFSET($H$3,0,0,'Données projet'!$E$10+1,1))</f>
        <v>581.88778927327667</v>
      </c>
      <c r="AO150" s="59">
        <f t="shared" si="144"/>
        <v>269.67340993773422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65.311637520700984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65.311637520700984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-4.2632564145606011E-13</v>
      </c>
      <c r="BE150" s="13">
        <f>BD150*VLOOKUP('Données projet'!$B$11,Paramètres!$A$1:$I$89,3,0)*VLOOKUP('Données projet'!$B$11,Paramètres!$A$1:$I$89,5,0)</f>
        <v>-2.4385826691286639E-13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292.09131652373259</v>
      </c>
      <c r="BJ150" s="59">
        <f t="shared" si="146"/>
        <v>200.24819245805861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49.23898097439384</v>
      </c>
      <c r="BQ150" s="21">
        <f>EXP(-LN(2)/25)*BQ149+(1-EXP(-LN(2)/25))/(LN(2)/25)*Calculateur!BL150*Calculateur!BN150*VLOOKUP('Données projet'!$B$11,Paramètres!$A$1:$I$89,3,0)*0.475*44/12</f>
        <v>15.682041358559715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64.921022332953555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-6.7984728957526396E-14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300.80663531652721</v>
      </c>
      <c r="T151" s="59">
        <f t="shared" si="142"/>
        <v>306.01967513533549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24.206968392297135</v>
      </c>
      <c r="AA151" s="21">
        <f>EXP(-LN(2)/25)*AA150+(1-EXP(-LN(2)/25))/(LN(2)/25)*Calculateur!V151*Calculateur!X151*VLOOKUP('Données projet'!$B$9,Paramètres!$A$1:$I$89,3,0)*0.475*44/12</f>
        <v>7.470189681781366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31.677158074078502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8.3249999999999993</v>
      </c>
      <c r="AI151" s="13">
        <f>IF('Données projet'!$A$62&gt;35,AI150+AH151-AQ150,IF(A151&lt;'Données projet'!$A$62,$AF$205^A151,IF(A151='Données projet'!$A$62,'Données projet'!$B$62,AI150+AH151-AQ150)))</f>
        <v>440.52000000000055</v>
      </c>
      <c r="AJ151" s="13">
        <f>AI151*VLOOKUP('Données projet'!$B$10,Paramètres!$A$1:$I$89,3,0)*VLOOKUP('Données projet'!$B$10,Paramètres!$A$1:$I$89,5,0)</f>
        <v>398.5824960000005</v>
      </c>
      <c r="AK151" s="13">
        <f t="shared" si="143"/>
        <v>91.489228690064536</v>
      </c>
      <c r="AL151" s="20">
        <f t="shared" si="112"/>
        <v>853.54158716852999</v>
      </c>
      <c r="AM151" s="59">
        <f t="shared" si="113"/>
        <v>1146.8749205018632</v>
      </c>
      <c r="AN151" s="59">
        <f ca="1">AVERAGE(OFFSET($AM$3,0,0,'Données projet'!$E$10+1,1))-AVERAGE(OFFSET($H$3,0,0,'Données projet'!$E$10+1,1))</f>
        <v>581.88778927327667</v>
      </c>
      <c r="AO151" s="59">
        <f t="shared" si="144"/>
        <v>269.67340993773422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64.030916145085428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64.030916145085428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-4.2632564145606011E-13</v>
      </c>
      <c r="BE151" s="13">
        <f>BD151*VLOOKUP('Données projet'!$B$11,Paramètres!$A$1:$I$89,3,0)*VLOOKUP('Données projet'!$B$11,Paramètres!$A$1:$I$89,5,0)</f>
        <v>-2.4385826691286639E-13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292.09131652373259</v>
      </c>
      <c r="BJ151" s="59">
        <f t="shared" si="146"/>
        <v>200.24819245805861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48.273434590298876</v>
      </c>
      <c r="BQ151" s="21">
        <f>EXP(-LN(2)/25)*BQ150+(1-EXP(-LN(2)/25))/(LN(2)/25)*Calculateur!BL151*Calculateur!BN151*VLOOKUP('Données projet'!$B$11,Paramètres!$A$1:$I$89,3,0)*0.475*44/12</f>
        <v>15.253215112927187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63.526649703226063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-6.7984728957526396E-14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300.80663531652721</v>
      </c>
      <c r="T152" s="59">
        <f t="shared" si="142"/>
        <v>306.01967513533549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23.732284506917004</v>
      </c>
      <c r="AA152" s="21">
        <f>EXP(-LN(2)/25)*AA151+(1-EXP(-LN(2)/25))/(LN(2)/25)*Calculateur!V152*Calculateur!X152*VLOOKUP('Données projet'!$B$9,Paramètres!$A$1:$I$89,3,0)*0.475*44/12</f>
        <v>7.2659169520928524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30.998201459009856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8.3249999999999993</v>
      </c>
      <c r="AI152" s="13">
        <f>IF('Données projet'!$A$62&gt;35,AI151+AH152-AQ151,IF(A152&lt;'Données projet'!$A$62,$AF$205^A152,IF(A152='Données projet'!$A$62,'Données projet'!$B$62,AI151+AH152-AQ151)))</f>
        <v>448.84500000000054</v>
      </c>
      <c r="AJ152" s="13">
        <f>AI152*VLOOKUP('Données projet'!$B$10,Paramètres!$A$1:$I$89,3,0)*VLOOKUP('Données projet'!$B$10,Paramètres!$A$1:$I$89,5,0)</f>
        <v>406.11495600000046</v>
      </c>
      <c r="AK152" s="13">
        <f t="shared" si="143"/>
        <v>93.015281926133852</v>
      </c>
      <c r="AL152" s="20">
        <f t="shared" si="112"/>
        <v>869.31849772135058</v>
      </c>
      <c r="AM152" s="59">
        <f t="shared" si="113"/>
        <v>1162.651831054684</v>
      </c>
      <c r="AN152" s="59">
        <f ca="1">AVERAGE(OFFSET($AM$3,0,0,'Données projet'!$E$10+1,1))-AVERAGE(OFFSET($H$3,0,0,'Données projet'!$E$10+1,1))</f>
        <v>581.88778927327667</v>
      </c>
      <c r="AO152" s="59">
        <f t="shared" si="144"/>
        <v>269.67340993773422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62.775308934482787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62.775308934482787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-4.2632564145606011E-13</v>
      </c>
      <c r="BE152" s="13">
        <f>BD152*VLOOKUP('Données projet'!$B$11,Paramètres!$A$1:$I$89,3,0)*VLOOKUP('Données projet'!$B$11,Paramètres!$A$1:$I$89,5,0)</f>
        <v>-2.4385826691286639E-13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292.09131652373259</v>
      </c>
      <c r="BJ152" s="59">
        <f t="shared" si="146"/>
        <v>200.24819245805861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47.326821981870872</v>
      </c>
      <c r="BQ152" s="21">
        <f>EXP(-LN(2)/25)*BQ151+(1-EXP(-LN(2)/25))/(LN(2)/25)*Calculateur!BL152*Calculateur!BN152*VLOOKUP('Données projet'!$B$11,Paramètres!$A$1:$I$89,3,0)*0.475*44/12</f>
        <v>14.836115143532473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62.162937125403346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-6.7984728957526396E-14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300.80663531652721</v>
      </c>
      <c r="T153" s="59">
        <f t="shared" si="142"/>
        <v>306.01967513533549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23.266908883000596</v>
      </c>
      <c r="AA153" s="21">
        <f>EXP(-LN(2)/25)*AA152+(1-EXP(-LN(2)/25))/(LN(2)/25)*Calculateur!V153*Calculateur!X153*VLOOKUP('Données projet'!$B$9,Paramètres!$A$1:$I$89,3,0)*0.475*44/12</f>
        <v>7.0672300709399076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30.334138953940503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8.3249999999999993</v>
      </c>
      <c r="AI153" s="13">
        <f>IF('Données projet'!$A$62&gt;35,AI152+AH153-AQ152,IF(A153&lt;'Données projet'!$A$62,$AF$205^A153,IF(A153='Données projet'!$A$62,'Données projet'!$B$62,AI152+AH153-AQ152)))</f>
        <v>457.17000000000053</v>
      </c>
      <c r="AJ153" s="13">
        <f>AI153*VLOOKUP('Données projet'!$B$10,Paramètres!$A$1:$I$89,3,0)*VLOOKUP('Données projet'!$B$10,Paramètres!$A$1:$I$89,5,0)</f>
        <v>413.64741600000042</v>
      </c>
      <c r="AK153" s="13">
        <f t="shared" si="143"/>
        <v>94.538043857309361</v>
      </c>
      <c r="AL153" s="20">
        <f t="shared" si="112"/>
        <v>885.0896759181478</v>
      </c>
      <c r="AM153" s="59">
        <f t="shared" si="113"/>
        <v>1178.4230092514811</v>
      </c>
      <c r="AN153" s="59">
        <f ca="1">AVERAGE(OFFSET($AM$3,0,0,'Données projet'!$E$10+1,1))-AVERAGE(OFFSET($H$3,0,0,'Données projet'!$E$10+1,1))</f>
        <v>581.88778927327667</v>
      </c>
      <c r="AO153" s="59">
        <f t="shared" si="144"/>
        <v>269.67340993773422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61.544323415435287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61.544323415435287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-4.2632564145606011E-13</v>
      </c>
      <c r="BE153" s="13">
        <f>BD153*VLOOKUP('Données projet'!$B$11,Paramètres!$A$1:$I$89,3,0)*VLOOKUP('Données projet'!$B$11,Paramètres!$A$1:$I$89,5,0)</f>
        <v>-2.4385826691286639E-13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292.09131652373259</v>
      </c>
      <c r="BJ153" s="59">
        <f t="shared" si="146"/>
        <v>200.24819245805861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46.398771869317464</v>
      </c>
      <c r="BQ153" s="21">
        <f>EXP(-LN(2)/25)*BQ152+(1-EXP(-LN(2)/25))/(LN(2)/25)*Calculateur!BL153*Calculateur!BN153*VLOOKUP('Données projet'!$B$11,Paramètres!$A$1:$I$89,3,0)*0.475*44/12</f>
        <v>14.430420794735189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60.829192664052655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-6.7984728957526396E-14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300.80663531652721</v>
      </c>
      <c r="T154" s="59">
        <f t="shared" si="142"/>
        <v>306.01967513533549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22.810658991218087</v>
      </c>
      <c r="AA154" s="21">
        <f>EXP(-LN(2)/25)*AA153+(1-EXP(-LN(2)/25))/(LN(2)/25)*Calculateur!V154*Calculateur!X154*VLOOKUP('Données projet'!$B$9,Paramètres!$A$1:$I$89,3,0)*0.475*44/12</f>
        <v>6.8739762930005792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29.684635284218665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8.3249999999999993</v>
      </c>
      <c r="AI154" s="13">
        <f>IF('Données projet'!$A$62&gt;35,AI153+AH154-AQ153,IF(A154&lt;'Données projet'!$A$62,$AF$205^A154,IF(A154='Données projet'!$A$62,'Données projet'!$B$62,AI153+AH154-AQ153)))</f>
        <v>465.49500000000052</v>
      </c>
      <c r="AJ154" s="13">
        <f>AI154*VLOOKUP('Données projet'!$B$10,Paramètres!$A$1:$I$89,3,0)*VLOOKUP('Données projet'!$B$10,Paramètres!$A$1:$I$89,5,0)</f>
        <v>421.17987600000043</v>
      </c>
      <c r="AK154" s="13">
        <f t="shared" ref="AK154:AK203" si="164">EXP(-1.0587+0.8836*LN(AJ154)+0.284)</f>
        <v>96.057581330707137</v>
      </c>
      <c r="AL154" s="20">
        <f t="shared" ref="AL154:AL203" si="165">(AJ154+AK154)*0.475*44/12</f>
        <v>900.85523818431557</v>
      </c>
      <c r="AM154" s="59">
        <f t="shared" si="113"/>
        <v>1194.1885715176488</v>
      </c>
      <c r="AN154" s="59">
        <f ca="1">AVERAGE(OFFSET($AM$3,0,0,'Données projet'!$E$10+1,1))-AVERAGE(OFFSET($H$3,0,0,'Données projet'!$E$10+1,1))</f>
        <v>581.88778927327667</v>
      </c>
      <c r="AO154" s="59">
        <f t="shared" si="144"/>
        <v>269.67340993773422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60.33747677158928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60.33747677158928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-4.2632564145606011E-13</v>
      </c>
      <c r="BE154" s="13">
        <f>BD154*VLOOKUP('Données projet'!$B$11,Paramètres!$A$1:$I$89,3,0)*VLOOKUP('Données projet'!$B$11,Paramètres!$A$1:$I$89,5,0)</f>
        <v>-2.4385826691286639E-13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292.09131652373259</v>
      </c>
      <c r="BJ154" s="59">
        <f t="shared" si="146"/>
        <v>200.24819245805861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45.488920253416552</v>
      </c>
      <c r="BQ154" s="21">
        <f>EXP(-LN(2)/25)*BQ153+(1-EXP(-LN(2)/25))/(LN(2)/25)*Calculateur!BL154*Calculateur!BN154*VLOOKUP('Données projet'!$B$11,Paramètres!$A$1:$I$89,3,0)*0.475*44/12</f>
        <v>14.035820179240307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59.524740432656856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-6.7984728957526396E-14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300.80663531652721</v>
      </c>
      <c r="T155" s="59">
        <f t="shared" si="142"/>
        <v>306.01967513533549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22.363355881528477</v>
      </c>
      <c r="AA155" s="21">
        <f>EXP(-LN(2)/25)*AA154+(1-EXP(-LN(2)/25))/(LN(2)/25)*Calculateur!V155*Calculateur!X155*VLOOKUP('Données projet'!$B$9,Paramètres!$A$1:$I$89,3,0)*0.475*44/12</f>
        <v>6.6860070497817761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29.049362931310252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8.3249999999999993</v>
      </c>
      <c r="AI155" s="13">
        <f>IF('Données projet'!$A$62&gt;35,AI154+AH155-AQ154,IF(A155&lt;'Données projet'!$A$62,$AF$205^A155,IF(A155='Données projet'!$A$62,'Données projet'!$B$62,AI154+AH155-AQ154)))</f>
        <v>473.8200000000005</v>
      </c>
      <c r="AJ155" s="13">
        <f>AI155*VLOOKUP('Données projet'!$B$10,Paramètres!$A$1:$I$89,3,0)*VLOOKUP('Données projet'!$B$10,Paramètres!$A$1:$I$89,5,0)</f>
        <v>428.71233600000051</v>
      </c>
      <c r="AK155" s="13">
        <f t="shared" si="164"/>
        <v>97.57395866550209</v>
      </c>
      <c r="AL155" s="20">
        <f t="shared" si="165"/>
        <v>916.61529654241701</v>
      </c>
      <c r="AM155" s="59">
        <f t="shared" si="113"/>
        <v>1209.9486298757504</v>
      </c>
      <c r="AN155" s="59">
        <f ca="1">AVERAGE(OFFSET($AM$3,0,0,'Données projet'!$E$10+1,1))-AVERAGE(OFFSET($H$3,0,0,'Données projet'!$E$10+1,1))</f>
        <v>581.88778927327667</v>
      </c>
      <c r="AO155" s="59">
        <f t="shared" si="144"/>
        <v>269.67340993773422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59.154295654325324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59.154295654325324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-4.2632564145606011E-13</v>
      </c>
      <c r="BE155" s="13">
        <f>BD155*VLOOKUP('Données projet'!$B$11,Paramètres!$A$1:$I$89,3,0)*VLOOKUP('Données projet'!$B$11,Paramètres!$A$1:$I$89,5,0)</f>
        <v>-2.4385826691286639E-13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292.09131652373259</v>
      </c>
      <c r="BJ155" s="59">
        <f t="shared" si="146"/>
        <v>200.24819245805861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44.596910272748765</v>
      </c>
      <c r="BQ155" s="21">
        <f>EXP(-LN(2)/25)*BQ154+(1-EXP(-LN(2)/25))/(LN(2)/25)*Calculateur!BL155*Calculateur!BN155*VLOOKUP('Données projet'!$B$11,Paramètres!$A$1:$I$89,3,0)*0.475*44/12</f>
        <v>13.652009938327277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58.24892021107604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-6.7984728957526396E-14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300.80663531652721</v>
      </c>
      <c r="T156" s="59">
        <f t="shared" si="142"/>
        <v>306.01967513533549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21.924824112991924</v>
      </c>
      <c r="AA156" s="21">
        <f>EXP(-LN(2)/25)*AA155+(1-EXP(-LN(2)/25))/(LN(2)/25)*Calculateur!V156*Calculateur!X156*VLOOKUP('Données projet'!$B$9,Paramètres!$A$1:$I$89,3,0)*0.475*44/12</f>
        <v>6.5031778354036636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28.42800194839559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8.3249999999999993</v>
      </c>
      <c r="AI156" s="13">
        <f>IF('Données projet'!$A$62&gt;35,AI155+AH156-AQ155,IF(A156&lt;'Données projet'!$A$62,$AF$205^A156,IF(A156='Données projet'!$A$62,'Données projet'!$B$62,AI155+AH156-AQ155)))</f>
        <v>482.14500000000049</v>
      </c>
      <c r="AJ156" s="13">
        <f>AI156*VLOOKUP('Données projet'!$B$10,Paramètres!$A$1:$I$89,3,0)*VLOOKUP('Données projet'!$B$10,Paramètres!$A$1:$I$89,5,0)</f>
        <v>436.24479600000041</v>
      </c>
      <c r="AK156" s="13">
        <f t="shared" si="164"/>
        <v>99.087237791231857</v>
      </c>
      <c r="AL156" s="20">
        <f t="shared" si="165"/>
        <v>932.36995885306271</v>
      </c>
      <c r="AM156" s="59">
        <f t="shared" si="113"/>
        <v>1225.7032921863961</v>
      </c>
      <c r="AN156" s="59">
        <f ca="1">AVERAGE(OFFSET($AM$3,0,0,'Données projet'!$E$10+1,1))-AVERAGE(OFFSET($H$3,0,0,'Données projet'!$E$10+1,1))</f>
        <v>581.88778927327667</v>
      </c>
      <c r="AO156" s="59">
        <f t="shared" si="144"/>
        <v>269.67340993773422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57.994315997101694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57.994315997101694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-4.2632564145606011E-13</v>
      </c>
      <c r="BE156" s="13">
        <f>BD156*VLOOKUP('Données projet'!$B$11,Paramètres!$A$1:$I$89,3,0)*VLOOKUP('Données projet'!$B$11,Paramètres!$A$1:$I$89,5,0)</f>
        <v>-2.4385826691286639E-13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292.09131652373259</v>
      </c>
      <c r="BJ156" s="59">
        <f t="shared" si="146"/>
        <v>200.24819245805861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43.722392063729508</v>
      </c>
      <c r="BQ156" s="21">
        <f>EXP(-LN(2)/25)*BQ155+(1-EXP(-LN(2)/25))/(LN(2)/25)*Calculateur!BL156*Calculateur!BN156*VLOOKUP('Données projet'!$B$11,Paramètres!$A$1:$I$89,3,0)*0.475*44/12</f>
        <v>13.278695008635717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57.001087072365223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-6.7984728957526396E-14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300.80663531652721</v>
      </c>
      <c r="T157" s="59">
        <f t="shared" si="142"/>
        <v>306.01967513533549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21.494891684958404</v>
      </c>
      <c r="AA157" s="21">
        <f>EXP(-LN(2)/25)*AA156+(1-EXP(-LN(2)/25))/(LN(2)/25)*Calculateur!V157*Calculateur!X157*VLOOKUP('Données projet'!$B$9,Paramètres!$A$1:$I$89,3,0)*0.475*44/12</f>
        <v>6.3253480955072909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27.820239780465695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490.47</v>
      </c>
      <c r="AG157" s="12">
        <f>VLOOKUP(A157,'Données projet'!$A$61:$I$81,9,0)</f>
        <v>8.3249999999999993</v>
      </c>
      <c r="AH157" s="12">
        <f t="array" ref="AH157">INDEX(AG:AG,MIN(IF(ISNUMBER(AG157:AG353),ROW(AG157:AG353),"")))</f>
        <v>8.3249999999999993</v>
      </c>
      <c r="AI157" s="13">
        <f>IF('Données projet'!$A$62&gt;35,AI156+AH157-AQ156,IF(A157&lt;'Données projet'!$A$62,$AF$205^A157,IF(A157='Données projet'!$A$62,'Données projet'!$B$62,AI156+AH157-AQ156)))</f>
        <v>490.47000000000048</v>
      </c>
      <c r="AJ157" s="13">
        <f>AI157*VLOOKUP('Données projet'!$B$10,Paramètres!$A$1:$I$89,3,0)*VLOOKUP('Données projet'!$B$10,Paramètres!$A$1:$I$89,5,0)</f>
        <v>443.77725600000048</v>
      </c>
      <c r="AK157" s="13">
        <f t="shared" si="164"/>
        <v>100.59747837627934</v>
      </c>
      <c r="AL157" s="20">
        <f t="shared" si="165"/>
        <v>948.11932903868717</v>
      </c>
      <c r="AM157" s="59">
        <f t="shared" si="113"/>
        <v>1241.4526623720205</v>
      </c>
      <c r="AN157" s="59">
        <f ca="1">AVERAGE(OFFSET($AM$3,0,0,'Données projet'!$E$10+1,1))-AVERAGE(OFFSET($H$3,0,0,'Données projet'!$E$10+1,1))</f>
        <v>581.88778927327667</v>
      </c>
      <c r="AO157" s="59">
        <f t="shared" si="144"/>
        <v>269.67340993773422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0.25800000000000001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71.083888549708462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71.083888549708462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-4.2632564145606011E-13</v>
      </c>
      <c r="BE157" s="13">
        <f>BD157*VLOOKUP('Données projet'!$B$11,Paramètres!$A$1:$I$89,3,0)*VLOOKUP('Données projet'!$B$11,Paramètres!$A$1:$I$89,5,0)</f>
        <v>-2.4385826691286639E-13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292.09131652373259</v>
      </c>
      <c r="BJ157" s="59">
        <f t="shared" si="146"/>
        <v>200.24819245805861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42.865022623385684</v>
      </c>
      <c r="BQ157" s="21">
        <f>EXP(-LN(2)/25)*BQ156+(1-EXP(-LN(2)/25))/(LN(2)/25)*Calculateur!BL157*Calculateur!BN157*VLOOKUP('Données projet'!$B$11,Paramètres!$A$1:$I$89,3,0)*0.475*44/12</f>
        <v>12.915588395328351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55.780611018714033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-6.7984728957526396E-14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300.80663531652721</v>
      </c>
      <c r="T158" s="59">
        <f t="shared" si="142"/>
        <v>306.01967513533549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21.073389969605735</v>
      </c>
      <c r="AA158" s="21">
        <f>EXP(-LN(2)/25)*AA157+(1-EXP(-LN(2)/25))/(LN(2)/25)*Calculateur!V158*Calculateur!X158*VLOOKUP('Données projet'!$B$9,Paramètres!$A$1:$I$89,3,0)*0.475*44/12</f>
        <v>6.1523811192000446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27.225771088805779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8.4429999999999943</v>
      </c>
      <c r="AI158" s="13">
        <f>IF('Données projet'!$A$62&gt;35,AI157+AH158-AQ157,IF(A158&lt;'Données projet'!$A$62,$AF$205^A158,IF(A158='Données projet'!$A$62,'Données projet'!$B$62,AI157+AH158-AQ157)))</f>
        <v>443.78300000000047</v>
      </c>
      <c r="AJ158" s="13">
        <f>AI158*VLOOKUP('Données projet'!$B$10,Paramètres!$A$1:$I$89,3,0)*VLOOKUP('Données projet'!$B$10,Paramètres!$A$1:$I$89,5,0)</f>
        <v>401.53485840000047</v>
      </c>
      <c r="AK158" s="13">
        <f t="shared" si="164"/>
        <v>92.087764815279797</v>
      </c>
      <c r="AL158" s="20">
        <f t="shared" si="165"/>
        <v>859.72606876661303</v>
      </c>
      <c r="AM158" s="59">
        <f t="shared" si="113"/>
        <v>1153.0594020999463</v>
      </c>
      <c r="AN158" s="59">
        <f ca="1">AVERAGE(OFFSET($AM$3,0,0,'Données projet'!$E$10+1,1))-AVERAGE(OFFSET($H$3,0,0,'Données projet'!$E$10+1,1))</f>
        <v>581.88778927327667</v>
      </c>
      <c r="AO158" s="59">
        <f t="shared" si="144"/>
        <v>269.67340993773422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69.689976852139552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69.689976852139552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-4.2632564145606011E-13</v>
      </c>
      <c r="BE158" s="13">
        <f>BD158*VLOOKUP('Données projet'!$B$11,Paramètres!$A$1:$I$89,3,0)*VLOOKUP('Données projet'!$B$11,Paramètres!$A$1:$I$89,5,0)</f>
        <v>-2.4385826691286639E-13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292.09131652373259</v>
      </c>
      <c r="BJ158" s="59">
        <f t="shared" si="146"/>
        <v>200.24819245805861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42.024465674823276</v>
      </c>
      <c r="BQ158" s="21">
        <f>EXP(-LN(2)/25)*BQ157+(1-EXP(-LN(2)/25))/(LN(2)/25)*Calculateur!BL158*Calculateur!BN158*VLOOKUP('Données projet'!$B$11,Paramètres!$A$1:$I$89,3,0)*0.475*44/12</f>
        <v>12.562410951456823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54.586876626280102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-6.7984728957526396E-14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300.80663531652721</v>
      </c>
      <c r="T159" s="59">
        <f t="shared" si="142"/>
        <v>306.01967513533549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20.66015364580047</v>
      </c>
      <c r="AA159" s="21">
        <f>EXP(-LN(2)/25)*AA158+(1-EXP(-LN(2)/25))/(LN(2)/25)*Calculateur!V159*Calculateur!X159*VLOOKUP('Données projet'!$B$9,Paramètres!$A$1:$I$89,3,0)*0.475*44/12</f>
        <v>5.984143933955858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26.644297579756326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8.4429999999999943</v>
      </c>
      <c r="AI159" s="13">
        <f>IF('Données projet'!$A$62&gt;35,AI158+AH159-AQ158,IF(A159&lt;'Données projet'!$A$62,$AF$205^A159,IF(A159='Données projet'!$A$62,'Données projet'!$B$62,AI158+AH159-AQ158)))</f>
        <v>452.22600000000045</v>
      </c>
      <c r="AJ159" s="13">
        <f>AI159*VLOOKUP('Données projet'!$B$10,Paramètres!$A$1:$I$89,3,0)*VLOOKUP('Données projet'!$B$10,Paramètres!$A$1:$I$89,5,0)</f>
        <v>409.1740848000004</v>
      </c>
      <c r="AK159" s="13">
        <f t="shared" si="164"/>
        <v>93.634108404325715</v>
      </c>
      <c r="AL159" s="20">
        <f t="shared" si="165"/>
        <v>875.72426983086791</v>
      </c>
      <c r="AM159" s="59">
        <f t="shared" si="113"/>
        <v>1169.0576031642013</v>
      </c>
      <c r="AN159" s="59">
        <f ca="1">AVERAGE(OFFSET($AM$3,0,0,'Données projet'!$E$10+1,1))-AVERAGE(OFFSET($H$3,0,0,'Données projet'!$E$10+1,1))</f>
        <v>581.88778927327667</v>
      </c>
      <c r="AO159" s="59">
        <f t="shared" si="144"/>
        <v>269.67340993773422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68.323398912757781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68.323398912757781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-4.2632564145606011E-13</v>
      </c>
      <c r="BE159" s="13">
        <f>BD159*VLOOKUP('Données projet'!$B$11,Paramètres!$A$1:$I$89,3,0)*VLOOKUP('Données projet'!$B$11,Paramètres!$A$1:$I$89,5,0)</f>
        <v>-2.4385826691286639E-13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292.09131652373259</v>
      </c>
      <c r="BJ159" s="59">
        <f t="shared" si="146"/>
        <v>200.24819245805861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41.200391535333061</v>
      </c>
      <c r="BQ159" s="21">
        <f>EXP(-LN(2)/25)*BQ158+(1-EXP(-LN(2)/25))/(LN(2)/25)*Calculateur!BL159*Calculateur!BN159*VLOOKUP('Données projet'!$B$11,Paramètres!$A$1:$I$89,3,0)*0.475*44/12</f>
        <v>12.218891163360755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53.41928269869382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-6.7984728957526396E-14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300.80663531652721</v>
      </c>
      <c r="T160" s="59">
        <f t="shared" si="142"/>
        <v>306.01967513533549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20.255020634255757</v>
      </c>
      <c r="AA160" s="21">
        <f>EXP(-LN(2)/25)*AA159+(1-EXP(-LN(2)/25))/(LN(2)/25)*Calculateur!V160*Calculateur!X160*VLOOKUP('Données projet'!$B$9,Paramètres!$A$1:$I$89,3,0)*0.475*44/12</f>
        <v>5.8205072033893828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26.07552783764514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8.4429999999999943</v>
      </c>
      <c r="AI160" s="13">
        <f>IF('Données projet'!$A$62&gt;35,AI159+AH160-AQ159,IF(A160&lt;'Données projet'!$A$62,$AF$205^A160,IF(A160='Données projet'!$A$62,'Données projet'!$B$62,AI159+AH160-AQ159)))</f>
        <v>460.66900000000044</v>
      </c>
      <c r="AJ160" s="13">
        <f>AI160*VLOOKUP('Données projet'!$B$10,Paramètres!$A$1:$I$89,3,0)*VLOOKUP('Données projet'!$B$10,Paramètres!$A$1:$I$89,5,0)</f>
        <v>416.81331120000038</v>
      </c>
      <c r="AK160" s="13">
        <f t="shared" si="164"/>
        <v>95.177094964322421</v>
      </c>
      <c r="AL160" s="20">
        <f t="shared" si="165"/>
        <v>891.71662406952885</v>
      </c>
      <c r="AM160" s="59">
        <f t="shared" si="113"/>
        <v>1185.0499574028622</v>
      </c>
      <c r="AN160" s="59">
        <f ca="1">AVERAGE(OFFSET($AM$3,0,0,'Données projet'!$E$10+1,1))-AVERAGE(OFFSET($H$3,0,0,'Données projet'!$E$10+1,1))</f>
        <v>581.88778927327667</v>
      </c>
      <c r="AO160" s="59">
        <f t="shared" si="144"/>
        <v>269.67340993773422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66.983618733237051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66.983618733237051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-4.2632564145606011E-13</v>
      </c>
      <c r="BE160" s="13">
        <f>BD160*VLOOKUP('Données projet'!$B$11,Paramètres!$A$1:$I$89,3,0)*VLOOKUP('Données projet'!$B$11,Paramètres!$A$1:$I$89,5,0)</f>
        <v>-2.4385826691286639E-13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292.09131652373259</v>
      </c>
      <c r="BJ160" s="59">
        <f t="shared" si="146"/>
        <v>200.24819245805861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40.392476987082659</v>
      </c>
      <c r="BQ160" s="21">
        <f>EXP(-LN(2)/25)*BQ159+(1-EXP(-LN(2)/25))/(LN(2)/25)*Calculateur!BL160*Calculateur!BN160*VLOOKUP('Données projet'!$B$11,Paramètres!$A$1:$I$89,3,0)*0.475*44/12</f>
        <v>11.884764941935096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52.277241929017755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-6.7984728957526396E-14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300.80663531652721</v>
      </c>
      <c r="T161" s="59">
        <f t="shared" si="142"/>
        <v>306.01967513533549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19.857832033960698</v>
      </c>
      <c r="AA161" s="21">
        <f>EXP(-LN(2)/25)*AA160+(1-EXP(-LN(2)/25))/(LN(2)/25)*Calculateur!V161*Calculateur!X161*VLOOKUP('Données projet'!$B$9,Paramètres!$A$1:$I$89,3,0)*0.475*44/12</f>
        <v>5.6613451278255296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25.519177161786228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8.4429999999999943</v>
      </c>
      <c r="AI161" s="13">
        <f>IF('Données projet'!$A$62&gt;35,AI160+AH161-AQ160,IF(A161&lt;'Données projet'!$A$62,$AF$205^A161,IF(A161='Données projet'!$A$62,'Données projet'!$B$62,AI160+AH161-AQ160)))</f>
        <v>469.11200000000042</v>
      </c>
      <c r="AJ161" s="13">
        <f>AI161*VLOOKUP('Données projet'!$B$10,Paramètres!$A$1:$I$89,3,0)*VLOOKUP('Données projet'!$B$10,Paramètres!$A$1:$I$89,5,0)</f>
        <v>424.45253760000043</v>
      </c>
      <c r="AK161" s="13">
        <f t="shared" si="164"/>
        <v>96.716793118095666</v>
      </c>
      <c r="AL161" s="20">
        <f t="shared" si="165"/>
        <v>907.70325100068385</v>
      </c>
      <c r="AM161" s="59">
        <f t="shared" si="113"/>
        <v>1201.0365843340171</v>
      </c>
      <c r="AN161" s="59">
        <f ca="1">AVERAGE(OFFSET($AM$3,0,0,'Données projet'!$E$10+1,1))-AVERAGE(OFFSET($H$3,0,0,'Données projet'!$E$10+1,1))</f>
        <v>581.88778927327667</v>
      </c>
      <c r="AO161" s="59">
        <f t="shared" si="144"/>
        <v>269.67340993773422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65.670110825851509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65.670110825851509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-4.2632564145606011E-13</v>
      </c>
      <c r="BE161" s="13">
        <f>BD161*VLOOKUP('Données projet'!$B$11,Paramètres!$A$1:$I$89,3,0)*VLOOKUP('Données projet'!$B$11,Paramètres!$A$1:$I$89,5,0)</f>
        <v>-2.4385826691286639E-13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292.09131652373259</v>
      </c>
      <c r="BJ161" s="59">
        <f t="shared" si="146"/>
        <v>200.24819245805861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39.60040515034423</v>
      </c>
      <c r="BQ161" s="21">
        <f>EXP(-LN(2)/25)*BQ160+(1-EXP(-LN(2)/25))/(LN(2)/25)*Calculateur!BL161*Calculateur!BN161*VLOOKUP('Données projet'!$B$11,Paramètres!$A$1:$I$89,3,0)*0.475*44/12</f>
        <v>11.559775419605256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51.160180569949489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-6.7984728957526396E-14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300.80663531652721</v>
      </c>
      <c r="T162" s="59">
        <f t="shared" si="142"/>
        <v>306.01967513533549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19.468432059856301</v>
      </c>
      <c r="AA162" s="21">
        <f>EXP(-LN(2)/25)*AA161+(1-EXP(-LN(2)/25))/(LN(2)/25)*Calculateur!V162*Calculateur!X162*VLOOKUP('Données projet'!$B$9,Paramètres!$A$1:$I$89,3,0)*0.475*44/12</f>
        <v>5.5065353475879393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24.97496740744424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8.4429999999999943</v>
      </c>
      <c r="AI162" s="13">
        <f>IF('Données projet'!$A$62&gt;35,AI161+AH162-AQ161,IF(A162&lt;'Données projet'!$A$62,$AF$205^A162,IF(A162='Données projet'!$A$62,'Données projet'!$B$62,AI161+AH162-AQ161)))</f>
        <v>477.5550000000004</v>
      </c>
      <c r="AJ162" s="13">
        <f>AI162*VLOOKUP('Données projet'!$B$10,Paramètres!$A$1:$I$89,3,0)*VLOOKUP('Données projet'!$B$10,Paramètres!$A$1:$I$89,5,0)</f>
        <v>432.09176400000035</v>
      </c>
      <c r="AK162" s="13">
        <f t="shared" si="164"/>
        <v>98.253268876899142</v>
      </c>
      <c r="AL162" s="20">
        <f t="shared" si="165"/>
        <v>923.68426559393322</v>
      </c>
      <c r="AM162" s="59">
        <f t="shared" si="113"/>
        <v>1217.0175989272666</v>
      </c>
      <c r="AN162" s="59">
        <f ca="1">AVERAGE(OFFSET($AM$3,0,0,'Données projet'!$E$10+1,1))-AVERAGE(OFFSET($H$3,0,0,'Données projet'!$E$10+1,1))</f>
        <v>581.88778927327667</v>
      </c>
      <c r="AO162" s="59">
        <f t="shared" si="144"/>
        <v>269.67340993773422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64.382360007369087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64.382360007369087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-4.2632564145606011E-13</v>
      </c>
      <c r="BE162" s="13">
        <f>BD162*VLOOKUP('Données projet'!$B$11,Paramètres!$A$1:$I$89,3,0)*VLOOKUP('Données projet'!$B$11,Paramètres!$A$1:$I$89,5,0)</f>
        <v>-2.4385826691286639E-13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292.09131652373259</v>
      </c>
      <c r="BJ162" s="59">
        <f t="shared" si="146"/>
        <v>200.24819245805861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38.823865359208128</v>
      </c>
      <c r="BQ162" s="21">
        <f>EXP(-LN(2)/25)*BQ161+(1-EXP(-LN(2)/25))/(LN(2)/25)*Calculateur!BL162*Calculateur!BN162*VLOOKUP('Données projet'!$B$11,Paramètres!$A$1:$I$89,3,0)*0.475*44/12</f>
        <v>11.24367275285398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50.06753811206211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-6.7984728957526396E-14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300.80663531652721</v>
      </c>
      <c r="T163" s="59">
        <f t="shared" si="142"/>
        <v>306.01967513533549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19.086667981733559</v>
      </c>
      <c r="AA163" s="21">
        <f>EXP(-LN(2)/25)*AA162+(1-EXP(-LN(2)/25))/(LN(2)/25)*Calculateur!V163*Calculateur!X163*VLOOKUP('Données projet'!$B$9,Paramètres!$A$1:$I$89,3,0)*0.475*44/12</f>
        <v>5.3559588489320387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24.442626830665596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8.4429999999999943</v>
      </c>
      <c r="AI163" s="13">
        <f>IF('Données projet'!$A$62&gt;35,AI162+AH163-AQ162,IF(A163&lt;'Données projet'!$A$62,$AF$205^A163,IF(A163='Données projet'!$A$62,'Données projet'!$B$62,AI162+AH163-AQ162)))</f>
        <v>485.99800000000039</v>
      </c>
      <c r="AJ163" s="13">
        <f>AI163*VLOOKUP('Données projet'!$B$10,Paramètres!$A$1:$I$89,3,0)*VLOOKUP('Données projet'!$B$10,Paramètres!$A$1:$I$89,5,0)</f>
        <v>439.73099040000034</v>
      </c>
      <c r="AK163" s="13">
        <f t="shared" si="164"/>
        <v>99.786585784186272</v>
      </c>
      <c r="AL163" s="20">
        <f t="shared" si="165"/>
        <v>939.65977852079175</v>
      </c>
      <c r="AM163" s="59">
        <f t="shared" si="113"/>
        <v>1232.9931118541251</v>
      </c>
      <c r="AN163" s="59">
        <f ca="1">AVERAGE(OFFSET($AM$3,0,0,'Données projet'!$E$10+1,1))-AVERAGE(OFFSET($H$3,0,0,'Données projet'!$E$10+1,1))</f>
        <v>581.88778927327667</v>
      </c>
      <c r="AO163" s="59">
        <f t="shared" si="144"/>
        <v>269.67340993773422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63.119861196986655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63.119861196986655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-4.2632564145606011E-13</v>
      </c>
      <c r="BE163" s="13">
        <f>BD163*VLOOKUP('Données projet'!$B$11,Paramètres!$A$1:$I$89,3,0)*VLOOKUP('Données projet'!$B$11,Paramètres!$A$1:$I$89,5,0)</f>
        <v>-2.4385826691286639E-13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292.09131652373259</v>
      </c>
      <c r="BJ163" s="59">
        <f t="shared" si="146"/>
        <v>200.24819245805861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38.0625530397337</v>
      </c>
      <c r="BQ163" s="21">
        <f>EXP(-LN(2)/25)*BQ162+(1-EXP(-LN(2)/25))/(LN(2)/25)*Calculateur!BL163*Calculateur!BN163*VLOOKUP('Données projet'!$B$11,Paramètres!$A$1:$I$89,3,0)*0.475*44/12</f>
        <v>10.936213930148135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48.998766969881835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-6.7984728957526396E-14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300.80663531652721</v>
      </c>
      <c r="T164" s="59">
        <f t="shared" si="142"/>
        <v>306.01967513533549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18.712390064329707</v>
      </c>
      <c r="AA164" s="21">
        <f>EXP(-LN(2)/25)*AA163+(1-EXP(-LN(2)/25))/(LN(2)/25)*Calculateur!V164*Calculateur!X164*VLOOKUP('Données projet'!$B$9,Paramètres!$A$1:$I$89,3,0)*0.475*44/12</f>
        <v>5.2094998725503574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23.921889936880063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8.4429999999999943</v>
      </c>
      <c r="AI164" s="13">
        <f>IF('Données projet'!$A$62&gt;35,AI163+AH164-AQ163,IF(A164&lt;'Données projet'!$A$62,$AF$205^A164,IF(A164='Données projet'!$A$62,'Données projet'!$B$62,AI163+AH164-AQ163)))</f>
        <v>494.44100000000037</v>
      </c>
      <c r="AJ164" s="13">
        <f>AI164*VLOOKUP('Données projet'!$B$10,Paramètres!$A$1:$I$89,3,0)*VLOOKUP('Données projet'!$B$10,Paramètres!$A$1:$I$89,5,0)</f>
        <v>447.37021680000026</v>
      </c>
      <c r="AK164" s="13">
        <f t="shared" si="164"/>
        <v>101.3168050491076</v>
      </c>
      <c r="AL164" s="20">
        <f t="shared" si="165"/>
        <v>955.62989638719603</v>
      </c>
      <c r="AM164" s="59">
        <f t="shared" si="113"/>
        <v>1248.9632297205294</v>
      </c>
      <c r="AN164" s="59">
        <f ca="1">AVERAGE(OFFSET($AM$3,0,0,'Données projet'!$E$10+1,1))-AVERAGE(OFFSET($H$3,0,0,'Données projet'!$E$10+1,1))</f>
        <v>581.88778927327667</v>
      </c>
      <c r="AO164" s="59">
        <f t="shared" si="144"/>
        <v>269.67340993773422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61.882119218227587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61.882119218227587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-4.2632564145606011E-13</v>
      </c>
      <c r="BE164" s="13">
        <f>BD164*VLOOKUP('Données projet'!$B$11,Paramètres!$A$1:$I$89,3,0)*VLOOKUP('Données projet'!$B$11,Paramètres!$A$1:$I$89,5,0)</f>
        <v>-2.4385826691286639E-13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292.09131652373259</v>
      </c>
      <c r="BJ164" s="59">
        <f t="shared" si="146"/>
        <v>200.24819245805861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37.316169590489501</v>
      </c>
      <c r="BQ164" s="21">
        <f>EXP(-LN(2)/25)*BQ163+(1-EXP(-LN(2)/25))/(LN(2)/25)*Calculateur!BL164*Calculateur!BN164*VLOOKUP('Données projet'!$B$11,Paramètres!$A$1:$I$89,3,0)*0.475*44/12</f>
        <v>10.637162585117739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47.953332175607244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-6.7984728957526396E-14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300.80663531652721</v>
      </c>
      <c r="T165" s="59">
        <f t="shared" si="142"/>
        <v>306.01967513533549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18.345451508599158</v>
      </c>
      <c r="AA165" s="21">
        <f>EXP(-LN(2)/25)*AA164+(1-EXP(-LN(2)/25))/(LN(2)/25)*Calculateur!V165*Calculateur!X165*VLOOKUP('Données projet'!$B$9,Paramètres!$A$1:$I$89,3,0)*0.475*44/12</f>
        <v>5.0670458245797763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23.412497333178933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8.4429999999999943</v>
      </c>
      <c r="AI165" s="13">
        <f>IF('Données projet'!$A$62&gt;35,AI164+AH165-AQ164,IF(A165&lt;'Données projet'!$A$62,$AF$205^A165,IF(A165='Données projet'!$A$62,'Données projet'!$B$62,AI164+AH165-AQ164)))</f>
        <v>502.88400000000036</v>
      </c>
      <c r="AJ165" s="13">
        <f>AI165*VLOOKUP('Données projet'!$B$10,Paramètres!$A$1:$I$89,3,0)*VLOOKUP('Données projet'!$B$10,Paramètres!$A$1:$I$89,5,0)</f>
        <v>455.00944320000031</v>
      </c>
      <c r="AK165" s="13">
        <f t="shared" si="164"/>
        <v>102.84398567063174</v>
      </c>
      <c r="AL165" s="20">
        <f t="shared" si="165"/>
        <v>971.59472194968396</v>
      </c>
      <c r="AM165" s="59">
        <f t="shared" si="113"/>
        <v>1264.9280552830173</v>
      </c>
      <c r="AN165" s="59">
        <f ca="1">AVERAGE(OFFSET($AM$3,0,0,'Données projet'!$E$10+1,1))-AVERAGE(OFFSET($H$3,0,0,'Données projet'!$E$10+1,1))</f>
        <v>581.88778927327667</v>
      </c>
      <c r="AO165" s="59">
        <f t="shared" si="144"/>
        <v>269.67340993773422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60.66864860472392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60.66864860472392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-4.2632564145606011E-13</v>
      </c>
      <c r="BE165" s="13">
        <f>BD165*VLOOKUP('Données projet'!$B$11,Paramètres!$A$1:$I$89,3,0)*VLOOKUP('Données projet'!$B$11,Paramètres!$A$1:$I$89,5,0)</f>
        <v>-2.4385826691286639E-13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292.09131652373259</v>
      </c>
      <c r="BJ165" s="59">
        <f t="shared" si="146"/>
        <v>200.24819245805861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36.584422265436025</v>
      </c>
      <c r="BQ165" s="21">
        <f>EXP(-LN(2)/25)*BQ164+(1-EXP(-LN(2)/25))/(LN(2)/25)*Calculateur!BL165*Calculateur!BN165*VLOOKUP('Données projet'!$B$11,Paramètres!$A$1:$I$89,3,0)*0.475*44/12</f>
        <v>10.346288814843625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46.93071108027965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-6.7984728957526396E-14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300.80663531652721</v>
      </c>
      <c r="T166" s="59">
        <f t="shared" si="142"/>
        <v>306.01967513533549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17.985708394136065</v>
      </c>
      <c r="AA166" s="21">
        <f>EXP(-LN(2)/25)*AA165+(1-EXP(-LN(2)/25))/(LN(2)/25)*Calculateur!V166*Calculateur!X166*VLOOKUP('Données projet'!$B$9,Paramètres!$A$1:$I$89,3,0)*0.475*44/12</f>
        <v>4.9284871900422829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22.914195584178348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8.4429999999999943</v>
      </c>
      <c r="AI166" s="13">
        <f>IF('Données projet'!$A$62&gt;35,AI165+AH166-AQ165,IF(A166&lt;'Données projet'!$A$62,$AF$205^A166,IF(A166='Données projet'!$A$62,'Données projet'!$B$62,AI165+AH166-AQ165)))</f>
        <v>511.32700000000034</v>
      </c>
      <c r="AJ166" s="13">
        <f>AI166*VLOOKUP('Données projet'!$B$10,Paramètres!$A$1:$I$89,3,0)*VLOOKUP('Données projet'!$B$10,Paramètres!$A$1:$I$89,5,0)</f>
        <v>462.64866960000029</v>
      </c>
      <c r="AK166" s="13">
        <f t="shared" si="164"/>
        <v>104.36818455309495</v>
      </c>
      <c r="AL166" s="20">
        <f t="shared" si="165"/>
        <v>987.5543543166408</v>
      </c>
      <c r="AM166" s="59">
        <f t="shared" si="113"/>
        <v>1280.8876876499742</v>
      </c>
      <c r="AN166" s="59">
        <f ca="1">AVERAGE(OFFSET($AM$3,0,0,'Données projet'!$E$10+1,1))-AVERAGE(OFFSET($H$3,0,0,'Données projet'!$E$10+1,1))</f>
        <v>581.88778927327667</v>
      </c>
      <c r="AO166" s="59">
        <f t="shared" si="144"/>
        <v>269.67340993773422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59.478973409807068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59.478973409807068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-4.2632564145606011E-13</v>
      </c>
      <c r="BE166" s="13">
        <f>BD166*VLOOKUP('Données projet'!$B$11,Paramètres!$A$1:$I$89,3,0)*VLOOKUP('Données projet'!$B$11,Paramètres!$A$1:$I$89,5,0)</f>
        <v>-2.4385826691286639E-13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292.09131652373259</v>
      </c>
      <c r="BJ166" s="59">
        <f t="shared" si="146"/>
        <v>200.24819245805861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35.867024059105056</v>
      </c>
      <c r="BQ166" s="21">
        <f>EXP(-LN(2)/25)*BQ165+(1-EXP(-LN(2)/25))/(LN(2)/25)*Calculateur!BL166*Calculateur!BN166*VLOOKUP('Données projet'!$B$11,Paramètres!$A$1:$I$89,3,0)*0.475*44/12</f>
        <v>10.063369003114044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45.930393062219096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-6.7984728957526396E-14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300.80663531652721</v>
      </c>
      <c r="T167" s="59">
        <f t="shared" si="142"/>
        <v>306.01967513533549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17.633019622725961</v>
      </c>
      <c r="AA167" s="21">
        <f>EXP(-LN(2)/25)*AA166+(1-EXP(-LN(2)/25))/(LN(2)/25)*Calculateur!V167*Calculateur!X167*VLOOKUP('Données projet'!$B$9,Paramètres!$A$1:$I$89,3,0)*0.475*44/12</f>
        <v>4.7937174486526999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22.42673707137866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519.77</v>
      </c>
      <c r="AG167" s="12">
        <f>VLOOKUP(A167,'Données projet'!$A$61:$I$81,9,0)</f>
        <v>8.4429999999999943</v>
      </c>
      <c r="AH167" s="12">
        <f t="array" ref="AH167">INDEX(AG:AG,MIN(IF(ISNUMBER(AG167:AG363),ROW(AG167:AG363),"")))</f>
        <v>8.4429999999999943</v>
      </c>
      <c r="AI167" s="13">
        <f>IF('Données projet'!$A$62&gt;35,AI166+AH167-AQ166,IF(A167&lt;'Données projet'!$A$62,$AF$205^A167,IF(A167='Données projet'!$A$62,'Données projet'!$B$62,AI166+AH167-AQ166)))</f>
        <v>519.77000000000032</v>
      </c>
      <c r="AJ167" s="13">
        <f>AI167*VLOOKUP('Données projet'!$B$10,Paramètres!$A$1:$I$89,3,0)*VLOOKUP('Données projet'!$B$10,Paramètres!$A$1:$I$89,5,0)</f>
        <v>470.28789600000022</v>
      </c>
      <c r="AK167" s="13">
        <f t="shared" si="164"/>
        <v>105.88945661390174</v>
      </c>
      <c r="AL167" s="20">
        <f t="shared" si="165"/>
        <v>1003.5088891358791</v>
      </c>
      <c r="AM167" s="59">
        <f t="shared" si="113"/>
        <v>1296.8422224692124</v>
      </c>
      <c r="AN167" s="59">
        <f ca="1">AVERAGE(OFFSET($AM$3,0,0,'Données projet'!$E$10+1,1))-AVERAGE(OFFSET($H$3,0,0,'Données projet'!$E$10+1,1))</f>
        <v>581.88778927327667</v>
      </c>
      <c r="AO167" s="59">
        <f t="shared" si="144"/>
        <v>269.67340993773422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0.25800000000000001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73.687796339175065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73.687796339175065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-4.2632564145606011E-13</v>
      </c>
      <c r="BE167" s="13">
        <f>BD167*VLOOKUP('Données projet'!$B$11,Paramètres!$A$1:$I$89,3,0)*VLOOKUP('Données projet'!$B$11,Paramètres!$A$1:$I$89,5,0)</f>
        <v>-2.4385826691286639E-13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292.09131652373259</v>
      </c>
      <c r="BJ167" s="59">
        <f t="shared" si="146"/>
        <v>200.24819245805861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35.163693594030534</v>
      </c>
      <c r="BQ167" s="21">
        <f>EXP(-LN(2)/25)*BQ166+(1-EXP(-LN(2)/25))/(LN(2)/25)*Calculateur!BL167*Calculateur!BN167*VLOOKUP('Données projet'!$B$11,Paramètres!$A$1:$I$89,3,0)*0.475*44/12</f>
        <v>9.7881856485143146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44.951879242544848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-6.7984728957526396E-14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300.80663531652721</v>
      </c>
      <c r="T168" s="59">
        <f t="shared" si="142"/>
        <v>306.01967513533549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17.287246863004299</v>
      </c>
      <c r="AA168" s="21">
        <f>EXP(-LN(2)/25)*AA167+(1-EXP(-LN(2)/25))/(LN(2)/25)*Calculateur!V168*Calculateur!X168*VLOOKUP('Données projet'!$B$9,Paramètres!$A$1:$I$89,3,0)*0.475*44/12</f>
        <v>4.6626329929286472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21.949879855932945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8.5459999999999976</v>
      </c>
      <c r="AI168" s="13">
        <f>IF('Données projet'!$A$62&gt;35,AI167+AH168-AQ167,IF(A168&lt;'Données projet'!$A$62,$AF$205^A168,IF(A168='Données projet'!$A$62,'Données projet'!$B$62,AI167+AH168-AQ167)))</f>
        <v>468.73600000000039</v>
      </c>
      <c r="AJ168" s="13">
        <f>AI168*VLOOKUP('Données projet'!$B$10,Paramètres!$A$1:$I$89,3,0)*VLOOKUP('Données projet'!$B$10,Paramètres!$A$1:$I$89,5,0)</f>
        <v>424.11233280000033</v>
      </c>
      <c r="AK168" s="13">
        <f t="shared" si="164"/>
        <v>96.648293340367189</v>
      </c>
      <c r="AL168" s="20">
        <f t="shared" si="165"/>
        <v>906.99142386114011</v>
      </c>
      <c r="AM168" s="59">
        <f t="shared" si="113"/>
        <v>1200.3247571944735</v>
      </c>
      <c r="AN168" s="59">
        <f ca="1">AVERAGE(OFFSET($AM$3,0,0,'Données projet'!$E$10+1,1))-AVERAGE(OFFSET($H$3,0,0,'Données projet'!$E$10+1,1))</f>
        <v>581.88778927327667</v>
      </c>
      <c r="AO168" s="59">
        <f t="shared" si="144"/>
        <v>269.67340993773422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72.242823598081642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72.242823598081642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-4.2632564145606011E-13</v>
      </c>
      <c r="BE168" s="13">
        <f>BD168*VLOOKUP('Données projet'!$B$11,Paramètres!$A$1:$I$89,3,0)*VLOOKUP('Données projet'!$B$11,Paramètres!$A$1:$I$89,5,0)</f>
        <v>-2.4385826691286639E-13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292.09131652373259</v>
      </c>
      <c r="BJ168" s="59">
        <f t="shared" si="146"/>
        <v>200.24819245805861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34.474155010386902</v>
      </c>
      <c r="BQ168" s="21">
        <f>EXP(-LN(2)/25)*BQ167+(1-EXP(-LN(2)/25))/(LN(2)/25)*Calculateur!BL168*Calculateur!BN168*VLOOKUP('Données projet'!$B$11,Paramètres!$A$1:$I$89,3,0)*0.475*44/12</f>
        <v>9.5205271972173779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43.994682207604278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-6.7984728957526396E-14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300.80663531652721</v>
      </c>
      <c r="T169" s="59">
        <f t="shared" si="142"/>
        <v>306.01967513533549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16.948254496200221</v>
      </c>
      <c r="AA169" s="21">
        <f>EXP(-LN(2)/25)*AA168+(1-EXP(-LN(2)/25))/(LN(2)/25)*Calculateur!V169*Calculateur!X169*VLOOKUP('Données projet'!$B$9,Paramètres!$A$1:$I$89,3,0)*0.475*44/12</f>
        <v>4.5351330485398007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21.483387544740022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8.5459999999999976</v>
      </c>
      <c r="AI169" s="13">
        <f>IF('Données projet'!$A$62&gt;35,AI168+AH169-AQ168,IF(A169&lt;'Données projet'!$A$62,$AF$205^A169,IF(A169='Données projet'!$A$62,'Données projet'!$B$62,AI168+AH169-AQ168)))</f>
        <v>477.28200000000038</v>
      </c>
      <c r="AJ169" s="13">
        <f>AI169*VLOOKUP('Données projet'!$B$10,Paramètres!$A$1:$I$89,3,0)*VLOOKUP('Données projet'!$B$10,Paramètres!$A$1:$I$89,5,0)</f>
        <v>431.84475360000033</v>
      </c>
      <c r="AK169" s="13">
        <f t="shared" si="164"/>
        <v>98.203637489221336</v>
      </c>
      <c r="AL169" s="20">
        <f t="shared" si="165"/>
        <v>923.16761448039449</v>
      </c>
      <c r="AM169" s="59">
        <f t="shared" si="113"/>
        <v>1216.5009478137279</v>
      </c>
      <c r="AN169" s="59">
        <f ca="1">AVERAGE(OFFSET($AM$3,0,0,'Données projet'!$E$10+1,1))-AVERAGE(OFFSET($H$3,0,0,'Données projet'!$E$10+1,1))</f>
        <v>581.88778927327667</v>
      </c>
      <c r="AO169" s="59">
        <f t="shared" si="144"/>
        <v>269.67340993773422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70.826185891094724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70.826185891094724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-4.2632564145606011E-13</v>
      </c>
      <c r="BE169" s="13">
        <f>BD169*VLOOKUP('Données projet'!$B$11,Paramètres!$A$1:$I$89,3,0)*VLOOKUP('Données projet'!$B$11,Paramètres!$A$1:$I$89,5,0)</f>
        <v>-2.4385826691286639E-13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292.09131652373259</v>
      </c>
      <c r="BJ169" s="59">
        <f t="shared" si="146"/>
        <v>200.24819245805861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33.798137857791509</v>
      </c>
      <c r="BQ169" s="21">
        <f>EXP(-LN(2)/25)*BQ168+(1-EXP(-LN(2)/25))/(LN(2)/25)*Calculateur!BL169*Calculateur!BN169*VLOOKUP('Données projet'!$B$11,Paramètres!$A$1:$I$89,3,0)*0.475*44/12</f>
        <v>9.2601878803467024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43.058325738138208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-6.7984728957526396E-14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300.80663531652721</v>
      </c>
      <c r="T170" s="59">
        <f t="shared" si="142"/>
        <v>306.01967513533549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16.615909562944243</v>
      </c>
      <c r="AA170" s="21">
        <f>EXP(-LN(2)/25)*AA169+(1-EXP(-LN(2)/25))/(LN(2)/25)*Calculateur!V170*Calculateur!X170*VLOOKUP('Données projet'!$B$9,Paramètres!$A$1:$I$89,3,0)*0.475*44/12</f>
        <v>4.4111195968351984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21.027029159779442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8.5459999999999976</v>
      </c>
      <c r="AI170" s="13">
        <f>IF('Données projet'!$A$62&gt;35,AI169+AH170-AQ169,IF(A170&lt;'Données projet'!$A$62,$AF$205^A170,IF(A170='Données projet'!$A$62,'Données projet'!$B$62,AI169+AH170-AQ169)))</f>
        <v>485.82800000000037</v>
      </c>
      <c r="AJ170" s="13">
        <f>AI170*VLOOKUP('Données projet'!$B$10,Paramètres!$A$1:$I$89,3,0)*VLOOKUP('Données projet'!$B$10,Paramètres!$A$1:$I$89,5,0)</f>
        <v>439.57717440000033</v>
      </c>
      <c r="AK170" s="13">
        <f t="shared" si="164"/>
        <v>99.755743172047673</v>
      </c>
      <c r="AL170" s="20">
        <f t="shared" si="165"/>
        <v>939.33816477131688</v>
      </c>
      <c r="AM170" s="59">
        <f t="shared" si="113"/>
        <v>1232.6714981046503</v>
      </c>
      <c r="AN170" s="59">
        <f ca="1">AVERAGE(OFFSET($AM$3,0,0,'Données projet'!$E$10+1,1))-AVERAGE(OFFSET($H$3,0,0,'Données projet'!$E$10+1,1))</f>
        <v>581.88778927327667</v>
      </c>
      <c r="AO170" s="59">
        <f t="shared" si="144"/>
        <v>269.67340993773422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69.43732758547813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69.43732758547813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-4.2632564145606011E-13</v>
      </c>
      <c r="BE170" s="13">
        <f>BD170*VLOOKUP('Données projet'!$B$11,Paramètres!$A$1:$I$89,3,0)*VLOOKUP('Données projet'!$B$11,Paramètres!$A$1:$I$89,5,0)</f>
        <v>-2.4385826691286639E-13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292.09131652373259</v>
      </c>
      <c r="BJ170" s="59">
        <f t="shared" si="146"/>
        <v>200.24819245805861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33.135376989228767</v>
      </c>
      <c r="BQ170" s="21">
        <f>EXP(-LN(2)/25)*BQ169+(1-EXP(-LN(2)/25))/(LN(2)/25)*Calculateur!BL170*Calculateur!BN170*VLOOKUP('Données projet'!$B$11,Paramètres!$A$1:$I$89,3,0)*0.475*44/12</f>
        <v>9.0069675557865061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42.142344545015277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-6.7984728957526396E-14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300.80663531652721</v>
      </c>
      <c r="T171" s="59">
        <f t="shared" si="142"/>
        <v>306.01967513533549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16.290081711119022</v>
      </c>
      <c r="AA171" s="21">
        <f>EXP(-LN(2)/25)*AA170+(1-EXP(-LN(2)/25))/(LN(2)/25)*Calculateur!V171*Calculateur!X171*VLOOKUP('Données projet'!$B$9,Paramètres!$A$1:$I$89,3,0)*0.475*44/12</f>
        <v>4.2904972994890418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20.580579010608062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8.5459999999999976</v>
      </c>
      <c r="AI171" s="13">
        <f>IF('Données projet'!$A$62&gt;35,AI170+AH171-AQ170,IF(A171&lt;'Données projet'!$A$62,$AF$205^A171,IF(A171='Données projet'!$A$62,'Données projet'!$B$62,AI170+AH171-AQ170)))</f>
        <v>494.37400000000036</v>
      </c>
      <c r="AJ171" s="13">
        <f>AI171*VLOOKUP('Données projet'!$B$10,Paramètres!$A$1:$I$89,3,0)*VLOOKUP('Données projet'!$B$10,Paramètres!$A$1:$I$89,5,0)</f>
        <v>447.30959520000027</v>
      </c>
      <c r="AK171" s="13">
        <f t="shared" si="164"/>
        <v>101.30467392781068</v>
      </c>
      <c r="AL171" s="20">
        <f t="shared" si="165"/>
        <v>955.50318539760417</v>
      </c>
      <c r="AM171" s="59">
        <f t="shared" si="113"/>
        <v>1248.8365187309375</v>
      </c>
      <c r="AN171" s="59">
        <f ca="1">AVERAGE(OFFSET($AM$3,0,0,'Données projet'!$E$10+1,1))-AVERAGE(OFFSET($H$3,0,0,'Données projet'!$E$10+1,1))</f>
        <v>581.88778927327667</v>
      </c>
      <c r="AO171" s="59">
        <f t="shared" si="144"/>
        <v>269.67340993773422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68.075703944114764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68.075703944114764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-4.2632564145606011E-13</v>
      </c>
      <c r="BE171" s="13">
        <f>BD171*VLOOKUP('Données projet'!$B$11,Paramètres!$A$1:$I$89,3,0)*VLOOKUP('Données projet'!$B$11,Paramètres!$A$1:$I$89,5,0)</f>
        <v>-2.4385826691286639E-13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292.09131652373259</v>
      </c>
      <c r="BJ171" s="59">
        <f t="shared" si="146"/>
        <v>200.24819245805861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32.485612457054323</v>
      </c>
      <c r="BQ171" s="21">
        <f>EXP(-LN(2)/25)*BQ170+(1-EXP(-LN(2)/25))/(LN(2)/25)*Calculateur!BL171*Calculateur!BN171*VLOOKUP('Données projet'!$B$11,Paramètres!$A$1:$I$89,3,0)*0.475*44/12</f>
        <v>8.7606715543176854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41.246284011372012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-6.7984728957526396E-14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300.80663531652721</v>
      </c>
      <c r="T172" s="59">
        <f t="shared" si="142"/>
        <v>306.01967513533549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15.970643144732726</v>
      </c>
      <c r="AA172" s="21">
        <f>EXP(-LN(2)/25)*AA171+(1-EXP(-LN(2)/25))/(LN(2)/25)*Calculateur!V172*Calculateur!X172*VLOOKUP('Données projet'!$B$9,Paramètres!$A$1:$I$89,3,0)*0.475*44/12</f>
        <v>4.1731734252070671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20.143816569939794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8.5459999999999976</v>
      </c>
      <c r="AI172" s="13">
        <f>IF('Données projet'!$A$62&gt;35,AI171+AH172-AQ171,IF(A172&lt;'Données projet'!$A$62,$AF$205^A172,IF(A172='Données projet'!$A$62,'Données projet'!$B$62,AI171+AH172-AQ171)))</f>
        <v>502.92000000000036</v>
      </c>
      <c r="AJ172" s="13">
        <f>AI172*VLOOKUP('Données projet'!$B$10,Paramètres!$A$1:$I$89,3,0)*VLOOKUP('Données projet'!$B$10,Paramètres!$A$1:$I$89,5,0)</f>
        <v>455.04201600000027</v>
      </c>
      <c r="AK172" s="13">
        <f t="shared" si="164"/>
        <v>102.85049097288233</v>
      </c>
      <c r="AL172" s="20">
        <f t="shared" si="165"/>
        <v>971.66278297777069</v>
      </c>
      <c r="AM172" s="59">
        <f t="shared" si="113"/>
        <v>1264.9961163111041</v>
      </c>
      <c r="AN172" s="59">
        <f ca="1">AVERAGE(OFFSET($AM$3,0,0,'Données projet'!$E$10+1,1))-AVERAGE(OFFSET($H$3,0,0,'Données projet'!$E$10+1,1))</f>
        <v>581.88778927327667</v>
      </c>
      <c r="AO172" s="59">
        <f t="shared" si="144"/>
        <v>269.67340993773422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66.740780911850109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66.740780911850109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-4.2632564145606011E-13</v>
      </c>
      <c r="BE172" s="13">
        <f>BD172*VLOOKUP('Données projet'!$B$11,Paramètres!$A$1:$I$89,3,0)*VLOOKUP('Données projet'!$B$11,Paramètres!$A$1:$I$89,5,0)</f>
        <v>-2.4385826691286639E-13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292.09131652373259</v>
      </c>
      <c r="BJ172" s="59">
        <f t="shared" si="146"/>
        <v>200.24819245805861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31.848589411038589</v>
      </c>
      <c r="BQ172" s="21">
        <f>EXP(-LN(2)/25)*BQ171+(1-EXP(-LN(2)/25))/(LN(2)/25)*Calculateur!BL172*Calculateur!BN172*VLOOKUP('Données projet'!$B$11,Paramètres!$A$1:$I$89,3,0)*0.475*44/12</f>
        <v>8.5211105299611738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40.369699940999766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-6.7984728957526396E-14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300.80663531652721</v>
      </c>
      <c r="T173" s="59">
        <f t="shared" si="142"/>
        <v>306.01967513533549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15.657468573794979</v>
      </c>
      <c r="AA173" s="21">
        <f>EXP(-LN(2)/25)*AA172+(1-EXP(-LN(2)/25))/(LN(2)/25)*Calculateur!V173*Calculateur!X173*VLOOKUP('Données projet'!$B$9,Paramètres!$A$1:$I$89,3,0)*0.475*44/12</f>
        <v>4.0590577784371273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19.716526352232108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8.5459999999999976</v>
      </c>
      <c r="AI173" s="13">
        <f>IF('Données projet'!$A$62&gt;35,AI172+AH173-AQ172,IF(A173&lt;'Données projet'!$A$62,$AF$205^A173,IF(A173='Données projet'!$A$62,'Données projet'!$B$62,AI172+AH173-AQ172)))</f>
        <v>511.46600000000035</v>
      </c>
      <c r="AJ173" s="13">
        <f>AI173*VLOOKUP('Données projet'!$B$10,Paramètres!$A$1:$I$89,3,0)*VLOOKUP('Données projet'!$B$10,Paramètres!$A$1:$I$89,5,0)</f>
        <v>462.77443680000027</v>
      </c>
      <c r="AK173" s="13">
        <f t="shared" si="164"/>
        <v>104.39325332394039</v>
      </c>
      <c r="AL173" s="20">
        <f t="shared" si="165"/>
        <v>987.81706029919678</v>
      </c>
      <c r="AM173" s="59">
        <f t="shared" si="113"/>
        <v>1281.15039363253</v>
      </c>
      <c r="AN173" s="59">
        <f ca="1">AVERAGE(OFFSET($AM$3,0,0,'Données projet'!$E$10+1,1))-AVERAGE(OFFSET($H$3,0,0,'Données projet'!$E$10+1,1))</f>
        <v>581.88778927327667</v>
      </c>
      <c r="AO173" s="59">
        <f t="shared" si="144"/>
        <v>269.67340993773422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65.432034906025521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65.432034906025521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-4.2632564145606011E-13</v>
      </c>
      <c r="BE173" s="13">
        <f>BD173*VLOOKUP('Données projet'!$B$11,Paramètres!$A$1:$I$89,3,0)*VLOOKUP('Données projet'!$B$11,Paramètres!$A$1:$I$89,5,0)</f>
        <v>-2.4385826691286639E-13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292.09131652373259</v>
      </c>
      <c r="BJ173" s="59">
        <f t="shared" si="146"/>
        <v>200.24819245805861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31.224057998409531</v>
      </c>
      <c r="BQ173" s="21">
        <f>EXP(-LN(2)/25)*BQ172+(1-EXP(-LN(2)/25))/(LN(2)/25)*Calculateur!BL173*Calculateur!BN173*VLOOKUP('Données projet'!$B$11,Paramètres!$A$1:$I$89,3,0)*0.475*44/12</f>
        <v>8.2881003144136578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39.512158312823189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-6.7984728957526396E-14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300.80663531652721</v>
      </c>
      <c r="T174" s="59">
        <f t="shared" si="142"/>
        <v>306.01967513533549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15.350435165175695</v>
      </c>
      <c r="AA174" s="21">
        <f>EXP(-LN(2)/25)*AA173+(1-EXP(-LN(2)/25))/(LN(2)/25)*Calculateur!V174*Calculateur!X174*VLOOKUP('Données projet'!$B$9,Paramètres!$A$1:$I$89,3,0)*0.475*44/12</f>
        <v>3.9480626300291926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19.298497795204888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8.5459999999999976</v>
      </c>
      <c r="AI174" s="13">
        <f>IF('Données projet'!$A$62&gt;35,AI173+AH174-AQ173,IF(A174&lt;'Données projet'!$A$62,$AF$205^A174,IF(A174='Données projet'!$A$62,'Données projet'!$B$62,AI173+AH174-AQ173)))</f>
        <v>520.0120000000004</v>
      </c>
      <c r="AJ174" s="13">
        <f>AI174*VLOOKUP('Données projet'!$B$10,Paramètres!$A$1:$I$89,3,0)*VLOOKUP('Données projet'!$B$10,Paramètres!$A$1:$I$89,5,0)</f>
        <v>470.50685760000033</v>
      </c>
      <c r="AK174" s="13">
        <f t="shared" si="164"/>
        <v>105.93301791241842</v>
      </c>
      <c r="AL174" s="20">
        <f t="shared" si="165"/>
        <v>1003.9661165174626</v>
      </c>
      <c r="AM174" s="59">
        <f t="shared" si="113"/>
        <v>1297.299449850796</v>
      </c>
      <c r="AN174" s="59">
        <f ca="1">AVERAGE(OFFSET($AM$3,0,0,'Données projet'!$E$10+1,1))-AVERAGE(OFFSET($H$3,0,0,'Données projet'!$E$10+1,1))</f>
        <v>581.88778927327667</v>
      </c>
      <c r="AO174" s="59">
        <f t="shared" si="144"/>
        <v>269.67340993773422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64.148952611118901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64.148952611118901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-4.2632564145606011E-13</v>
      </c>
      <c r="BE174" s="13">
        <f>BD174*VLOOKUP('Données projet'!$B$11,Paramètres!$A$1:$I$89,3,0)*VLOOKUP('Données projet'!$B$11,Paramètres!$A$1:$I$89,5,0)</f>
        <v>-2.4385826691286639E-13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292.09131652373259</v>
      </c>
      <c r="BJ174" s="59">
        <f t="shared" si="146"/>
        <v>200.24819245805861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30.611773265855582</v>
      </c>
      <c r="BQ174" s="21">
        <f>EXP(-LN(2)/25)*BQ173+(1-EXP(-LN(2)/25))/(LN(2)/25)*Calculateur!BL174*Calculateur!BN174*VLOOKUP('Données projet'!$B$11,Paramètres!$A$1:$I$89,3,0)*0.475*44/12</f>
        <v>8.0614617754637639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38.673235041319344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-6.7984728957526396E-14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300.80663531652721</v>
      </c>
      <c r="T175" s="59">
        <f t="shared" si="142"/>
        <v>306.01967513533549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15.049422494427546</v>
      </c>
      <c r="AA175" s="21">
        <f>EXP(-LN(2)/25)*AA174+(1-EXP(-LN(2)/25))/(LN(2)/25)*Calculateur!V175*Calculateur!X175*VLOOKUP('Données projet'!$B$9,Paramètres!$A$1:$I$89,3,0)*0.475*44/12</f>
        <v>3.8401026497914539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18.889525144219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8.5459999999999976</v>
      </c>
      <c r="AI175" s="13">
        <f>IF('Données projet'!$A$62&gt;35,AI174+AH175-AQ174,IF(A175&lt;'Données projet'!$A$62,$AF$205^A175,IF(A175='Données projet'!$A$62,'Données projet'!$B$62,AI174+AH175-AQ174)))</f>
        <v>528.55800000000045</v>
      </c>
      <c r="AJ175" s="13">
        <f>AI175*VLOOKUP('Données projet'!$B$10,Paramètres!$A$1:$I$89,3,0)*VLOOKUP('Données projet'!$B$10,Paramètres!$A$1:$I$89,5,0)</f>
        <v>478.23927840000039</v>
      </c>
      <c r="AK175" s="13">
        <f t="shared" si="164"/>
        <v>107.46983969122122</v>
      </c>
      <c r="AL175" s="20">
        <f t="shared" si="165"/>
        <v>1020.110047342211</v>
      </c>
      <c r="AM175" s="59">
        <f t="shared" si="113"/>
        <v>1313.4433806755444</v>
      </c>
      <c r="AN175" s="59">
        <f ca="1">AVERAGE(OFFSET($AM$3,0,0,'Données projet'!$E$10+1,1))-AVERAGE(OFFSET($H$3,0,0,'Données projet'!$E$10+1,1))</f>
        <v>581.88778927327667</v>
      </c>
      <c r="AO175" s="59">
        <f t="shared" si="144"/>
        <v>269.67340993773422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62.891030777412482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62.891030777412482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-4.2632564145606011E-13</v>
      </c>
      <c r="BE175" s="13">
        <f>BD175*VLOOKUP('Données projet'!$B$11,Paramètres!$A$1:$I$89,3,0)*VLOOKUP('Données projet'!$B$11,Paramètres!$A$1:$I$89,5,0)</f>
        <v>-2.4385826691286639E-13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292.09131652373259</v>
      </c>
      <c r="BJ175" s="59">
        <f t="shared" si="146"/>
        <v>200.24819245805861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30.011495063450205</v>
      </c>
      <c r="BQ175" s="21">
        <f>EXP(-LN(2)/25)*BQ174+(1-EXP(-LN(2)/25))/(LN(2)/25)*Calculateur!BL175*Calculateur!BN175*VLOOKUP('Données projet'!$B$11,Paramètres!$A$1:$I$89,3,0)*0.475*44/12</f>
        <v>7.8410206792798576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37.852515742730063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-6.7984728957526396E-14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300.80663531652721</v>
      </c>
      <c r="T176" s="59">
        <f t="shared" si="142"/>
        <v>306.01967513533549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14.754312498553169</v>
      </c>
      <c r="AA176" s="21">
        <f>EXP(-LN(2)/25)*AA175+(1-EXP(-LN(2)/25))/(LN(2)/25)*Calculateur!V176*Calculateur!X176*VLOOKUP('Données projet'!$B$9,Paramètres!$A$1:$I$89,3,0)*0.475*44/12</f>
        <v>3.7350948408906848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18.489407339443854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8.5459999999999976</v>
      </c>
      <c r="AI176" s="13">
        <f>IF('Données projet'!$A$62&gt;35,AI175+AH176-AQ175,IF(A176&lt;'Données projet'!$A$62,$AF$205^A176,IF(A176='Données projet'!$A$62,'Données projet'!$B$62,AI175+AH176-AQ175)))</f>
        <v>537.1040000000005</v>
      </c>
      <c r="AJ176" s="13">
        <f>AI176*VLOOKUP('Données projet'!$B$10,Paramètres!$A$1:$I$89,3,0)*VLOOKUP('Données projet'!$B$10,Paramètres!$A$1:$I$89,5,0)</f>
        <v>485.97169920000039</v>
      </c>
      <c r="AK176" s="13">
        <f t="shared" si="164"/>
        <v>109.00377173434057</v>
      </c>
      <c r="AL176" s="20">
        <f t="shared" si="165"/>
        <v>1036.2489452106438</v>
      </c>
      <c r="AM176" s="59">
        <f t="shared" si="113"/>
        <v>1329.5822785439771</v>
      </c>
      <c r="AN176" s="59">
        <f ca="1">AVERAGE(OFFSET($AM$3,0,0,'Données projet'!$E$10+1,1))-AVERAGE(OFFSET($H$3,0,0,'Données projet'!$E$10+1,1))</f>
        <v>581.88778927327667</v>
      </c>
      <c r="AO176" s="59">
        <f t="shared" si="144"/>
        <v>269.67340993773422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61.657776023608484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61.657776023608484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-4.2632564145606011E-13</v>
      </c>
      <c r="BE176" s="13">
        <f>BD176*VLOOKUP('Données projet'!$B$11,Paramètres!$A$1:$I$89,3,0)*VLOOKUP('Données projet'!$B$11,Paramètres!$A$1:$I$89,5,0)</f>
        <v>-2.4385826691286639E-13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292.09131652373259</v>
      </c>
      <c r="BJ176" s="59">
        <f t="shared" si="146"/>
        <v>200.24819245805861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29.422987950460445</v>
      </c>
      <c r="BQ176" s="21">
        <f>EXP(-LN(2)/25)*BQ175+(1-EXP(-LN(2)/25))/(LN(2)/25)*Calculateur!BL176*Calculateur!BN176*VLOOKUP('Données projet'!$B$11,Paramètres!$A$1:$I$89,3,0)*0.475*44/12</f>
        <v>7.6266075564635933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37.049595506924035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-6.7984728957526396E-14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300.80663531652721</v>
      </c>
      <c r="T177" s="59">
        <f t="shared" si="142"/>
        <v>306.01967513533549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14.464989429698564</v>
      </c>
      <c r="AA177" s="21">
        <f>EXP(-LN(2)/25)*AA176+(1-EXP(-LN(2)/25))/(LN(2)/25)*Calculateur!V177*Calculateur!X177*VLOOKUP('Données projet'!$B$9,Paramètres!$A$1:$I$89,3,0)*0.475*44/12</f>
        <v>3.632958476046428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18.097947905744991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545.65</v>
      </c>
      <c r="AG177" s="12">
        <f>VLOOKUP(A177,'Données projet'!$A$61:$I$81,9,0)</f>
        <v>8.5459999999999976</v>
      </c>
      <c r="AH177" s="12">
        <f t="array" ref="AH177">INDEX(AG:AG,MIN(IF(ISNUMBER(AG177:AG373),ROW(AG177:AG373),"")))</f>
        <v>8.5459999999999976</v>
      </c>
      <c r="AI177" s="13">
        <f>IF('Données projet'!$A$62&gt;35,AI176+AH177-AQ176,IF(A177&lt;'Données projet'!$A$62,$AF$205^A177,IF(A177='Données projet'!$A$62,'Données projet'!$B$62,AI176+AH177-AQ176)))</f>
        <v>545.65000000000055</v>
      </c>
      <c r="AJ177" s="13">
        <f>AI177*VLOOKUP('Données projet'!$B$10,Paramètres!$A$1:$I$89,3,0)*VLOOKUP('Données projet'!$B$10,Paramètres!$A$1:$I$89,5,0)</f>
        <v>493.7041200000005</v>
      </c>
      <c r="AK177" s="13">
        <f t="shared" si="164"/>
        <v>110.53486532995269</v>
      </c>
      <c r="AL177" s="20">
        <f t="shared" si="165"/>
        <v>1052.3828994496685</v>
      </c>
      <c r="AM177" s="59">
        <f t="shared" si="113"/>
        <v>1345.7162327830017</v>
      </c>
      <c r="AN177" s="59">
        <f ca="1">AVERAGE(OFFSET($AM$3,0,0,'Données projet'!$E$10+1,1))-AVERAGE(OFFSET($H$3,0,0,'Données projet'!$E$10+1,1))</f>
        <v>581.88778927327667</v>
      </c>
      <c r="AO177" s="59">
        <f t="shared" si="144"/>
        <v>269.67340993773422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0.25800000000000001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115.87208689768337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115.87208689768337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-4.2632564145606011E-13</v>
      </c>
      <c r="BE177" s="13">
        <f>BD177*VLOOKUP('Données projet'!$B$11,Paramètres!$A$1:$I$89,3,0)*VLOOKUP('Données projet'!$B$11,Paramètres!$A$1:$I$89,5,0)</f>
        <v>-2.4385826691286639E-13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292.09131652373259</v>
      </c>
      <c r="BJ177" s="59">
        <f t="shared" si="146"/>
        <v>200.24819245805861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28.846021103002521</v>
      </c>
      <c r="BQ177" s="21">
        <f>EXP(-LN(2)/25)*BQ176+(1-EXP(-LN(2)/25))/(LN(2)/25)*Calculateur!BL177*Calculateur!BN177*VLOOKUP('Données projet'!$B$11,Paramètres!$A$1:$I$89,3,0)*0.475*44/12</f>
        <v>7.4180575717662363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36.264078674768754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-6.7984728957526396E-14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300.80663531652721</v>
      </c>
      <c r="T178" s="59">
        <f t="shared" si="142"/>
        <v>306.01967513533549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14.181339809754551</v>
      </c>
      <c r="AA178" s="21">
        <f>EXP(-LN(2)/25)*AA177+(1-EXP(-LN(2)/25))/(LN(2)/25)*Calculateur!V178*Calculateur!X178*VLOOKUP('Données projet'!$B$9,Paramètres!$A$1:$I$89,3,0)*0.475*44/12</f>
        <v>3.5336150354699556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17.714954845224508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5.3866666666666747</v>
      </c>
      <c r="AI178" s="13">
        <f>IF('Données projet'!$A$62&gt;35,AI177+AH178-AQ177,IF(A178&lt;'Données projet'!$A$62,$AF$205^A178,IF(A178='Données projet'!$A$62,'Données projet'!$B$62,AI177+AH178-AQ177)))</f>
        <v>336.26666666666722</v>
      </c>
      <c r="AJ178" s="13">
        <f>AI178*VLOOKUP('Données projet'!$B$10,Paramètres!$A$1:$I$89,3,0)*VLOOKUP('Données projet'!$B$10,Paramètres!$A$1:$I$89,5,0)</f>
        <v>304.2540800000005</v>
      </c>
      <c r="AK178" s="13">
        <f t="shared" si="164"/>
        <v>72.067549889405967</v>
      </c>
      <c r="AL178" s="20">
        <f t="shared" si="165"/>
        <v>655.42683872404962</v>
      </c>
      <c r="AM178" s="59">
        <f t="shared" si="113"/>
        <v>948.76017205738299</v>
      </c>
      <c r="AN178" s="59">
        <f ca="1">AVERAGE(OFFSET($AM$3,0,0,'Données projet'!$E$10+1,1))-AVERAGE(OFFSET($H$3,0,0,'Données projet'!$E$10+1,1))</f>
        <v>581.88778927327667</v>
      </c>
      <c r="AO178" s="59">
        <f t="shared" si="144"/>
        <v>269.67340993773422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113.59990594861424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113.59990594861424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-4.2632564145606011E-13</v>
      </c>
      <c r="BE178" s="13">
        <f>BD178*VLOOKUP('Données projet'!$B$11,Paramètres!$A$1:$I$89,3,0)*VLOOKUP('Données projet'!$B$11,Paramètres!$A$1:$I$89,5,0)</f>
        <v>-2.4385826691286639E-13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292.09131652373259</v>
      </c>
      <c r="BJ178" s="59">
        <f t="shared" si="146"/>
        <v>200.24819245805861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28.280368223508219</v>
      </c>
      <c r="BQ178" s="21">
        <f>EXP(-LN(2)/25)*BQ177+(1-EXP(-LN(2)/25))/(LN(2)/25)*Calculateur!BL178*Calculateur!BN178*VLOOKUP('Données projet'!$B$11,Paramètres!$A$1:$I$89,3,0)*0.475*44/12</f>
        <v>7.2152103973675947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35.495578620875811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-6.7984728957526396E-14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300.80663531652721</v>
      </c>
      <c r="T179" s="59">
        <f t="shared" si="142"/>
        <v>306.01967513533549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13.903252385848456</v>
      </c>
      <c r="AA179" s="21">
        <f>EXP(-LN(2)/25)*AA178+(1-EXP(-LN(2)/25))/(LN(2)/25)*Calculateur!V179*Calculateur!X179*VLOOKUP('Données projet'!$B$9,Paramètres!$A$1:$I$89,3,0)*0.475*44/12</f>
        <v>3.4369881465002909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17.340240532348748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5.3866666666666747</v>
      </c>
      <c r="AI179" s="13">
        <f>IF('Données projet'!$A$62&gt;35,AI178+AH179-AQ178,IF(A179&lt;'Données projet'!$A$62,$AF$205^A179,IF(A179='Données projet'!$A$62,'Données projet'!$B$62,AI178+AH179-AQ178)))</f>
        <v>341.65333333333388</v>
      </c>
      <c r="AJ179" s="13">
        <f>AI179*VLOOKUP('Données projet'!$B$10,Paramètres!$A$1:$I$89,3,0)*VLOOKUP('Données projet'!$B$10,Paramètres!$A$1:$I$89,5,0)</f>
        <v>309.12793600000049</v>
      </c>
      <c r="AK179" s="13">
        <f t="shared" si="164"/>
        <v>73.086678650713282</v>
      </c>
      <c r="AL179" s="20">
        <f t="shared" si="165"/>
        <v>665.6904538499931</v>
      </c>
      <c r="AM179" s="59">
        <f t="shared" si="113"/>
        <v>959.02378718332648</v>
      </c>
      <c r="AN179" s="59">
        <f ca="1">AVERAGE(OFFSET($AM$3,0,0,'Données projet'!$E$10+1,1))-AVERAGE(OFFSET($H$3,0,0,'Données projet'!$E$10+1,1))</f>
        <v>581.88778927327667</v>
      </c>
      <c r="AO179" s="59">
        <f t="shared" si="144"/>
        <v>269.67340993773422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111.37228108206281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111.37228108206281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-4.2632564145606011E-13</v>
      </c>
      <c r="BE179" s="13">
        <f>BD179*VLOOKUP('Données projet'!$B$11,Paramètres!$A$1:$I$89,3,0)*VLOOKUP('Données projet'!$B$11,Paramètres!$A$1:$I$89,5,0)</f>
        <v>-2.4385826691286639E-13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292.09131652373259</v>
      </c>
      <c r="BJ179" s="59">
        <f t="shared" si="146"/>
        <v>200.24819245805861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27.72580745196661</v>
      </c>
      <c r="BQ179" s="21">
        <f>EXP(-LN(2)/25)*BQ178+(1-EXP(-LN(2)/25))/(LN(2)/25)*Calculateur!BL179*Calculateur!BN179*VLOOKUP('Données projet'!$B$11,Paramètres!$A$1:$I$89,3,0)*0.475*44/12</f>
        <v>7.0179100896201536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34.743717541586761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-6.7984728957526396E-14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300.80663531652721</v>
      </c>
      <c r="T180" s="59">
        <f t="shared" si="142"/>
        <v>306.01967513533549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13.630618086708578</v>
      </c>
      <c r="AA180" s="21">
        <f>EXP(-LN(2)/25)*AA179+(1-EXP(-LN(2)/25))/(LN(2)/25)*Calculateur!V180*Calculateur!X180*VLOOKUP('Données projet'!$B$9,Paramètres!$A$1:$I$89,3,0)*0.475*44/12</f>
        <v>3.3430035248908894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16.973621611599469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347.04</v>
      </c>
      <c r="AG180" s="12">
        <f>VLOOKUP(A180,'Données projet'!$A$61:$I$81,9,0)</f>
        <v>5.3866666666666747</v>
      </c>
      <c r="AH180" s="12">
        <f t="array" ref="AH180">INDEX(AG:AG,MIN(IF(ISNUMBER(AG180:AG376),ROW(AG180:AG376),"")))</f>
        <v>5.3866666666666747</v>
      </c>
      <c r="AI180" s="13">
        <f>IF('Données projet'!$A$62&gt;35,AI179+AH180-AQ179,IF(A180&lt;'Données projet'!$A$62,$AF$205^A180,IF(A180='Données projet'!$A$62,'Données projet'!$B$62,AI179+AH180-AQ179)))</f>
        <v>347.04000000000053</v>
      </c>
      <c r="AJ180" s="13">
        <f>AI180*VLOOKUP('Données projet'!$B$10,Paramètres!$A$1:$I$89,3,0)*VLOOKUP('Données projet'!$B$10,Paramètres!$A$1:$I$89,5,0)</f>
        <v>314.00179200000048</v>
      </c>
      <c r="AK180" s="13">
        <f t="shared" si="164"/>
        <v>74.103938722927282</v>
      </c>
      <c r="AL180" s="20">
        <f t="shared" si="165"/>
        <v>675.95081434243241</v>
      </c>
      <c r="AM180" s="59">
        <f t="shared" si="113"/>
        <v>969.28414767576578</v>
      </c>
      <c r="AN180" s="59">
        <f ca="1">AVERAGE(OFFSET($AM$3,0,0,'Données projet'!$E$10+1,1))-AVERAGE(OFFSET($H$3,0,0,'Données projet'!$E$10+1,1))</f>
        <v>581.88778927327667</v>
      </c>
      <c r="AO180" s="59">
        <f t="shared" si="144"/>
        <v>269.67340993773422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0.25800000000000001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138.91418204963006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138.91418204963006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-4.2632564145606011E-13</v>
      </c>
      <c r="BE180" s="13">
        <f>BD180*VLOOKUP('Données projet'!$B$11,Paramètres!$A$1:$I$89,3,0)*VLOOKUP('Données projet'!$B$11,Paramètres!$A$1:$I$89,5,0)</f>
        <v>-2.4385826691286639E-13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292.09131652373259</v>
      </c>
      <c r="BJ180" s="59">
        <f t="shared" si="146"/>
        <v>200.24819245805861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27.182121278906262</v>
      </c>
      <c r="BQ180" s="21">
        <f>EXP(-LN(2)/25)*BQ179+(1-EXP(-LN(2)/25))/(LN(2)/25)*Calculateur!BL180*Calculateur!BN180*VLOOKUP('Données projet'!$B$11,Paramètres!$A$1:$I$89,3,0)*0.475*44/12</f>
        <v>6.8260049691636384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34.0081262480699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-6.7984728957526396E-14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300.80663531652721</v>
      </c>
      <c r="T181" s="59">
        <f t="shared" si="142"/>
        <v>306.01967513533549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13.36332997988433</v>
      </c>
      <c r="AA181" s="21">
        <f>EXP(-LN(2)/25)*AA180+(1-EXP(-LN(2)/25))/(LN(2)/25)*Calculateur!V181*Calculateur!X181*VLOOKUP('Données projet'!$B$9,Paramètres!$A$1:$I$89,3,0)*0.475*44/12</f>
        <v>3.2515889177018331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16.614918897586165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3.2566666666666606</v>
      </c>
      <c r="AI181" s="13">
        <f>IF('Données projet'!$A$62&gt;35,AI180+AH181-AQ180,IF(A181&lt;'Données projet'!$A$62,$AF$205^A181,IF(A181='Données projet'!$A$62,'Données projet'!$B$62,AI180+AH181-AQ180)))</f>
        <v>235.10666666666719</v>
      </c>
      <c r="AJ181" s="13">
        <f>AI181*VLOOKUP('Données projet'!$B$10,Paramètres!$A$1:$I$89,3,0)*VLOOKUP('Données projet'!$B$10,Paramètres!$A$1:$I$89,5,0)</f>
        <v>212.72451200000049</v>
      </c>
      <c r="AK181" s="13">
        <f t="shared" si="164"/>
        <v>52.530512718953382</v>
      </c>
      <c r="AL181" s="20">
        <f t="shared" si="165"/>
        <v>461.98583471884461</v>
      </c>
      <c r="AM181" s="59">
        <f t="shared" si="113"/>
        <v>755.31916805217793</v>
      </c>
      <c r="AN181" s="59">
        <f ca="1">AVERAGE(OFFSET($AM$3,0,0,'Données projet'!$E$10+1,1))-AVERAGE(OFFSET($H$3,0,0,'Données projet'!$E$10+1,1))</f>
        <v>581.88778927327667</v>
      </c>
      <c r="AO181" s="59">
        <f t="shared" si="144"/>
        <v>269.67340993773422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136.19015966892155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136.19015966892155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-4.2632564145606011E-13</v>
      </c>
      <c r="BE181" s="13">
        <f>BD181*VLOOKUP('Données projet'!$B$11,Paramètres!$A$1:$I$89,3,0)*VLOOKUP('Données projet'!$B$11,Paramètres!$A$1:$I$89,5,0)</f>
        <v>-2.4385826691286639E-13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292.09131652373259</v>
      </c>
      <c r="BJ181" s="59">
        <f t="shared" si="146"/>
        <v>200.24819245805861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26.649096460083804</v>
      </c>
      <c r="BQ181" s="21">
        <f>EXP(-LN(2)/25)*BQ180+(1-EXP(-LN(2)/25))/(LN(2)/25)*Calculateur!BL181*Calculateur!BN181*VLOOKUP('Données projet'!$B$11,Paramètres!$A$1:$I$89,3,0)*0.475*44/12</f>
        <v>6.6393475043178585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33.288443964401665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-6.7984728957526396E-14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300.80663531652721</v>
      </c>
      <c r="T182" s="59">
        <f t="shared" si="142"/>
        <v>306.01967513533549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13.10128322980526</v>
      </c>
      <c r="AA182" s="21">
        <f>EXP(-LN(2)/25)*AA181+(1-EXP(-LN(2)/25))/(LN(2)/25)*Calculateur!V182*Calculateur!X182*VLOOKUP('Données projet'!$B$9,Paramètres!$A$1:$I$89,3,0)*0.475*44/12</f>
        <v>3.1626740477536468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16.263957277558905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3.2566666666666606</v>
      </c>
      <c r="AI182" s="13">
        <f>IF('Données projet'!$A$62&gt;35,AI181+AH182-AQ181,IF(A182&lt;'Données projet'!$A$62,$AF$205^A182,IF(A182='Données projet'!$A$62,'Données projet'!$B$62,AI181+AH182-AQ181)))</f>
        <v>238.36333333333386</v>
      </c>
      <c r="AJ182" s="13">
        <f>AI182*VLOOKUP('Données projet'!$B$10,Paramètres!$A$1:$I$89,3,0)*VLOOKUP('Données projet'!$B$10,Paramètres!$A$1:$I$89,5,0)</f>
        <v>215.67114400000045</v>
      </c>
      <c r="AK182" s="13">
        <f t="shared" si="164"/>
        <v>53.172944836363733</v>
      </c>
      <c r="AL182" s="20">
        <f t="shared" si="165"/>
        <v>468.23678805666754</v>
      </c>
      <c r="AM182" s="59">
        <f t="shared" si="113"/>
        <v>761.57012139000085</v>
      </c>
      <c r="AN182" s="59">
        <f ca="1">AVERAGE(OFFSET($AM$3,0,0,'Données projet'!$E$10+1,1))-AVERAGE(OFFSET($H$3,0,0,'Données projet'!$E$10+1,1))</f>
        <v>581.88778927327667</v>
      </c>
      <c r="AO182" s="59">
        <f t="shared" si="144"/>
        <v>269.67340993773422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133.51955370560913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133.51955370560913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-4.2632564145606011E-13</v>
      </c>
      <c r="BE182" s="13">
        <f>BD182*VLOOKUP('Données projet'!$B$11,Paramètres!$A$1:$I$89,3,0)*VLOOKUP('Données projet'!$B$11,Paramètres!$A$1:$I$89,5,0)</f>
        <v>-2.4385826691286639E-13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292.09131652373259</v>
      </c>
      <c r="BJ182" s="59">
        <f t="shared" si="146"/>
        <v>200.24819245805861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26.126523932845419</v>
      </c>
      <c r="BQ182" s="21">
        <f>EXP(-LN(2)/25)*BQ181+(1-EXP(-LN(2)/25))/(LN(2)/25)*Calculateur!BL182*Calculateur!BN182*VLOOKUP('Données projet'!$B$11,Paramètres!$A$1:$I$89,3,0)*0.475*44/12</f>
        <v>6.4577941976641755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32.584318130509594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-6.7984728957526396E-14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300.80663531652721</v>
      </c>
      <c r="T183" s="59">
        <f t="shared" si="142"/>
        <v>306.01967513533549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12.844375056662503</v>
      </c>
      <c r="AA183" s="21">
        <f>EXP(-LN(2)/25)*AA182+(1-EXP(-LN(2)/25))/(LN(2)/25)*Calculateur!V183*Calculateur!X183*VLOOKUP('Données projet'!$B$9,Paramètres!$A$1:$I$89,3,0)*0.475*44/12</f>
        <v>3.0761905596000236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15.920565616262527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241.62</v>
      </c>
      <c r="AG183" s="12">
        <f>VLOOKUP(A183,'Données projet'!$A$61:$I$81,9,0)</f>
        <v>3.2566666666666606</v>
      </c>
      <c r="AH183" s="12">
        <f t="array" ref="AH183">INDEX(AG:AG,MIN(IF(ISNUMBER(AG183:AG379),ROW(AG183:AG379),"")))</f>
        <v>3.2566666666666606</v>
      </c>
      <c r="AI183" s="13">
        <f>IF('Données projet'!$A$62&gt;35,AI182+AH183-AQ182,IF(A183&lt;'Données projet'!$A$62,$AF$205^A183,IF(A183='Données projet'!$A$62,'Données projet'!$B$62,AI182+AH183-AQ182)))</f>
        <v>241.62000000000052</v>
      </c>
      <c r="AJ183" s="13">
        <f>AI183*VLOOKUP('Données projet'!$B$10,Paramètres!$A$1:$I$89,3,0)*VLOOKUP('Données projet'!$B$10,Paramètres!$A$1:$I$89,5,0)</f>
        <v>218.61777600000045</v>
      </c>
      <c r="AK183" s="13">
        <f t="shared" si="164"/>
        <v>53.814356054061541</v>
      </c>
      <c r="AL183" s="20">
        <f t="shared" si="165"/>
        <v>474.48596332749122</v>
      </c>
      <c r="AM183" s="59">
        <f t="shared" si="113"/>
        <v>767.81929666082453</v>
      </c>
      <c r="AN183" s="59">
        <f ca="1">AVERAGE(OFFSET($AM$3,0,0,'Données projet'!$E$10+1,1))-AVERAGE(OFFSET($H$3,0,0,'Données projet'!$E$10+1,1))</f>
        <v>581.88778927327667</v>
      </c>
      <c r="AO183" s="59">
        <f t="shared" si="144"/>
        <v>269.67340993773422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0.25800000000000001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150.95768056842175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150.95768056842175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-4.2632564145606011E-13</v>
      </c>
      <c r="BE183" s="13">
        <f>BD183*VLOOKUP('Données projet'!$B$11,Paramètres!$A$1:$I$89,3,0)*VLOOKUP('Données projet'!$B$11,Paramètres!$A$1:$I$89,5,0)</f>
        <v>-2.4385826691286639E-13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292.09131652373259</v>
      </c>
      <c r="BJ183" s="59">
        <f t="shared" si="146"/>
        <v>200.24819245805861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25.614198734128408</v>
      </c>
      <c r="BQ183" s="21">
        <f>EXP(-LN(2)/25)*BQ182+(1-EXP(-LN(2)/25))/(LN(2)/25)*Calculateur!BL183*Calculateur!BN183*VLOOKUP('Données projet'!$B$11,Paramètres!$A$1:$I$89,3,0)*0.475*44/12</f>
        <v>6.2812054757284113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31.895404209856821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-6.7984728957526396E-14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300.80663531652721</v>
      </c>
      <c r="T184" s="59">
        <f t="shared" si="142"/>
        <v>306.01967513533549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12.592504696096563</v>
      </c>
      <c r="AA184" s="21">
        <f>EXP(-LN(2)/25)*AA183+(1-EXP(-LN(2)/25))/(LN(2)/25)*Calculateur!V184*Calculateur!X184*VLOOKUP('Données projet'!$B$9,Paramètres!$A$1:$I$89,3,0)*0.475*44/12</f>
        <v>2.9920719669779303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15.584576663074493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1.9533333333333285</v>
      </c>
      <c r="AI184" s="13">
        <f>IF('Données projet'!$A$62&gt;35,AI183+AH184-AQ183,IF(A184&lt;'Données projet'!$A$62,$AF$205^A184,IF(A184='Données projet'!$A$62,'Données projet'!$B$62,AI183+AH184-AQ183)))</f>
        <v>165.85333333333384</v>
      </c>
      <c r="AJ184" s="13">
        <f>AI184*VLOOKUP('Données projet'!$B$10,Paramètres!$A$1:$I$89,3,0)*VLOOKUP('Données projet'!$B$10,Paramètres!$A$1:$I$89,5,0)</f>
        <v>150.06409600000046</v>
      </c>
      <c r="AK184" s="13">
        <f t="shared" si="164"/>
        <v>38.593151304664545</v>
      </c>
      <c r="AL184" s="20">
        <f t="shared" si="165"/>
        <v>328.57803905562486</v>
      </c>
      <c r="AM184" s="59">
        <f t="shared" si="113"/>
        <v>621.91137238895817</v>
      </c>
      <c r="AN184" s="59">
        <f ca="1">AVERAGE(OFFSET($AM$3,0,0,'Données projet'!$E$10+1,1))-AVERAGE(OFFSET($H$3,0,0,'Données projet'!$E$10+1,1))</f>
        <v>581.88778927327667</v>
      </c>
      <c r="AO184" s="59">
        <f t="shared" si="144"/>
        <v>269.67340993773422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147.99749252756848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147.99749252756848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-4.2632564145606011E-13</v>
      </c>
      <c r="BE184" s="13">
        <f>BD184*VLOOKUP('Données projet'!$B$11,Paramètres!$A$1:$I$89,3,0)*VLOOKUP('Données projet'!$B$11,Paramètres!$A$1:$I$89,5,0)</f>
        <v>-2.4385826691286639E-13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292.09131652373259</v>
      </c>
      <c r="BJ184" s="59">
        <f t="shared" si="146"/>
        <v>200.24819245805861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25.111919920070722</v>
      </c>
      <c r="BQ184" s="21">
        <f>EXP(-LN(2)/25)*BQ183+(1-EXP(-LN(2)/25))/(LN(2)/25)*Calculateur!BL184*Calculateur!BN184*VLOOKUP('Données projet'!$B$11,Paramètres!$A$1:$I$89,3,0)*0.475*44/12</f>
        <v>6.1094455816803777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31.221365501751102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-6.7984728957526396E-14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300.80663531652721</v>
      </c>
      <c r="T185" s="59">
        <f t="shared" si="142"/>
        <v>306.01967513533549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12.345573359675571</v>
      </c>
      <c r="AA185" s="21">
        <f>EXP(-LN(2)/25)*AA184+(1-EXP(-LN(2)/25))/(LN(2)/25)*Calculateur!V185*Calculateur!X185*VLOOKUP('Données projet'!$B$9,Paramètres!$A$1:$I$89,3,0)*0.475*44/12</f>
        <v>2.9102536016946927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15.255826961370264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1.9533333333333285</v>
      </c>
      <c r="AI185" s="13">
        <f>IF('Données projet'!$A$62&gt;35,AI184+AH185-AQ184,IF(A185&lt;'Données projet'!$A$62,$AF$205^A185,IF(A185='Données projet'!$A$62,'Données projet'!$B$62,AI184+AH185-AQ184)))</f>
        <v>167.80666666666716</v>
      </c>
      <c r="AJ185" s="13">
        <f>AI185*VLOOKUP('Données projet'!$B$10,Paramètres!$A$1:$I$89,3,0)*VLOOKUP('Données projet'!$B$10,Paramètres!$A$1:$I$89,5,0)</f>
        <v>151.83147200000045</v>
      </c>
      <c r="AK185" s="13">
        <f t="shared" si="164"/>
        <v>38.994499777620597</v>
      </c>
      <c r="AL185" s="20">
        <f t="shared" si="165"/>
        <v>332.35523417935661</v>
      </c>
      <c r="AM185" s="59">
        <f t="shared" si="113"/>
        <v>625.68856751268993</v>
      </c>
      <c r="AN185" s="59">
        <f ca="1">AVERAGE(OFFSET($AM$3,0,0,'Données projet'!$E$10+1,1))-AVERAGE(OFFSET($H$3,0,0,'Données projet'!$E$10+1,1))</f>
        <v>581.88778927327667</v>
      </c>
      <c r="AO185" s="59">
        <f t="shared" si="144"/>
        <v>269.67340993773422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145.09535196865994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145.09535196865994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-4.2632564145606011E-13</v>
      </c>
      <c r="BE185" s="13">
        <f>BD185*VLOOKUP('Données projet'!$B$11,Paramètres!$A$1:$I$89,3,0)*VLOOKUP('Données projet'!$B$11,Paramètres!$A$1:$I$89,5,0)</f>
        <v>-2.4385826691286639E-13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292.09131652373259</v>
      </c>
      <c r="BJ185" s="59">
        <f t="shared" si="146"/>
        <v>200.24819245805861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24.619490487196881</v>
      </c>
      <c r="BQ185" s="21">
        <f>EXP(-LN(2)/25)*BQ184+(1-EXP(-LN(2)/25))/(LN(2)/25)*Calculateur!BL185*Calculateur!BN185*VLOOKUP('Données projet'!$B$11,Paramètres!$A$1:$I$89,3,0)*0.475*44/12</f>
        <v>5.9423824709675479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30.561872958164429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-6.7984728957526396E-14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300.80663531652721</v>
      </c>
      <c r="T186" s="59">
        <f t="shared" si="142"/>
        <v>306.01967513533549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12.103484196148552</v>
      </c>
      <c r="AA186" s="21">
        <f>EXP(-LN(2)/25)*AA185+(1-EXP(-LN(2)/25))/(LN(2)/25)*Calculateur!V186*Calculateur!X186*VLOOKUP('Données projet'!$B$9,Paramètres!$A$1:$I$89,3,0)*0.475*44/12</f>
        <v>2.8306725639127661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14.934156760061317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169.76</v>
      </c>
      <c r="AG186" s="12">
        <f>VLOOKUP(A186,'Données projet'!$A$61:$I$81,9,0)</f>
        <v>1.9533333333333285</v>
      </c>
      <c r="AH186" s="12">
        <f t="array" ref="AH186">INDEX(AG:AG,MIN(IF(ISNUMBER(AG186:AG382),ROW(AG186:AG382),"")))</f>
        <v>1.9533333333333285</v>
      </c>
      <c r="AI186" s="13">
        <f>IF('Données projet'!$A$62&gt;35,AI185+AH186-AQ185,IF(A186&lt;'Données projet'!$A$62,$AF$205^A186,IF(A186='Données projet'!$A$62,'Données projet'!$B$62,AI185+AH186-AQ185)))</f>
        <v>169.76000000000047</v>
      </c>
      <c r="AJ186" s="13">
        <f>AI186*VLOOKUP('Données projet'!$B$10,Paramètres!$A$1:$I$89,3,0)*VLOOKUP('Données projet'!$B$10,Paramètres!$A$1:$I$89,5,0)</f>
        <v>153.5988480000004</v>
      </c>
      <c r="AK186" s="13">
        <f t="shared" si="164"/>
        <v>39.395304802658316</v>
      </c>
      <c r="AL186" s="20">
        <f t="shared" si="165"/>
        <v>336.13148279796388</v>
      </c>
      <c r="AM186" s="59">
        <f t="shared" si="113"/>
        <v>629.4648161312972</v>
      </c>
      <c r="AN186" s="59">
        <f ca="1">AVERAGE(OFFSET($AM$3,0,0,'Données projet'!$E$10+1,1))-AVERAGE(OFFSET($H$3,0,0,'Données projet'!$E$10+1,1))</f>
        <v>581.88778927327667</v>
      </c>
      <c r="AO186" s="59">
        <f t="shared" si="144"/>
        <v>269.67340993773422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0.25800000000000001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186.05825662893167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186.05825662893167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-4.2632564145606011E-13</v>
      </c>
      <c r="BE186" s="13">
        <f>BD186*VLOOKUP('Données projet'!$B$11,Paramètres!$A$1:$I$89,3,0)*VLOOKUP('Données projet'!$B$11,Paramètres!$A$1:$I$89,5,0)</f>
        <v>-2.4385826691286639E-13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292.09131652373259</v>
      </c>
      <c r="BJ186" s="59">
        <f t="shared" si="146"/>
        <v>200.24819245805861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24.136717295149399</v>
      </c>
      <c r="BQ186" s="21">
        <f>EXP(-LN(2)/25)*BQ185+(1-EXP(-LN(2)/25))/(LN(2)/25)*Calculateur!BL186*Calculateur!BN186*VLOOKUP('Données projet'!$B$11,Paramètres!$A$1:$I$89,3,0)*0.475*44/12</f>
        <v>5.7798877098026278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29.916605004952025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-6.7984728957526396E-14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300.80663531652721</v>
      </c>
      <c r="T187" s="59">
        <f t="shared" si="142"/>
        <v>306.01967513533549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11.866142253458486</v>
      </c>
      <c r="AA187" s="21">
        <f>EXP(-LN(2)/25)*AA186+(1-EXP(-LN(2)/25))/(LN(2)/25)*Calculateur!V187*Calculateur!X187*VLOOKUP('Données projet'!$B$9,Paramètres!$A$1:$I$89,3,0)*0.475*44/12</f>
        <v>2.753267673793971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14.619409927252457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4.8316906031686813E-13</v>
      </c>
      <c r="AJ187" s="13">
        <f>AI187*VLOOKUP('Données projet'!$B$10,Paramètres!$A$1:$I$89,3,0)*VLOOKUP('Données projet'!$B$10,Paramètres!$A$1:$I$89,5,0)</f>
        <v>4.3717136577470225E-13</v>
      </c>
      <c r="AK187" s="13">
        <f t="shared" si="164"/>
        <v>5.5313598682231701E-12</v>
      </c>
      <c r="AL187" s="20">
        <f t="shared" si="165"/>
        <v>1.039519189921296E-11</v>
      </c>
      <c r="AM187" s="59">
        <f t="shared" si="113"/>
        <v>293.33333333334372</v>
      </c>
      <c r="AN187" s="59">
        <f ca="1">AVERAGE(OFFSET($AM$3,0,0,'Données projet'!$E$10+1,1))-AVERAGE(OFFSET($H$3,0,0,'Données projet'!$E$10+1,1))</f>
        <v>581.88778927327667</v>
      </c>
      <c r="AO187" s="59">
        <f t="shared" si="144"/>
        <v>269.67340993773422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182.40976770076921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182.40976770076921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-4.2632564145606011E-13</v>
      </c>
      <c r="BE187" s="13">
        <f>BD187*VLOOKUP('Données projet'!$B$11,Paramètres!$A$1:$I$89,3,0)*VLOOKUP('Données projet'!$B$11,Paramètres!$A$1:$I$89,5,0)</f>
        <v>-2.4385826691286639E-13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292.09131652373259</v>
      </c>
      <c r="BJ187" s="59">
        <f t="shared" si="146"/>
        <v>200.24819245805861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23.663410990935397</v>
      </c>
      <c r="BQ187" s="21">
        <f>EXP(-LN(2)/25)*BQ186+(1-EXP(-LN(2)/25))/(LN(2)/25)*Calculateur!BL187*Calculateur!BN187*VLOOKUP('Données projet'!$B$11,Paramètres!$A$1:$I$89,3,0)*0.475*44/12</f>
        <v>5.6218363764269901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29.285247367362388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-6.7984728957526396E-14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300.80663531652721</v>
      </c>
      <c r="T188" s="59">
        <f t="shared" si="142"/>
        <v>306.01967513533549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11.633454441500284</v>
      </c>
      <c r="AA188" s="21">
        <f>EXP(-LN(2)/25)*AA187+(1-EXP(-LN(2)/25))/(LN(2)/25)*Calculateur!V188*Calculateur!X188*VLOOKUP('Données projet'!$B$9,Paramètres!$A$1:$I$89,3,0)*0.475*44/12</f>
        <v>2.6779794244660207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14.311433865966304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4.8316906031686813E-13</v>
      </c>
      <c r="AJ188" s="13">
        <f>AI188*VLOOKUP('Données projet'!$B$10,Paramètres!$A$1:$I$89,3,0)*VLOOKUP('Données projet'!$B$10,Paramètres!$A$1:$I$89,5,0)</f>
        <v>4.3717136577470225E-13</v>
      </c>
      <c r="AK188" s="13">
        <f t="shared" si="164"/>
        <v>5.5313598682231701E-12</v>
      </c>
      <c r="AL188" s="20">
        <f t="shared" si="165"/>
        <v>1.039519189921296E-11</v>
      </c>
      <c r="AM188" s="59">
        <f t="shared" si="113"/>
        <v>293.33333333334372</v>
      </c>
      <c r="AN188" s="59">
        <f ca="1">AVERAGE(OFFSET($AM$3,0,0,'Données projet'!$E$10+1,1))-AVERAGE(OFFSET($H$3,0,0,'Données projet'!$E$10+1,1))</f>
        <v>581.88778927327667</v>
      </c>
      <c r="AO188" s="59">
        <f t="shared" si="144"/>
        <v>269.67340993773422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178.83282341512952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178.83282341512952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-4.2632564145606011E-13</v>
      </c>
      <c r="BE188" s="13">
        <f>BD188*VLOOKUP('Données projet'!$B$11,Paramètres!$A$1:$I$89,3,0)*VLOOKUP('Données projet'!$B$11,Paramètres!$A$1:$I$89,5,0)</f>
        <v>-2.4385826691286639E-13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292.09131652373259</v>
      </c>
      <c r="BJ188" s="59">
        <f t="shared" si="146"/>
        <v>200.24819245805861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23.199385934658693</v>
      </c>
      <c r="BQ188" s="21">
        <f>EXP(-LN(2)/25)*BQ187+(1-EXP(-LN(2)/25))/(LN(2)/25)*Calculateur!BL188*Calculateur!BN188*VLOOKUP('Données projet'!$B$11,Paramètres!$A$1:$I$89,3,0)*0.475*44/12</f>
        <v>5.4681069650740675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28.66749289973276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-6.7984728957526396E-14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300.80663531652721</v>
      </c>
      <c r="T189" s="59">
        <f t="shared" si="142"/>
        <v>306.01967513533549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11.405329495609029</v>
      </c>
      <c r="AA189" s="21">
        <f>EXP(-LN(2)/25)*AA188+(1-EXP(-LN(2)/25))/(LN(2)/25)*Calculateur!V189*Calculateur!X189*VLOOKUP('Données projet'!$B$9,Paramètres!$A$1:$I$89,3,0)*0.475*44/12</f>
        <v>2.60474993627518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14.010079431884209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4.8316906031686813E-13</v>
      </c>
      <c r="AJ189" s="13">
        <f>AI189*VLOOKUP('Données projet'!$B$10,Paramètres!$A$1:$I$89,3,0)*VLOOKUP('Données projet'!$B$10,Paramètres!$A$1:$I$89,5,0)</f>
        <v>4.3717136577470225E-13</v>
      </c>
      <c r="AK189" s="13">
        <f t="shared" si="164"/>
        <v>5.5313598682231701E-12</v>
      </c>
      <c r="AL189" s="20">
        <f t="shared" si="165"/>
        <v>1.039519189921296E-11</v>
      </c>
      <c r="AM189" s="59">
        <f t="shared" si="113"/>
        <v>293.33333333334372</v>
      </c>
      <c r="AN189" s="59">
        <f ca="1">AVERAGE(OFFSET($AM$3,0,0,'Données projet'!$E$10+1,1))-AVERAGE(OFFSET($H$3,0,0,'Données projet'!$E$10+1,1))</f>
        <v>581.88778927327667</v>
      </c>
      <c r="AO189" s="59">
        <f t="shared" si="144"/>
        <v>269.67340993773422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175.32602082521063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175.32602082521063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-4.2632564145606011E-13</v>
      </c>
      <c r="BE189" s="13">
        <f>BD189*VLOOKUP('Données projet'!$B$11,Paramètres!$A$1:$I$89,3,0)*VLOOKUP('Données projet'!$B$11,Paramètres!$A$1:$I$89,5,0)</f>
        <v>-2.4385826691286639E-13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292.09131652373259</v>
      </c>
      <c r="BJ189" s="59">
        <f t="shared" si="146"/>
        <v>200.24819245805861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22.744460126708237</v>
      </c>
      <c r="BQ189" s="21">
        <f>EXP(-LN(2)/25)*BQ188+(1-EXP(-LN(2)/25))/(LN(2)/25)*Calculateur!BL189*Calculateur!BN189*VLOOKUP('Données projet'!$B$11,Paramètres!$A$1:$I$89,3,0)*0.475*44/12</f>
        <v>5.3185812925588696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28.063041419267108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-6.7984728957526396E-14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300.80663531652721</v>
      </c>
      <c r="T190" s="59">
        <f t="shared" si="142"/>
        <v>306.01967513533549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11.181677940764224</v>
      </c>
      <c r="AA190" s="21">
        <f>EXP(-LN(2)/25)*AA189+(1-EXP(-LN(2)/25))/(LN(2)/25)*Calculateur!V190*Calculateur!X190*VLOOKUP('Données projet'!$B$9,Paramètres!$A$1:$I$89,3,0)*0.475*44/12</f>
        <v>2.5335229122898895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13.715200853054114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4.8316906031686813E-13</v>
      </c>
      <c r="AJ190" s="13">
        <f>AI190*VLOOKUP('Données projet'!$B$10,Paramètres!$A$1:$I$89,3,0)*VLOOKUP('Données projet'!$B$10,Paramètres!$A$1:$I$89,5,0)</f>
        <v>4.3717136577470225E-13</v>
      </c>
      <c r="AK190" s="13">
        <f t="shared" si="164"/>
        <v>5.5313598682231701E-12</v>
      </c>
      <c r="AL190" s="20">
        <f t="shared" si="165"/>
        <v>1.039519189921296E-11</v>
      </c>
      <c r="AM190" s="59">
        <f t="shared" si="113"/>
        <v>293.33333333334372</v>
      </c>
      <c r="AN190" s="59">
        <f ca="1">AVERAGE(OFFSET($AM$3,0,0,'Données projet'!$E$10+1,1))-AVERAGE(OFFSET($H$3,0,0,'Données projet'!$E$10+1,1))</f>
        <v>581.88778927327667</v>
      </c>
      <c r="AO190" s="59">
        <f t="shared" si="144"/>
        <v>269.67340993773422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171.88798449514167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171.88798449514167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-4.2632564145606011E-13</v>
      </c>
      <c r="BE190" s="13">
        <f>BD190*VLOOKUP('Données projet'!$B$11,Paramètres!$A$1:$I$89,3,0)*VLOOKUP('Données projet'!$B$11,Paramètres!$A$1:$I$89,5,0)</f>
        <v>-2.4385826691286639E-13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292.09131652373259</v>
      </c>
      <c r="BJ190" s="59">
        <f t="shared" si="146"/>
        <v>200.24819245805861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22.298455136374347</v>
      </c>
      <c r="BQ190" s="21">
        <f>EXP(-LN(2)/25)*BQ189+(1-EXP(-LN(2)/25))/(LN(2)/25)*Calculateur!BL190*Calculateur!BN190*VLOOKUP('Données projet'!$B$11,Paramètres!$A$1:$I$89,3,0)*0.475*44/12</f>
        <v>5.1731444074218125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27.47159954379616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-6.7984728957526396E-14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300.80663531652721</v>
      </c>
      <c r="T191" s="59">
        <f t="shared" si="142"/>
        <v>306.01967513533549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10.962412056495948</v>
      </c>
      <c r="AA191" s="21">
        <f>EXP(-LN(2)/25)*AA190+(1-EXP(-LN(2)/25))/(LN(2)/25)*Calculateur!V191*Calculateur!X191*VLOOKUP('Données projet'!$B$9,Paramètres!$A$1:$I$89,3,0)*0.475*44/12</f>
        <v>2.4642435950211428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13.426655651517091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4.8316906031686813E-13</v>
      </c>
      <c r="AJ191" s="13">
        <f>AI191*VLOOKUP('Données projet'!$B$10,Paramètres!$A$1:$I$89,3,0)*VLOOKUP('Données projet'!$B$10,Paramètres!$A$1:$I$89,5,0)</f>
        <v>4.3717136577470225E-13</v>
      </c>
      <c r="AK191" s="13">
        <f t="shared" si="164"/>
        <v>5.5313598682231701E-12</v>
      </c>
      <c r="AL191" s="20">
        <f t="shared" si="165"/>
        <v>1.039519189921296E-11</v>
      </c>
      <c r="AM191" s="59">
        <f t="shared" si="113"/>
        <v>293.33333333334372</v>
      </c>
      <c r="AN191" s="59">
        <f ca="1">AVERAGE(OFFSET($AM$3,0,0,'Données projet'!$E$10+1,1))-AVERAGE(OFFSET($H$3,0,0,'Données projet'!$E$10+1,1))</f>
        <v>581.88778927327667</v>
      </c>
      <c r="AO191" s="59">
        <f t="shared" si="144"/>
        <v>269.67340993773422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168.51736596051026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168.51736596051026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-4.2632564145606011E-13</v>
      </c>
      <c r="BE191" s="13">
        <f>BD191*VLOOKUP('Données projet'!$B$11,Paramètres!$A$1:$I$89,3,0)*VLOOKUP('Données projet'!$B$11,Paramètres!$A$1:$I$89,5,0)</f>
        <v>-2.4385826691286639E-13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292.09131652373259</v>
      </c>
      <c r="BJ191" s="59">
        <f t="shared" si="146"/>
        <v>200.24819245805861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21.861196031864722</v>
      </c>
      <c r="BQ191" s="21">
        <f>EXP(-LN(2)/25)*BQ190+(1-EXP(-LN(2)/25))/(LN(2)/25)*Calculateur!BL191*Calculateur!BN191*VLOOKUP('Données projet'!$B$11,Paramètres!$A$1:$I$89,3,0)*0.475*44/12</f>
        <v>5.031684501557022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26.892880533421746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-6.7984728957526396E-14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300.80663531652721</v>
      </c>
      <c r="T192" s="59">
        <f t="shared" si="142"/>
        <v>306.01967513533549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10.747445842479189</v>
      </c>
      <c r="AA192" s="21">
        <f>EXP(-LN(2)/25)*AA191+(1-EXP(-LN(2)/25))/(LN(2)/25)*Calculateur!V192*Calculateur!X192*VLOOKUP('Données projet'!$B$9,Paramètres!$A$1:$I$89,3,0)*0.475*44/12</f>
        <v>2.3968587243263513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13.144304566805541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4.8316906031686813E-13</v>
      </c>
      <c r="AJ192" s="13">
        <f>AI192*VLOOKUP('Données projet'!$B$10,Paramètres!$A$1:$I$89,3,0)*VLOOKUP('Données projet'!$B$10,Paramètres!$A$1:$I$89,5,0)</f>
        <v>4.3717136577470225E-13</v>
      </c>
      <c r="AK192" s="13">
        <f t="shared" si="164"/>
        <v>5.5313598682231701E-12</v>
      </c>
      <c r="AL192" s="20">
        <f t="shared" si="165"/>
        <v>1.039519189921296E-11</v>
      </c>
      <c r="AM192" s="59">
        <f t="shared" si="113"/>
        <v>293.33333333334372</v>
      </c>
      <c r="AN192" s="59">
        <f ca="1">AVERAGE(OFFSET($AM$3,0,0,'Données projet'!$E$10+1,1))-AVERAGE(OFFSET($H$3,0,0,'Données projet'!$E$10+1,1))</f>
        <v>581.88778927327667</v>
      </c>
      <c r="AO192" s="59">
        <f t="shared" si="144"/>
        <v>269.67340993773422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165.21284319946867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165.21284319946867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-4.2632564145606011E-13</v>
      </c>
      <c r="BE192" s="13">
        <f>BD192*VLOOKUP('Données projet'!$B$11,Paramètres!$A$1:$I$89,3,0)*VLOOKUP('Données projet'!$B$11,Paramètres!$A$1:$I$89,5,0)</f>
        <v>-2.4385826691286639E-13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292.09131652373259</v>
      </c>
      <c r="BJ192" s="59">
        <f t="shared" si="146"/>
        <v>200.24819245805861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21.43251131169281</v>
      </c>
      <c r="BQ192" s="21">
        <f>EXP(-LN(2)/25)*BQ191+(1-EXP(-LN(2)/25))/(LN(2)/25)*Calculateur!BL192*Calculateur!BN192*VLOOKUP('Données projet'!$B$11,Paramètres!$A$1:$I$89,3,0)*0.475*44/12</f>
        <v>4.8940928242571573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26.326604135949967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-6.7984728957526396E-14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300.80663531652721</v>
      </c>
      <c r="T193" s="59">
        <f t="shared" si="142"/>
        <v>306.01967513533549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10.536694984802855</v>
      </c>
      <c r="AA193" s="21">
        <f>EXP(-LN(2)/25)*AA192+(1-EXP(-LN(2)/25))/(LN(2)/25)*Calculateur!V193*Calculateur!X193*VLOOKUP('Données projet'!$B$9,Paramètres!$A$1:$I$89,3,0)*0.475*44/12</f>
        <v>2.3313164964643249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12.86801148126718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4.8316906031686813E-13</v>
      </c>
      <c r="AJ193" s="13">
        <f>AI193*VLOOKUP('Données projet'!$B$10,Paramètres!$A$1:$I$89,3,0)*VLOOKUP('Données projet'!$B$10,Paramètres!$A$1:$I$89,5,0)</f>
        <v>4.3717136577470225E-13</v>
      </c>
      <c r="AK193" s="13">
        <f t="shared" si="164"/>
        <v>5.5313598682231701E-12</v>
      </c>
      <c r="AL193" s="20">
        <f t="shared" si="165"/>
        <v>1.039519189921296E-11</v>
      </c>
      <c r="AM193" s="59">
        <f t="shared" si="113"/>
        <v>293.33333333334372</v>
      </c>
      <c r="AN193" s="59">
        <f ca="1">AVERAGE(OFFSET($AM$3,0,0,'Données projet'!$E$10+1,1))-AVERAGE(OFFSET($H$3,0,0,'Données projet'!$E$10+1,1))</f>
        <v>581.88778927327667</v>
      </c>
      <c r="AO193" s="59">
        <f t="shared" si="144"/>
        <v>269.67340993773422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161.97312011421124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161.97312011421124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-4.2632564145606011E-13</v>
      </c>
      <c r="BE193" s="13">
        <f>BD193*VLOOKUP('Données projet'!$B$11,Paramètres!$A$1:$I$89,3,0)*VLOOKUP('Données projet'!$B$11,Paramètres!$A$1:$I$89,5,0)</f>
        <v>-2.4385826691286639E-13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292.09131652373259</v>
      </c>
      <c r="BJ193" s="59">
        <f t="shared" si="146"/>
        <v>200.24819245805861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21.012232837411609</v>
      </c>
      <c r="BQ193" s="21">
        <f>EXP(-LN(2)/25)*BQ192+(1-EXP(-LN(2)/25))/(LN(2)/25)*Calculateur!BL193*Calculateur!BN193*VLOOKUP('Données projet'!$B$11,Paramètres!$A$1:$I$89,3,0)*0.475*44/12</f>
        <v>4.760263598608689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25.772496436020297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-6.7984728957526396E-14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300.80663531652721</v>
      </c>
      <c r="T194" s="59">
        <f t="shared" si="142"/>
        <v>306.01967513533549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10.330076822900223</v>
      </c>
      <c r="AA194" s="21">
        <f>EXP(-LN(2)/25)*AA193+(1-EXP(-LN(2)/25))/(LN(2)/25)*Calculateur!V194*Calculateur!X194*VLOOKUP('Données projet'!$B$9,Paramètres!$A$1:$I$89,3,0)*0.475*44/12</f>
        <v>2.2675665242699017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12.597643347170123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4.8316906031686813E-13</v>
      </c>
      <c r="AJ194" s="13">
        <f>AI194*VLOOKUP('Données projet'!$B$10,Paramètres!$A$1:$I$89,3,0)*VLOOKUP('Données projet'!$B$10,Paramètres!$A$1:$I$89,5,0)</f>
        <v>4.3717136577470225E-13</v>
      </c>
      <c r="AK194" s="13">
        <f t="shared" si="164"/>
        <v>5.5313598682231701E-12</v>
      </c>
      <c r="AL194" s="20">
        <f t="shared" si="165"/>
        <v>1.039519189921296E-11</v>
      </c>
      <c r="AM194" s="59">
        <f t="shared" si="113"/>
        <v>293.33333333334372</v>
      </c>
      <c r="AN194" s="59">
        <f ca="1">AVERAGE(OFFSET($AM$3,0,0,'Données projet'!$E$10+1,1))-AVERAGE(OFFSET($H$3,0,0,'Données projet'!$E$10+1,1))</f>
        <v>581.88778927327667</v>
      </c>
      <c r="AO194" s="59">
        <f t="shared" si="144"/>
        <v>269.67340993773422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158.79692602261974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158.79692602261974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-4.2632564145606011E-13</v>
      </c>
      <c r="BE194" s="13">
        <f>BD194*VLOOKUP('Données projet'!$B$11,Paramètres!$A$1:$I$89,3,0)*VLOOKUP('Données projet'!$B$11,Paramètres!$A$1:$I$89,5,0)</f>
        <v>-2.4385826691286639E-13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292.09131652373259</v>
      </c>
      <c r="BJ194" s="59">
        <f t="shared" si="146"/>
        <v>200.24819245805861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20.600195767666506</v>
      </c>
      <c r="BQ194" s="21">
        <f>EXP(-LN(2)/25)*BQ193+(1-EXP(-LN(2)/25))/(LN(2)/25)*Calculateur!BL194*Calculateur!BN194*VLOOKUP('Données projet'!$B$11,Paramètres!$A$1:$I$89,3,0)*0.475*44/12</f>
        <v>4.6300939401733512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25.230289707839859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-6.7984728957526396E-14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300.80663531652721</v>
      </c>
      <c r="T195" s="59">
        <f t="shared" si="142"/>
        <v>306.01967513533549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10.127510317127866</v>
      </c>
      <c r="AA195" s="21">
        <f>EXP(-LN(2)/25)*AA194+(1-EXP(-LN(2)/25))/(LN(2)/25)*Calculateur!V195*Calculateur!X195*VLOOKUP('Données projet'!$B$9,Paramètres!$A$1:$I$89,3,0)*0.475*44/12</f>
        <v>2.2055597984176005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12.333070115545468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4.8316906031686813E-13</v>
      </c>
      <c r="AJ195" s="13">
        <f>AI195*VLOOKUP('Données projet'!$B$10,Paramètres!$A$1:$I$89,3,0)*VLOOKUP('Données projet'!$B$10,Paramètres!$A$1:$I$89,5,0)</f>
        <v>4.3717136577470225E-13</v>
      </c>
      <c r="AK195" s="13">
        <f t="shared" si="164"/>
        <v>5.5313598682231701E-12</v>
      </c>
      <c r="AL195" s="20">
        <f t="shared" si="165"/>
        <v>1.039519189921296E-11</v>
      </c>
      <c r="AM195" s="59">
        <f t="shared" si="113"/>
        <v>293.33333333334372</v>
      </c>
      <c r="AN195" s="59">
        <f ca="1">AVERAGE(OFFSET($AM$3,0,0,'Données projet'!$E$10+1,1))-AVERAGE(OFFSET($H$3,0,0,'Données projet'!$E$10+1,1))</f>
        <v>581.88778927327667</v>
      </c>
      <c r="AO195" s="59">
        <f t="shared" si="144"/>
        <v>269.67340993773422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155.68301515987724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155.68301515987724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-4.2632564145606011E-13</v>
      </c>
      <c r="BE195" s="13">
        <f>BD195*VLOOKUP('Données projet'!$B$11,Paramètres!$A$1:$I$89,3,0)*VLOOKUP('Données projet'!$B$11,Paramètres!$A$1:$I$89,5,0)</f>
        <v>-2.4385826691286639E-13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292.09131652373259</v>
      </c>
      <c r="BJ195" s="59">
        <f t="shared" si="146"/>
        <v>200.24819245805861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20.196238493541305</v>
      </c>
      <c r="BQ195" s="21">
        <f>EXP(-LN(2)/25)*BQ194+(1-EXP(-LN(2)/25))/(LN(2)/25)*Calculateur!BL195*Calculateur!BN195*VLOOKUP('Données projet'!$B$11,Paramètres!$A$1:$I$89,3,0)*0.475*44/12</f>
        <v>4.503483777893253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24.69972227143456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-6.7984728957526396E-14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300.80663531652721</v>
      </c>
      <c r="T196" s="59">
        <f t="shared" si="142"/>
        <v>306.01967513533549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9.9289160169803363</v>
      </c>
      <c r="AA196" s="21">
        <f>EXP(-LN(2)/25)*AA195+(1-EXP(-LN(2)/25))/(LN(2)/25)*Calculateur!V196*Calculateur!X196*VLOOKUP('Données projet'!$B$9,Paramètres!$A$1:$I$89,3,0)*0.475*44/12</f>
        <v>2.1452486497445222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12.074164666724858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4.8316906031686813E-13</v>
      </c>
      <c r="AJ196" s="13">
        <f>AI196*VLOOKUP('Données projet'!$B$10,Paramètres!$A$1:$I$89,3,0)*VLOOKUP('Données projet'!$B$10,Paramètres!$A$1:$I$89,5,0)</f>
        <v>4.3717136577470225E-13</v>
      </c>
      <c r="AK196" s="13">
        <f t="shared" si="164"/>
        <v>5.5313598682231701E-12</v>
      </c>
      <c r="AL196" s="20">
        <f t="shared" si="165"/>
        <v>1.039519189921296E-11</v>
      </c>
      <c r="AM196" s="59">
        <f t="shared" ref="AM196:AM203" si="193">AL196+(AD196+AE196)*44/12</f>
        <v>293.33333333334372</v>
      </c>
      <c r="AN196" s="59">
        <f ca="1">AVERAGE(OFFSET($AM$3,0,0,'Données projet'!$E$10+1,1))-AVERAGE(OFFSET($H$3,0,0,'Données projet'!$E$10+1,1))</f>
        <v>581.88778927327667</v>
      </c>
      <c r="AO196" s="59">
        <f t="shared" si="144"/>
        <v>269.67340993773422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152.63016618985506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152.63016618985506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-4.2632564145606011E-13</v>
      </c>
      <c r="BE196" s="13">
        <f>BD196*VLOOKUP('Données projet'!$B$11,Paramètres!$A$1:$I$89,3,0)*VLOOKUP('Données projet'!$B$11,Paramètres!$A$1:$I$89,5,0)</f>
        <v>-2.4385826691286639E-13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292.09131652373259</v>
      </c>
      <c r="BJ196" s="59">
        <f t="shared" si="146"/>
        <v>200.24819245805861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19.80020257517209</v>
      </c>
      <c r="BQ196" s="21">
        <f>EXP(-LN(2)/25)*BQ195+(1-EXP(-LN(2)/25))/(LN(2)/25)*Calculateur!BL196*Calculateur!BN196*VLOOKUP('Données projet'!$B$11,Paramètres!$A$1:$I$89,3,0)*0.475*44/12</f>
        <v>4.3803357771588427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24.180538352330935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-6.7984728957526396E-14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300.80663531652721</v>
      </c>
      <c r="T197" s="59">
        <f t="shared" ref="T197:T203" si="204">$T$3</f>
        <v>306.01967513533549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9.7342160299281382</v>
      </c>
      <c r="AA197" s="21">
        <f>EXP(-LN(2)/25)*AA196+(1-EXP(-LN(2)/25))/(LN(2)/25)*Calculateur!V197*Calculateur!X197*VLOOKUP('Données projet'!$B$9,Paramètres!$A$1:$I$89,3,0)*0.475*44/12</f>
        <v>2.0865867126035349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11.820802742531672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4.8316906031686813E-13</v>
      </c>
      <c r="AJ197" s="13">
        <f>AI197*VLOOKUP('Données projet'!$B$10,Paramètres!$A$1:$I$89,3,0)*VLOOKUP('Données projet'!$B$10,Paramètres!$A$1:$I$89,5,0)</f>
        <v>4.3717136577470225E-13</v>
      </c>
      <c r="AK197" s="13">
        <f t="shared" si="164"/>
        <v>5.5313598682231701E-12</v>
      </c>
      <c r="AL197" s="20">
        <f t="shared" si="165"/>
        <v>1.039519189921296E-11</v>
      </c>
      <c r="AM197" s="59">
        <f t="shared" si="193"/>
        <v>293.33333333334372</v>
      </c>
      <c r="AN197" s="59">
        <f ca="1">AVERAGE(OFFSET($AM$3,0,0,'Données projet'!$E$10+1,1))-AVERAGE(OFFSET($H$3,0,0,'Données projet'!$E$10+1,1))</f>
        <v>581.88778927327667</v>
      </c>
      <c r="AO197" s="59">
        <f t="shared" ref="AO197:AO203" si="205">$AO$3</f>
        <v>269.67340993773422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149.637181726081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149.637181726081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-4.2632564145606011E-13</v>
      </c>
      <c r="BE197" s="13">
        <f>BD197*VLOOKUP('Données projet'!$B$11,Paramètres!$A$1:$I$89,3,0)*VLOOKUP('Données projet'!$B$11,Paramètres!$A$1:$I$89,5,0)</f>
        <v>-2.4385826691286639E-13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292.09131652373259</v>
      </c>
      <c r="BJ197" s="59">
        <f t="shared" ref="BJ197:BJ203" si="206">$BJ$3</f>
        <v>200.24819245805861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19.411932679604039</v>
      </c>
      <c r="BQ197" s="21">
        <f>EXP(-LN(2)/25)*BQ196+(1-EXP(-LN(2)/25))/(LN(2)/25)*Calculateur!BL197*Calculateur!BN197*VLOOKUP('Données projet'!$B$11,Paramètres!$A$1:$I$89,3,0)*0.475*44/12</f>
        <v>4.2605552649805869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23.672487944584624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-6.7984728957526396E-14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300.80663531652721</v>
      </c>
      <c r="T198" s="59">
        <f t="shared" si="204"/>
        <v>306.01967513533549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9.5433339908667669</v>
      </c>
      <c r="AA198" s="21">
        <f>EXP(-LN(2)/25)*AA197+(1-EXP(-LN(2)/25))/(LN(2)/25)*Calculateur!V198*Calculateur!X198*VLOOKUP('Données projet'!$B$9,Paramètres!$A$1:$I$89,3,0)*0.475*44/12</f>
        <v>2.029528889218565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11.572862880085331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4.8316906031686813E-13</v>
      </c>
      <c r="AJ198" s="13">
        <f>AI198*VLOOKUP('Données projet'!$B$10,Paramètres!$A$1:$I$89,3,0)*VLOOKUP('Données projet'!$B$10,Paramètres!$A$1:$I$89,5,0)</f>
        <v>4.3717136577470225E-13</v>
      </c>
      <c r="AK198" s="13">
        <f t="shared" si="164"/>
        <v>5.5313598682231701E-12</v>
      </c>
      <c r="AL198" s="20">
        <f t="shared" si="165"/>
        <v>1.039519189921296E-11</v>
      </c>
      <c r="AM198" s="59">
        <f t="shared" si="193"/>
        <v>293.33333333334372</v>
      </c>
      <c r="AN198" s="59">
        <f ca="1">AVERAGE(OFFSET($AM$3,0,0,'Données projet'!$E$10+1,1))-AVERAGE(OFFSET($H$3,0,0,'Données projet'!$E$10+1,1))</f>
        <v>581.88778927327667</v>
      </c>
      <c r="AO198" s="59">
        <f t="shared" si="205"/>
        <v>269.67340993773422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146.70288786210128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146.70288786210128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-4.2632564145606011E-13</v>
      </c>
      <c r="BE198" s="13">
        <f>BD198*VLOOKUP('Données projet'!$B$11,Paramètres!$A$1:$I$89,3,0)*VLOOKUP('Données projet'!$B$11,Paramètres!$A$1:$I$89,5,0)</f>
        <v>-2.4385826691286639E-13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292.09131652373259</v>
      </c>
      <c r="BJ198" s="59">
        <f t="shared" si="206"/>
        <v>200.24819245805861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19.031276519866825</v>
      </c>
      <c r="BQ198" s="21">
        <f>EXP(-LN(2)/25)*BQ197+(1-EXP(-LN(2)/25))/(LN(2)/25)*Calculateur!BL198*Calculateur!BN198*VLOOKUP('Données projet'!$B$11,Paramètres!$A$1:$I$89,3,0)*0.475*44/12</f>
        <v>4.1440501572068289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23.175326677073656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-6.7984728957526396E-14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300.80663531652721</v>
      </c>
      <c r="T199" s="59">
        <f t="shared" si="204"/>
        <v>306.01967513533549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9.3561950321648428</v>
      </c>
      <c r="AA199" s="21">
        <f>EXP(-LN(2)/25)*AA198+(1-EXP(-LN(2)/25))/(LN(2)/25)*Calculateur!V199*Calculateur!X199*VLOOKUP('Données projet'!$B$9,Paramètres!$A$1:$I$89,3,0)*0.475*44/12</f>
        <v>1.9740313150145976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11.33022634717944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4.8316906031686813E-13</v>
      </c>
      <c r="AJ199" s="13">
        <f>AI199*VLOOKUP('Données projet'!$B$10,Paramètres!$A$1:$I$89,3,0)*VLOOKUP('Données projet'!$B$10,Paramètres!$A$1:$I$89,5,0)</f>
        <v>4.3717136577470225E-13</v>
      </c>
      <c r="AK199" s="13">
        <f t="shared" si="164"/>
        <v>5.5313598682231701E-12</v>
      </c>
      <c r="AL199" s="20">
        <f t="shared" si="165"/>
        <v>1.039519189921296E-11</v>
      </c>
      <c r="AM199" s="59">
        <f t="shared" si="193"/>
        <v>293.33333333334372</v>
      </c>
      <c r="AN199" s="59">
        <f ca="1">AVERAGE(OFFSET($AM$3,0,0,'Données projet'!$E$10+1,1))-AVERAGE(OFFSET($H$3,0,0,'Données projet'!$E$10+1,1))</f>
        <v>581.88778927327667</v>
      </c>
      <c r="AO199" s="59">
        <f t="shared" si="205"/>
        <v>269.67340993773422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143.82613371105165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143.82613371105165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-4.2632564145606011E-13</v>
      </c>
      <c r="BE199" s="13">
        <f>BD199*VLOOKUP('Données projet'!$B$11,Paramètres!$A$1:$I$89,3,0)*VLOOKUP('Données projet'!$B$11,Paramètres!$A$1:$I$89,5,0)</f>
        <v>-2.4385826691286639E-13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292.09131652373259</v>
      </c>
      <c r="BJ199" s="59">
        <f t="shared" si="206"/>
        <v>200.24819245805861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18.658084795244726</v>
      </c>
      <c r="BQ199" s="21">
        <f>EXP(-LN(2)/25)*BQ198+(1-EXP(-LN(2)/25))/(LN(2)/25)*Calculateur!BL199*Calculateur!BN199*VLOOKUP('Données projet'!$B$11,Paramètres!$A$1:$I$89,3,0)*0.475*44/12</f>
        <v>4.0307308877318819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22.688815682976607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-6.7984728957526396E-14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300.80663531652721</v>
      </c>
      <c r="T200" s="59">
        <f t="shared" si="204"/>
        <v>306.01967513533549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9.1727257542995684</v>
      </c>
      <c r="AA200" s="21">
        <f>EXP(-LN(2)/25)*AA199+(1-EXP(-LN(2)/25))/(LN(2)/25)*Calculateur!V200*Calculateur!X200*VLOOKUP('Données projet'!$B$9,Paramètres!$A$1:$I$89,3,0)*0.475*44/12</f>
        <v>1.9200513248957283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11.092777079195297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4.8316906031686813E-13</v>
      </c>
      <c r="AJ200" s="13">
        <f>AI200*VLOOKUP('Données projet'!$B$10,Paramètres!$A$1:$I$89,3,0)*VLOOKUP('Données projet'!$B$10,Paramètres!$A$1:$I$89,5,0)</f>
        <v>4.3717136577470225E-13</v>
      </c>
      <c r="AK200" s="13">
        <f t="shared" si="164"/>
        <v>5.5313598682231701E-12</v>
      </c>
      <c r="AL200" s="20">
        <f t="shared" si="165"/>
        <v>1.039519189921296E-11</v>
      </c>
      <c r="AM200" s="59">
        <f t="shared" si="193"/>
        <v>293.33333333334372</v>
      </c>
      <c r="AN200" s="59">
        <f ca="1">AVERAGE(OFFSET($AM$3,0,0,'Données projet'!$E$10+1,1))-AVERAGE(OFFSET($H$3,0,0,'Données projet'!$E$10+1,1))</f>
        <v>581.88778927327667</v>
      </c>
      <c r="AO200" s="59">
        <f t="shared" si="205"/>
        <v>269.67340993773422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141.00579095425735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141.00579095425735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-4.2632564145606011E-13</v>
      </c>
      <c r="BE200" s="13">
        <f>BD200*VLOOKUP('Données projet'!$B$11,Paramètres!$A$1:$I$89,3,0)*VLOOKUP('Données projet'!$B$11,Paramètres!$A$1:$I$89,5,0)</f>
        <v>-2.4385826691286639E-13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292.09131652373259</v>
      </c>
      <c r="BJ200" s="59">
        <f t="shared" si="206"/>
        <v>200.24819245805861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18.292211132717991</v>
      </c>
      <c r="BQ200" s="21">
        <f>EXP(-LN(2)/25)*BQ199+(1-EXP(-LN(2)/25))/(LN(2)/25)*Calculateur!BL200*Calculateur!BN200*VLOOKUP('Données projet'!$B$11,Paramètres!$A$1:$I$89,3,0)*0.475*44/12</f>
        <v>3.9205103396399288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22.21272147235792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-6.7984728957526396E-14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300.80663531652721</v>
      </c>
      <c r="T201" s="59">
        <f t="shared" si="204"/>
        <v>306.01967513533549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8.9928541970680218</v>
      </c>
      <c r="AA201" s="21">
        <f>EXP(-LN(2)/25)*AA200+(1-EXP(-LN(2)/25))/(LN(2)/25)*Calculateur!V201*Calculateur!X201*VLOOKUP('Données projet'!$B$9,Paramètres!$A$1:$I$89,3,0)*0.475*44/12</f>
        <v>1.8675474204453437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10.860401617513366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4.8316906031686813E-13</v>
      </c>
      <c r="AJ201" s="13">
        <f>AI201*VLOOKUP('Données projet'!$B$10,Paramètres!$A$1:$I$89,3,0)*VLOOKUP('Données projet'!$B$10,Paramètres!$A$1:$I$89,5,0)</f>
        <v>4.3717136577470225E-13</v>
      </c>
      <c r="AK201" s="13">
        <f t="shared" si="164"/>
        <v>5.5313598682231701E-12</v>
      </c>
      <c r="AL201" s="20">
        <f t="shared" si="165"/>
        <v>1.039519189921296E-11</v>
      </c>
      <c r="AM201" s="59">
        <f t="shared" si="193"/>
        <v>293.33333333334372</v>
      </c>
      <c r="AN201" s="59">
        <f ca="1">AVERAGE(OFFSET($AM$3,0,0,'Données projet'!$E$10+1,1))-AVERAGE(OFFSET($H$3,0,0,'Données projet'!$E$10+1,1))</f>
        <v>581.88778927327667</v>
      </c>
      <c r="AO201" s="59">
        <f t="shared" si="205"/>
        <v>269.67340993773422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138.24075339868455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138.24075339868455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-4.2632564145606011E-13</v>
      </c>
      <c r="BE201" s="13">
        <f>BD201*VLOOKUP('Données projet'!$B$11,Paramètres!$A$1:$I$89,3,0)*VLOOKUP('Données projet'!$B$11,Paramètres!$A$1:$I$89,5,0)</f>
        <v>-2.4385826691286639E-13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292.09131652373259</v>
      </c>
      <c r="BJ201" s="59">
        <f t="shared" si="206"/>
        <v>200.24819245805861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17.933512029552507</v>
      </c>
      <c r="BQ201" s="21">
        <f>EXP(-LN(2)/25)*BQ200+(1-EXP(-LN(2)/25))/(LN(2)/25)*Calculateur!BL201*Calculateur!BN201*VLOOKUP('Données projet'!$B$11,Paramètres!$A$1:$I$89,3,0)*0.475*44/12</f>
        <v>3.8133037782317967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21.746815807784301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-6.7984728957526396E-14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300.80663531652721</v>
      </c>
      <c r="T202" s="59">
        <f t="shared" si="204"/>
        <v>306.01967513533549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8.8165098113629696</v>
      </c>
      <c r="AA202" s="21">
        <f>EXP(-LN(2)/25)*AA201+(1-EXP(-LN(2)/25))/(LN(2)/25)*Calculateur!V202*Calculateur!X202*VLOOKUP('Données projet'!$B$9,Paramètres!$A$1:$I$89,3,0)*0.475*44/12</f>
        <v>1.8164792380232153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10.632989049386184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4.8316906031686813E-13</v>
      </c>
      <c r="AJ202" s="13">
        <f>AI202*VLOOKUP('Données projet'!$B$10,Paramètres!$A$1:$I$89,3,0)*VLOOKUP('Données projet'!$B$10,Paramètres!$A$1:$I$89,5,0)</f>
        <v>4.3717136577470225E-13</v>
      </c>
      <c r="AK202" s="13">
        <f t="shared" si="164"/>
        <v>5.5313598682231701E-12</v>
      </c>
      <c r="AL202" s="20">
        <f t="shared" si="165"/>
        <v>1.039519189921296E-11</v>
      </c>
      <c r="AM202" s="59">
        <f t="shared" si="193"/>
        <v>293.33333333334372</v>
      </c>
      <c r="AN202" s="59">
        <f ca="1">AVERAGE(OFFSET($AM$3,0,0,'Données projet'!$E$10+1,1))-AVERAGE(OFFSET($H$3,0,0,'Données projet'!$E$10+1,1))</f>
        <v>581.88778927327667</v>
      </c>
      <c r="AO202" s="59">
        <f t="shared" si="205"/>
        <v>269.67340993773422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135.52993654307016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135.52993654307016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-4.2632564145606011E-13</v>
      </c>
      <c r="BE202" s="13">
        <f>BD202*VLOOKUP('Données projet'!$B$11,Paramètres!$A$1:$I$89,3,0)*VLOOKUP('Données projet'!$B$11,Paramètres!$A$1:$I$89,5,0)</f>
        <v>-2.4385826691286639E-13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292.09131652373259</v>
      </c>
      <c r="BJ202" s="59">
        <f t="shared" si="206"/>
        <v>200.24819245805861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17.581846797015245</v>
      </c>
      <c r="BQ202" s="21">
        <f>EXP(-LN(2)/25)*BQ201+(1-EXP(-LN(2)/25))/(LN(2)/25)*Calculateur!BL202*Calculateur!BN202*VLOOKUP('Données projet'!$B$11,Paramètres!$A$1:$I$89,3,0)*0.475*44/12</f>
        <v>3.7090287858831181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21.290875582898362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-6.7984728957526396E-14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300.80663531652721</v>
      </c>
      <c r="T203" s="59">
        <f t="shared" si="204"/>
        <v>306.01967513533549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8.6436234315021387</v>
      </c>
      <c r="AA203" s="21">
        <f>EXP(-LN(2)/25)*AA202+(1-EXP(-LN(2)/25))/(LN(2)/25)*Calculateur!V203*Calculateur!X203*VLOOKUP('Données projet'!$B$9,Paramètres!$A$1:$I$89,3,0)*0.475*44/12</f>
        <v>1.7668075177349789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10.410430949237117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4.8316906031686813E-13</v>
      </c>
      <c r="AJ203" s="13">
        <f>AI203*VLOOKUP('Données projet'!$B$10,Paramètres!$A$1:$I$89,3,0)*VLOOKUP('Données projet'!$B$10,Paramètres!$A$1:$I$89,5,0)</f>
        <v>4.3717136577470225E-13</v>
      </c>
      <c r="AK203" s="13">
        <f t="shared" si="164"/>
        <v>5.5313598682231701E-12</v>
      </c>
      <c r="AL203" s="20">
        <f t="shared" si="165"/>
        <v>1.039519189921296E-11</v>
      </c>
      <c r="AM203" s="59">
        <f t="shared" si="193"/>
        <v>293.33333333334372</v>
      </c>
      <c r="AN203" s="59">
        <f ca="1">AVERAGE(OFFSET($AM$3,0,0,'Données projet'!$E$10+1,1))-AVERAGE(OFFSET($H$3,0,0,'Données projet'!$E$10+1,1))</f>
        <v>581.88778927327667</v>
      </c>
      <c r="AO203" s="59">
        <f t="shared" si="205"/>
        <v>269.67340993773422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132.87227715255935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132.87227715255935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-4.2632564145606011E-13</v>
      </c>
      <c r="BE203" s="13">
        <f>BD203*VLOOKUP('Données projet'!$B$11,Paramètres!$A$1:$I$89,3,0)*VLOOKUP('Données projet'!$B$11,Paramètres!$A$1:$I$89,5,0)</f>
        <v>-2.4385826691286639E-13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292.09131652373259</v>
      </c>
      <c r="BJ203" s="59">
        <f t="shared" si="206"/>
        <v>200.24819245805861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17.23707750519343</v>
      </c>
      <c r="BQ203" s="21">
        <f>EXP(-LN(2)/25)*BQ202+(1-EXP(-LN(2)/25))/(LN(2)/25)*Calculateur!BL203*Calculateur!BN203*VLOOKUP('Données projet'!$B$11,Paramètres!$A$1:$I$89,3,0)*0.475*44/12</f>
        <v>3.6076051986837974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20.844682703877226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1.3267648858502221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1.1289835501862808</v>
      </c>
      <c r="BA205" s="82">
        <f>EXP(LN('Données projet'!B88)/'Données projet'!A88)</f>
        <v>1.2437711100600062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3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4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3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5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5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4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3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4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90" zoomScaleNormal="90" workbookViewId="0">
      <selection activeCell="O10" sqref="O10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4" t="s">
        <v>271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0.7752</v>
      </c>
      <c r="C6" s="147">
        <f ca="1">IF(OR('Données projet'!B9="",'Données projet'!C9="",'Données projet'!C9=0%),0,Calculateur!S3)</f>
        <v>300.80663531652721</v>
      </c>
      <c r="D6" s="147">
        <f>IF(OR('Données projet'!B9="",'Données projet'!C9="",'Données projet'!C9=0%),0,Calculateur!T3)</f>
        <v>306.01967513533549</v>
      </c>
      <c r="E6" s="147">
        <f ca="1">MIN(C6,D6)</f>
        <v>300.80663531652721</v>
      </c>
      <c r="F6" s="147">
        <f ca="1">E6*B6</f>
        <v>233.18530369737189</v>
      </c>
      <c r="G6" s="147">
        <f ca="1">F6*(100%-'Données projet'!$C$24)*(100%-'Données projet'!$C$25)*(100%-'Données projet'!$C$26)*(100%-'Données projet'!$C$27)</f>
        <v>178.38675732848949</v>
      </c>
      <c r="H6" s="148">
        <f>IF(OR('Données projet'!B9="",'Données projet'!C9="",'Données projet'!C9=0%),0,AVERAGE(Calculateur!$AC$3:$AC$33)*B6)</f>
        <v>8.5006194526820096</v>
      </c>
      <c r="I6" s="149">
        <f>H6*(100%-'Données projet'!$C$24)*(100%-'Données projet'!$C$25)*(100%-'Données projet'!$C$26)*(100%-'Données projet'!$C$27)</f>
        <v>6.5029738813017373</v>
      </c>
      <c r="J6" s="150">
        <f>IF(OR('Données projet'!B9="",'Données projet'!C9="",'Données projet'!C9=0%),0,SUM(Calculateur!$V$3:$V$33)*VLOOKUP('Données projet'!$B$9,Paramètres!$A$1:$I$89,9,0)*B6)</f>
        <v>70.045909199999983</v>
      </c>
      <c r="K6" s="151">
        <f>J6*(100%-'Données projet'!$C$24)*(100%-'Données projet'!$C$25)*(100%-'Données projet'!$C$26)*(100%-'Données projet'!$C$27)</f>
        <v>53.585120537999984</v>
      </c>
      <c r="L6" s="152">
        <f ca="1">G6+I6+K6</f>
        <v>238.47485174779121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sessile</v>
      </c>
      <c r="B7" s="154">
        <f>'Données projet'!D10</f>
        <v>0.13679999999999998</v>
      </c>
      <c r="C7" s="147">
        <f ca="1">IF(OR('Données projet'!B10="",'Données projet'!C10="",'Données projet'!C10=0%),0,Calculateur!AN3)</f>
        <v>581.88778927327667</v>
      </c>
      <c r="D7" s="147">
        <f>IF(OR('Données projet'!B10="",'Données projet'!C10="",'Données projet'!C10=0%),0,Calculateur!AO3)</f>
        <v>269.67340993773422</v>
      </c>
      <c r="E7" s="147">
        <f t="shared" ref="E7:E15" ca="1" si="0">MIN(C7,D7)</f>
        <v>269.67340993773422</v>
      </c>
      <c r="F7" s="147">
        <f t="shared" ref="F7:F15" ca="1" si="1">E7*B7</f>
        <v>36.891322479482035</v>
      </c>
      <c r="G7" s="147">
        <f ca="1">F7*(100%-'Données projet'!$C$24)*(100%-'Données projet'!$C$25)*(100%-'Données projet'!$C$26)*(100%-'Données projet'!$C$27)</f>
        <v>28.221861696803757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28.221861696803757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Pin sylvestre</v>
      </c>
      <c r="B8" s="154">
        <f>'Données projet'!D11</f>
        <v>0.22799999999999998</v>
      </c>
      <c r="C8" s="147">
        <f ca="1">IF(OR('Données projet'!B11="",'Données projet'!C11="",'Données projet'!C11=0%),0,Calculateur!BI3)</f>
        <v>292.09131652373259</v>
      </c>
      <c r="D8" s="147">
        <f>IF(OR('Données projet'!B11="",'Données projet'!C11="",'Données projet'!C11=0%),0,Calculateur!BJ3)</f>
        <v>200.24819245805861</v>
      </c>
      <c r="E8" s="147">
        <f t="shared" ca="1" si="0"/>
        <v>200.24819245805861</v>
      </c>
      <c r="F8" s="147">
        <f t="shared" ca="1" si="1"/>
        <v>45.656587880437357</v>
      </c>
      <c r="G8" s="147">
        <f ca="1">F8*(100%-'Données projet'!$C$24)*(100%-'Données projet'!$C$25)*(100%-'Données projet'!$C$26)*(100%-'Données projet'!$C$27)</f>
        <v>34.927289728534575</v>
      </c>
      <c r="H8" s="155">
        <f>IF(OR('Données projet'!B11="",'Données projet'!C11="",'Données projet'!C11=0%),0,AVERAGE(Calculateur!$BS$3:$BS$33)*B8)</f>
        <v>1.1713713426556613</v>
      </c>
      <c r="I8" s="149">
        <f>H8*(100%-'Données projet'!$C$24)*(100%-'Données projet'!$C$25)*(100%-'Données projet'!$C$26)*(100%-'Données projet'!$C$27)</f>
        <v>0.89609907713158099</v>
      </c>
      <c r="J8" s="150">
        <f>IF(OR('Données projet'!B11="",'Données projet'!C11="",'Données projet'!C11=0%),0,SUM(Calculateur!$BL$3:$BL$33)*VLOOKUP('Données projet'!$B$11,Paramètres!$A$1:$I$89,9,0)*B8)</f>
        <v>7.9912403999999997</v>
      </c>
      <c r="K8" s="151">
        <f>J8*(100%-'Données projet'!$C$24)*(100%-'Données projet'!$C$25)*(100%-'Données projet'!$C$26)*(100%-'Données projet'!$C$27)</f>
        <v>6.1132989059999998</v>
      </c>
      <c r="L8" s="152">
        <f t="shared" ca="1" si="2"/>
        <v>41.936687711666153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315.73321405729132</v>
      </c>
      <c r="G16" s="166">
        <f t="shared" ca="1" si="3"/>
        <v>241.53590875382781</v>
      </c>
      <c r="H16" s="167">
        <f t="shared" si="3"/>
        <v>9.6719907953376705</v>
      </c>
      <c r="I16" s="167">
        <f t="shared" si="3"/>
        <v>7.3990729584333179</v>
      </c>
      <c r="J16" s="168">
        <f t="shared" si="3"/>
        <v>78.037149599999978</v>
      </c>
      <c r="K16" s="168">
        <f t="shared" si="3"/>
        <v>59.698419443999981</v>
      </c>
      <c r="L16" s="169">
        <f t="shared" ca="1" si="3"/>
        <v>308.63340115626107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6" t="s">
        <v>246</v>
      </c>
      <c r="G17" s="287"/>
      <c r="H17" s="287"/>
      <c r="I17" s="287"/>
      <c r="J17" s="287"/>
      <c r="K17" s="287"/>
      <c r="L17" s="287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3"/>
      <c r="G18" s="273"/>
      <c r="H18" s="273"/>
      <c r="I18" s="273"/>
      <c r="J18" s="273"/>
      <c r="K18" s="273"/>
      <c r="L18" s="27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Pin sylvestre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14" zoomScale="80" zoomScaleNormal="80" workbookViewId="0">
      <selection activeCell="F22" sqref="F22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4" t="s">
        <v>272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4" t="s">
        <v>315</v>
      </c>
      <c r="I4" s="264"/>
      <c r="K4" s="288" t="s">
        <v>253</v>
      </c>
      <c r="L4" s="28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8" t="s">
        <v>310</v>
      </c>
      <c r="S7" s="299"/>
      <c r="T7" s="299"/>
      <c r="U7" s="299"/>
      <c r="V7" s="300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-987.90752479860066</v>
      </c>
      <c r="U10" s="178">
        <f>'Données projet'!D9</f>
        <v>0.7752</v>
      </c>
      <c r="V10" s="177">
        <f>U10*T10</f>
        <v>-765.8259132238752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-1338.6031322295892</v>
      </c>
      <c r="U11" s="178">
        <f>'Données projet'!D10</f>
        <v>0.13679999999999998</v>
      </c>
      <c r="V11" s="177">
        <f t="shared" ref="V11" si="0">U11*T11</f>
        <v>-183.12090848900777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sylvestre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-1462.6407365712791</v>
      </c>
      <c r="U12" s="178">
        <f>'Données projet'!D11</f>
        <v>0.22799999999999998</v>
      </c>
      <c r="V12" s="177">
        <f t="shared" ref="V12:V19" si="1">U12*T12</f>
        <v>-333.4820879382516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57"/>
      <c r="G15" s="291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57">
        <f>SUM(E17:E20)</f>
        <v>3109.3</v>
      </c>
      <c r="G16" s="291"/>
      <c r="H16" s="190"/>
      <c r="I16" s="191"/>
      <c r="J16" s="202"/>
      <c r="K16" s="208"/>
      <c r="L16" s="288" t="s">
        <v>254</v>
      </c>
      <c r="M16" s="289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572+650</f>
        <v>1222</v>
      </c>
      <c r="F17" s="230"/>
      <c r="G17" s="291"/>
      <c r="I17" s="1" t="s">
        <v>326</v>
      </c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220*0.8+430*0.8</f>
        <v>520</v>
      </c>
      <c r="F18" s="230"/>
      <c r="G18" s="291"/>
      <c r="I18" s="1" t="s">
        <v>325</v>
      </c>
      <c r="J18" s="202"/>
      <c r="K18" s="208"/>
      <c r="L18" s="261" t="s">
        <v>255</v>
      </c>
      <c r="M18" s="263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400*0.8+430*0.8+183.3</f>
        <v>847.3</v>
      </c>
      <c r="F19" s="230"/>
      <c r="G19" s="291"/>
      <c r="H19" s="212" t="s">
        <v>178</v>
      </c>
      <c r="I19" s="212" t="s">
        <v>287</v>
      </c>
      <c r="J19" s="93"/>
      <c r="K19" s="173"/>
      <c r="L19" s="288" t="s">
        <v>288</v>
      </c>
      <c r="M19" s="289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220*0.8+430*0.8</f>
        <v>520</v>
      </c>
      <c r="F20" s="230"/>
      <c r="G20" s="291"/>
      <c r="H20" s="190">
        <v>1</v>
      </c>
      <c r="I20" s="191">
        <f>200+10*1.14</f>
        <v>211.4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646.67999999999995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200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17</v>
      </c>
      <c r="B23" s="181">
        <f>'Données projet'!D36</f>
        <v>40.76</v>
      </c>
      <c r="C23" s="193">
        <v>5</v>
      </c>
      <c r="D23" s="182">
        <f>B23*C23</f>
        <v>203.79999999999998</v>
      </c>
      <c r="E23" s="193"/>
      <c r="F23" s="230"/>
      <c r="H23" s="190">
        <v>4</v>
      </c>
      <c r="I23" s="191">
        <v>20</v>
      </c>
      <c r="K23" s="208"/>
      <c r="L23" s="290" t="s">
        <v>260</v>
      </c>
      <c r="M23" s="290"/>
      <c r="N23" s="290"/>
      <c r="O23" s="23"/>
      <c r="P23" s="23"/>
      <c r="Q23" s="234"/>
      <c r="R23" s="23"/>
      <c r="S23" s="36" t="s">
        <v>264</v>
      </c>
      <c r="T23" s="30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-2747.6338055609449</v>
      </c>
      <c r="U23" s="303"/>
      <c r="V23" s="303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23</v>
      </c>
      <c r="B24" s="181">
        <f>'Données projet'!D37</f>
        <v>57.75</v>
      </c>
      <c r="C24" s="193">
        <v>8.5</v>
      </c>
      <c r="D24" s="182">
        <f t="shared" ref="D24:D42" si="2">B24*C24</f>
        <v>490.875</v>
      </c>
      <c r="E24" s="193"/>
      <c r="F24" s="233"/>
      <c r="H24" s="190">
        <v>5</v>
      </c>
      <c r="I24" s="191">
        <v>20</v>
      </c>
      <c r="K24" s="208"/>
      <c r="O24" s="23"/>
      <c r="P24" s="23"/>
      <c r="Q24" s="234"/>
      <c r="R24" s="23"/>
      <c r="S24" s="36" t="s">
        <v>261</v>
      </c>
      <c r="T24" s="304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4"/>
      <c r="V24" s="30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29</v>
      </c>
      <c r="B25" s="181">
        <f>'Données projet'!D38</f>
        <v>54.64</v>
      </c>
      <c r="C25" s="193">
        <v>8.5</v>
      </c>
      <c r="D25" s="182">
        <f t="shared" si="2"/>
        <v>464.44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5">
        <f ca="1">T23-T24</f>
        <v>-2747.6338055609449</v>
      </c>
      <c r="U25" s="305"/>
      <c r="V25" s="305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36</v>
      </c>
      <c r="B26" s="181">
        <f>'Données projet'!D39</f>
        <v>76.069999999999993</v>
      </c>
      <c r="C26" s="193">
        <v>15.5</v>
      </c>
      <c r="D26" s="182">
        <f t="shared" si="2"/>
        <v>1179.0849999999998</v>
      </c>
      <c r="E26" s="193"/>
      <c r="F26" s="233"/>
      <c r="G26" s="229"/>
      <c r="H26" s="190">
        <v>7</v>
      </c>
      <c r="I26" s="191">
        <v>20</v>
      </c>
      <c r="K26" s="208"/>
      <c r="L26" s="292" t="s">
        <v>258</v>
      </c>
      <c r="M26" s="293"/>
      <c r="N26" s="293"/>
      <c r="O26" s="293"/>
      <c r="P26" s="294"/>
      <c r="Q26" s="234"/>
      <c r="R26" s="23"/>
      <c r="S26" s="186" t="s">
        <v>265</v>
      </c>
      <c r="T26" s="302" t="str">
        <f ca="1">IF(T25&lt;0,"Votre projet est additionnel","Votre projet n'est pas additionnel")</f>
        <v>Votre projet est additionnel</v>
      </c>
      <c r="U26" s="302"/>
      <c r="V26" s="302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44</v>
      </c>
      <c r="B27" s="181">
        <f>'Données projet'!D40</f>
        <v>77.91</v>
      </c>
      <c r="C27" s="193">
        <v>15.5</v>
      </c>
      <c r="D27" s="182">
        <f t="shared" si="2"/>
        <v>1207.605</v>
      </c>
      <c r="E27" s="193"/>
      <c r="F27" s="233"/>
      <c r="G27" s="229"/>
      <c r="H27" s="190">
        <v>8</v>
      </c>
      <c r="I27" s="191">
        <v>20</v>
      </c>
      <c r="K27" s="208"/>
      <c r="L27" s="295"/>
      <c r="M27" s="296"/>
      <c r="N27" s="296"/>
      <c r="O27" s="296"/>
      <c r="P27" s="297"/>
      <c r="Q27" s="234"/>
      <c r="R27" s="23"/>
      <c r="S27" s="301" t="s">
        <v>267</v>
      </c>
      <c r="T27" s="301"/>
      <c r="U27" s="301"/>
      <c r="V27" s="301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52</v>
      </c>
      <c r="B28" s="181">
        <f>'Données projet'!D41</f>
        <v>75.37</v>
      </c>
      <c r="C28" s="193">
        <v>29.5</v>
      </c>
      <c r="D28" s="182">
        <f t="shared" si="2"/>
        <v>2223.415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60</v>
      </c>
      <c r="B29" s="181">
        <f>'Données projet'!D42</f>
        <v>436.34</v>
      </c>
      <c r="C29" s="193">
        <v>29.5</v>
      </c>
      <c r="D29" s="182">
        <f t="shared" si="2"/>
        <v>12872.029999999999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58">
        <f>SUM(E48:E51)</f>
        <v>2925.3</v>
      </c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1690+650</f>
        <v>2340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>
        <f>220*0.11+430*0.11</f>
        <v>71.5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400*0.11+430*0.11+351</f>
        <v>442.3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>
        <f>220*0.11+430*0.11</f>
        <v>71.5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42</v>
      </c>
      <c r="B54" s="181">
        <f>'Données projet'!D62</f>
        <v>43.21</v>
      </c>
      <c r="C54" s="191">
        <v>58</v>
      </c>
      <c r="D54" s="179">
        <f>B54*C54</f>
        <v>2506.1799999999998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50</v>
      </c>
      <c r="B55" s="181">
        <f>'Données projet'!D63</f>
        <v>35.58</v>
      </c>
      <c r="C55" s="191">
        <v>58</v>
      </c>
      <c r="D55" s="179">
        <f t="shared" ref="D55:D73" si="4">B55*C55</f>
        <v>2063.64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58</v>
      </c>
      <c r="B56" s="181">
        <f>'Données projet'!D64</f>
        <v>44.93</v>
      </c>
      <c r="C56" s="191">
        <v>58</v>
      </c>
      <c r="D56" s="179">
        <f t="shared" si="4"/>
        <v>2605.94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66</v>
      </c>
      <c r="B57" s="181">
        <f>'Données projet'!D65</f>
        <v>49.91</v>
      </c>
      <c r="C57" s="191">
        <v>106</v>
      </c>
      <c r="D57" s="179">
        <f t="shared" si="4"/>
        <v>5290.46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74</v>
      </c>
      <c r="B58" s="181">
        <f>'Données projet'!D66</f>
        <v>47.4</v>
      </c>
      <c r="C58" s="191">
        <v>106</v>
      </c>
      <c r="D58" s="179">
        <f t="shared" si="4"/>
        <v>5024.3999999999996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84</v>
      </c>
      <c r="B59" s="181">
        <f>'Données projet'!D67</f>
        <v>61.47</v>
      </c>
      <c r="C59" s="191">
        <v>106</v>
      </c>
      <c r="D59" s="179">
        <f t="shared" si="4"/>
        <v>6515.82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94</v>
      </c>
      <c r="B60" s="181">
        <f>'Données projet'!D68</f>
        <v>61.85</v>
      </c>
      <c r="C60" s="191">
        <v>106</v>
      </c>
      <c r="D60" s="179">
        <f t="shared" si="4"/>
        <v>6556.1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104</v>
      </c>
      <c r="B61" s="181">
        <f>'Données projet'!D69</f>
        <v>60.19</v>
      </c>
      <c r="C61" s="191">
        <v>106</v>
      </c>
      <c r="D61" s="179">
        <f t="shared" si="4"/>
        <v>6380.1399999999994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114</v>
      </c>
      <c r="B62" s="181">
        <f>'Données projet'!D70</f>
        <v>56.07</v>
      </c>
      <c r="C62" s="191">
        <v>106</v>
      </c>
      <c r="D62" s="179">
        <f t="shared" si="4"/>
        <v>5943.42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124</v>
      </c>
      <c r="B63" s="181">
        <f>'Données projet'!D71</f>
        <v>52.53</v>
      </c>
      <c r="C63" s="191">
        <v>106</v>
      </c>
      <c r="D63" s="179">
        <f t="shared" si="4"/>
        <v>5568.18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134</v>
      </c>
      <c r="B64" s="181">
        <f>'Données projet'!D72</f>
        <v>54.95</v>
      </c>
      <c r="C64" s="191">
        <v>106</v>
      </c>
      <c r="D64" s="179">
        <f t="shared" si="4"/>
        <v>5824.7000000000007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144</v>
      </c>
      <c r="B65" s="181">
        <f>'Données projet'!D73</f>
        <v>56.01</v>
      </c>
      <c r="C65" s="191">
        <v>106</v>
      </c>
      <c r="D65" s="179">
        <f t="shared" si="4"/>
        <v>5937.0599999999995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154</v>
      </c>
      <c r="B66" s="181">
        <f>'Données projet'!D74</f>
        <v>55.13</v>
      </c>
      <c r="C66" s="191">
        <v>106</v>
      </c>
      <c r="D66" s="179">
        <f t="shared" si="4"/>
        <v>5843.7800000000007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164</v>
      </c>
      <c r="B67" s="181">
        <f>'Données projet'!D75</f>
        <v>59.58</v>
      </c>
      <c r="C67" s="191">
        <v>106</v>
      </c>
      <c r="D67" s="179">
        <f t="shared" si="4"/>
        <v>6315.48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174</v>
      </c>
      <c r="B68" s="181">
        <f>'Données projet'!D76</f>
        <v>214.77</v>
      </c>
      <c r="C68" s="191">
        <v>106</v>
      </c>
      <c r="D68" s="179">
        <f t="shared" si="4"/>
        <v>22765.620000000003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177</v>
      </c>
      <c r="B69" s="181">
        <f>'Données projet'!D77</f>
        <v>115.19</v>
      </c>
      <c r="C69" s="191">
        <v>106</v>
      </c>
      <c r="D69" s="179">
        <f t="shared" si="4"/>
        <v>12210.14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180</v>
      </c>
      <c r="B70" s="181">
        <f>'Données projet'!D78</f>
        <v>77.72</v>
      </c>
      <c r="C70" s="191">
        <v>106</v>
      </c>
      <c r="D70" s="179">
        <f t="shared" si="4"/>
        <v>8238.32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183</v>
      </c>
      <c r="B71" s="181">
        <f>'Données projet'!D79</f>
        <v>169.76</v>
      </c>
      <c r="C71" s="191">
        <v>106</v>
      </c>
      <c r="D71" s="179">
        <f t="shared" si="4"/>
        <v>17994.559999999998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Pin sylvestre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58">
        <f>SUM(E79:E82)</f>
        <v>2104.5</v>
      </c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754+650</f>
        <v>1404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>
        <f>220*0.23+430*0.23</f>
        <v>149.5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f>400*0.23+430*0.23+210.6</f>
        <v>401.5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>
        <f>220*0.23+430*0.23</f>
        <v>149.5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22</v>
      </c>
      <c r="B85" s="181">
        <f>'Données projet'!D88</f>
        <v>50.38</v>
      </c>
      <c r="C85" s="191">
        <v>5</v>
      </c>
      <c r="D85" s="179">
        <f>B85*C85</f>
        <v>251.9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29</v>
      </c>
      <c r="B86" s="181">
        <f>'Données projet'!D89</f>
        <v>31.13</v>
      </c>
      <c r="C86" s="191">
        <v>5</v>
      </c>
      <c r="D86" s="179">
        <f t="shared" ref="D86:D104" si="6">B86*C86</f>
        <v>155.65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36</v>
      </c>
      <c r="B87" s="181">
        <f>'Données projet'!D90</f>
        <v>41.46</v>
      </c>
      <c r="C87" s="191">
        <v>5</v>
      </c>
      <c r="D87" s="179">
        <f t="shared" si="6"/>
        <v>207.3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44</v>
      </c>
      <c r="B88" s="181">
        <f>'Données projet'!D91</f>
        <v>42.43</v>
      </c>
      <c r="C88" s="191">
        <v>15</v>
      </c>
      <c r="D88" s="179">
        <f t="shared" si="6"/>
        <v>636.45000000000005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52</v>
      </c>
      <c r="B89" s="181">
        <f>'Données projet'!D92</f>
        <v>46.24</v>
      </c>
      <c r="C89" s="191">
        <v>19</v>
      </c>
      <c r="D89" s="179">
        <f t="shared" si="6"/>
        <v>878.56000000000006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60</v>
      </c>
      <c r="B90" s="181">
        <f>'Données projet'!D93</f>
        <v>41.67</v>
      </c>
      <c r="C90" s="191">
        <v>19</v>
      </c>
      <c r="D90" s="179">
        <f t="shared" si="6"/>
        <v>791.73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70</v>
      </c>
      <c r="B91" s="181">
        <f>'Données projet'!D94</f>
        <v>50</v>
      </c>
      <c r="C91" s="191">
        <v>19</v>
      </c>
      <c r="D91" s="179">
        <f t="shared" si="6"/>
        <v>950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80</v>
      </c>
      <c r="B92" s="181">
        <f>'Données projet'!D95</f>
        <v>39.97</v>
      </c>
      <c r="C92" s="191">
        <v>19</v>
      </c>
      <c r="D92" s="179">
        <f t="shared" si="6"/>
        <v>759.43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90</v>
      </c>
      <c r="B93" s="181">
        <f>'Données projet'!D96</f>
        <v>40.51</v>
      </c>
      <c r="C93" s="191">
        <v>19</v>
      </c>
      <c r="D93" s="179">
        <f t="shared" si="6"/>
        <v>769.68999999999994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100</v>
      </c>
      <c r="B94" s="181">
        <f>'Données projet'!D97</f>
        <v>219.7</v>
      </c>
      <c r="C94" s="191">
        <v>19</v>
      </c>
      <c r="D94" s="179">
        <f t="shared" si="6"/>
        <v>4174.3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103</v>
      </c>
      <c r="B95" s="181">
        <f>'Données projet'!D98</f>
        <v>158.65</v>
      </c>
      <c r="C95" s="191">
        <v>19</v>
      </c>
      <c r="D95" s="179">
        <f t="shared" si="6"/>
        <v>3014.35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8" ma:contentTypeDescription="Crée un document." ma:contentTypeScope="" ma:versionID="230d89a92b7aca36de80e84cafbbf9c2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776697cfe11cf9a50b111f534a5c43c6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934DA4E-FBF2-4C0B-92A6-BAA5F2BD5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Salomé Gorel</cp:lastModifiedBy>
  <cp:lastPrinted>2024-06-13T09:41:54Z</cp:lastPrinted>
  <dcterms:created xsi:type="dcterms:W3CDTF">2021-02-01T08:22:39Z</dcterms:created>
  <dcterms:modified xsi:type="dcterms:W3CDTF">2024-10-08T07:40:24Z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